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in\Dok C\Rigg &amp; seilarealberegninger\Seilareal beregninger\"/>
    </mc:Choice>
  </mc:AlternateContent>
  <xr:revisionPtr revIDLastSave="0" documentId="8_{F284B10A-F660-4A06-9B72-7328ECF8E16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Gaffelrigg" sheetId="1" r:id="rId1"/>
  </sheets>
  <definedNames>
    <definedName name="AC">Gaffelrigg!$J:$J</definedName>
    <definedName name="AD">Gaffelrigg!$H:$H</definedName>
    <definedName name="BC">Gaffelrigg!$I:$I</definedName>
    <definedName name="Bredde">Gaffelrigg!$D$4</definedName>
    <definedName name="Depl">Gaffelrigg!$N$4</definedName>
    <definedName name="Diagonal">Gaffelrigg!#REF!</definedName>
    <definedName name="Loa">Gaffelrigg!$B$4</definedName>
    <definedName name="Lwl">Gaffelrigg!$C$4</definedName>
    <definedName name="s">Gaffelrigg!$E:$E</definedName>
    <definedName name="_xlnm.Print_Area" localSheetId="0">Gaffelrigg!$A$2:$N$160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1" i="1" l="1"/>
  <c r="B139" i="1"/>
  <c r="B119" i="1"/>
  <c r="A121" i="1"/>
  <c r="C100" i="1" l="1"/>
  <c r="C63" i="1" l="1"/>
  <c r="C84" i="1"/>
  <c r="D136" i="1" l="1"/>
  <c r="C134" i="1"/>
  <c r="N134" i="1" s="1"/>
  <c r="C133" i="1"/>
  <c r="B126" i="1"/>
  <c r="C125" i="1"/>
  <c r="D66" i="1"/>
  <c r="C64" i="1"/>
  <c r="N64" i="1" s="1"/>
  <c r="B56" i="1"/>
  <c r="D59" i="1" s="1"/>
  <c r="C55" i="1"/>
  <c r="A51" i="1"/>
  <c r="D129" i="1" l="1"/>
  <c r="H66" i="1"/>
  <c r="J66" i="1" s="1"/>
  <c r="D61" i="1"/>
  <c r="E59" i="1"/>
  <c r="N59" i="1" s="1"/>
  <c r="H67" i="1"/>
  <c r="H136" i="1" l="1"/>
  <c r="J136" i="1" s="1"/>
  <c r="D131" i="1"/>
  <c r="E129" i="1"/>
  <c r="N129" i="1" s="1"/>
  <c r="H137" i="1"/>
  <c r="B68" i="1"/>
  <c r="C61" i="1" s="1"/>
  <c r="B138" i="1" l="1"/>
  <c r="C131" i="1" s="1"/>
  <c r="D68" i="1"/>
  <c r="D63" i="1" s="1"/>
  <c r="E61" i="1"/>
  <c r="N61" i="1" s="1"/>
  <c r="B69" i="1"/>
  <c r="C69" i="1" s="1"/>
  <c r="D67" i="1"/>
  <c r="C65" i="1"/>
  <c r="N65" i="1" s="1"/>
  <c r="F67" i="1"/>
  <c r="F66" i="1"/>
  <c r="B66" i="1" s="1"/>
  <c r="B140" i="1" l="1"/>
  <c r="C139" i="1"/>
  <c r="E131" i="1"/>
  <c r="C135" i="1"/>
  <c r="N135" i="1" s="1"/>
  <c r="D137" i="1"/>
  <c r="F137" i="1"/>
  <c r="F136" i="1"/>
  <c r="B136" i="1" s="1"/>
  <c r="D138" i="1"/>
  <c r="D133" i="1" s="1"/>
  <c r="H68" i="1"/>
  <c r="F68" i="1"/>
  <c r="N66" i="1"/>
  <c r="B67" i="1"/>
  <c r="J67" i="1"/>
  <c r="G69" i="1"/>
  <c r="C70" i="1"/>
  <c r="C71" i="1" s="1"/>
  <c r="G71" i="1" s="1"/>
  <c r="G139" i="1" l="1"/>
  <c r="C140" i="1"/>
  <c r="C141" i="1" s="1"/>
  <c r="H138" i="1"/>
  <c r="F138" i="1"/>
  <c r="N136" i="1"/>
  <c r="B137" i="1"/>
  <c r="J137" i="1"/>
  <c r="J71" i="1"/>
  <c r="I71" i="1"/>
  <c r="H71" i="1"/>
  <c r="J69" i="1"/>
  <c r="I69" i="1"/>
  <c r="H69" i="1"/>
  <c r="G70" i="1"/>
  <c r="G141" i="1" l="1"/>
  <c r="G140" i="1"/>
  <c r="J139" i="1"/>
  <c r="I139" i="1"/>
  <c r="H139" i="1"/>
  <c r="L71" i="1"/>
  <c r="M71" i="1" s="1"/>
  <c r="K71" i="1" s="1"/>
  <c r="F71" i="1" s="1"/>
  <c r="E71" i="1" s="1"/>
  <c r="N71" i="1" s="1"/>
  <c r="J70" i="1"/>
  <c r="I70" i="1"/>
  <c r="H70" i="1"/>
  <c r="L69" i="1"/>
  <c r="M69" i="1" s="1"/>
  <c r="K69" i="1" s="1"/>
  <c r="F69" i="1" s="1"/>
  <c r="E69" i="1" s="1"/>
  <c r="L139" i="1" l="1"/>
  <c r="M139" i="1" s="1"/>
  <c r="K139" i="1" s="1"/>
  <c r="F139" i="1" s="1"/>
  <c r="E139" i="1" s="1"/>
  <c r="D139" i="1" s="1"/>
  <c r="I140" i="1"/>
  <c r="J140" i="1"/>
  <c r="H140" i="1"/>
  <c r="I141" i="1"/>
  <c r="J141" i="1"/>
  <c r="H141" i="1"/>
  <c r="L70" i="1"/>
  <c r="M70" i="1" s="1"/>
  <c r="K70" i="1" s="1"/>
  <c r="F70" i="1" s="1"/>
  <c r="E70" i="1" s="1"/>
  <c r="D71" i="1" s="1"/>
  <c r="D69" i="1"/>
  <c r="N69" i="1"/>
  <c r="N139" i="1" l="1"/>
  <c r="L140" i="1"/>
  <c r="M140" i="1" s="1"/>
  <c r="K140" i="1" s="1"/>
  <c r="F140" i="1" s="1"/>
  <c r="E140" i="1" s="1"/>
  <c r="L141" i="1"/>
  <c r="M141" i="1" s="1"/>
  <c r="K141" i="1" s="1"/>
  <c r="F141" i="1" s="1"/>
  <c r="E141" i="1" s="1"/>
  <c r="D70" i="1"/>
  <c r="N70" i="1"/>
  <c r="D141" i="1" l="1"/>
  <c r="N141" i="1"/>
  <c r="D140" i="1"/>
  <c r="N140" i="1"/>
  <c r="C85" i="1"/>
  <c r="N85" i="1" s="1"/>
  <c r="E25" i="1" l="1"/>
  <c r="N25" i="1" s="1"/>
  <c r="D118" i="1"/>
  <c r="N117" i="1"/>
  <c r="D117" i="1"/>
  <c r="N116" i="1"/>
  <c r="D116" i="1"/>
  <c r="N115" i="1"/>
  <c r="D115" i="1"/>
  <c r="E113" i="1"/>
  <c r="N113" i="1" s="1"/>
  <c r="D114" i="1" l="1"/>
  <c r="B114" i="1"/>
  <c r="B118" i="1"/>
  <c r="N26" i="1"/>
  <c r="D26" i="1"/>
  <c r="B26" i="1"/>
  <c r="N118" i="1"/>
  <c r="C114" i="1" l="1"/>
  <c r="E114" i="1" s="1"/>
  <c r="C26" i="1"/>
  <c r="E26" i="1" s="1"/>
  <c r="C101" i="1" l="1"/>
  <c r="C150" i="1"/>
  <c r="C151" i="1" s="1"/>
  <c r="D159" i="1"/>
  <c r="N158" i="1"/>
  <c r="D158" i="1"/>
  <c r="N157" i="1"/>
  <c r="D157" i="1"/>
  <c r="N156" i="1"/>
  <c r="D156" i="1"/>
  <c r="E154" i="1"/>
  <c r="N154" i="1" s="1"/>
  <c r="D149" i="1"/>
  <c r="N147" i="1"/>
  <c r="D147" i="1"/>
  <c r="N146" i="1"/>
  <c r="D146" i="1"/>
  <c r="N145" i="1"/>
  <c r="D145" i="1"/>
  <c r="E143" i="1"/>
  <c r="N143" i="1" s="1"/>
  <c r="D109" i="1"/>
  <c r="N108" i="1"/>
  <c r="D108" i="1"/>
  <c r="N107" i="1"/>
  <c r="D107" i="1"/>
  <c r="N106" i="1"/>
  <c r="D106" i="1"/>
  <c r="E104" i="1"/>
  <c r="N104" i="1" s="1"/>
  <c r="D99" i="1"/>
  <c r="N98" i="1"/>
  <c r="D98" i="1"/>
  <c r="N97" i="1"/>
  <c r="D97" i="1"/>
  <c r="N96" i="1"/>
  <c r="D96" i="1"/>
  <c r="E94" i="1"/>
  <c r="N94" i="1" s="1"/>
  <c r="B22" i="1"/>
  <c r="B21" i="1"/>
  <c r="D32" i="1"/>
  <c r="N31" i="1"/>
  <c r="D31" i="1"/>
  <c r="N30" i="1"/>
  <c r="D30" i="1"/>
  <c r="E28" i="1"/>
  <c r="N28" i="1" s="1"/>
  <c r="D87" i="1"/>
  <c r="B77" i="1"/>
  <c r="C76" i="1"/>
  <c r="A72" i="1"/>
  <c r="D44" i="1"/>
  <c r="N43" i="1"/>
  <c r="D43" i="1"/>
  <c r="N42" i="1"/>
  <c r="D42" i="1"/>
  <c r="E40" i="1"/>
  <c r="N40" i="1" s="1"/>
  <c r="D38" i="1"/>
  <c r="N37" i="1"/>
  <c r="D37" i="1"/>
  <c r="N36" i="1"/>
  <c r="D36" i="1"/>
  <c r="E34" i="1"/>
  <c r="N34" i="1" s="1"/>
  <c r="D50" i="1"/>
  <c r="N49" i="1"/>
  <c r="D49" i="1"/>
  <c r="N48" i="1"/>
  <c r="D48" i="1"/>
  <c r="E46" i="1"/>
  <c r="N46" i="1" s="1"/>
  <c r="B159" i="1" l="1"/>
  <c r="D155" i="1"/>
  <c r="B155" i="1"/>
  <c r="D148" i="1"/>
  <c r="D144" i="1"/>
  <c r="B144" i="1"/>
  <c r="D105" i="1"/>
  <c r="B105" i="1"/>
  <c r="D95" i="1"/>
  <c r="B95" i="1"/>
  <c r="D47" i="1"/>
  <c r="B47" i="1"/>
  <c r="B41" i="1"/>
  <c r="D41" i="1"/>
  <c r="D35" i="1"/>
  <c r="B35" i="1"/>
  <c r="D29" i="1"/>
  <c r="B29" i="1"/>
  <c r="D80" i="1"/>
  <c r="H87" i="1" s="1"/>
  <c r="J87" i="1" s="1"/>
  <c r="B89" i="1" s="1"/>
  <c r="B148" i="1"/>
  <c r="N159" i="1"/>
  <c r="B149" i="1"/>
  <c r="N149" i="1"/>
  <c r="N109" i="1"/>
  <c r="B99" i="1"/>
  <c r="N99" i="1"/>
  <c r="B109" i="1"/>
  <c r="N32" i="1"/>
  <c r="B32" i="1"/>
  <c r="N44" i="1"/>
  <c r="B44" i="1"/>
  <c r="B38" i="1"/>
  <c r="N38" i="1"/>
  <c r="N50" i="1"/>
  <c r="B50" i="1"/>
  <c r="C155" i="1" l="1"/>
  <c r="E155" i="1" s="1"/>
  <c r="C144" i="1"/>
  <c r="E144" i="1" s="1"/>
  <c r="C105" i="1"/>
  <c r="E105" i="1" s="1"/>
  <c r="C95" i="1"/>
  <c r="E95" i="1" s="1"/>
  <c r="C47" i="1"/>
  <c r="E47" i="1" s="1"/>
  <c r="C41" i="1"/>
  <c r="E41" i="1" s="1"/>
  <c r="C35" i="1"/>
  <c r="E35" i="1" s="1"/>
  <c r="C29" i="1"/>
  <c r="E29" i="1" s="1"/>
  <c r="H88" i="1"/>
  <c r="D82" i="1"/>
  <c r="C82" i="1"/>
  <c r="E80" i="1"/>
  <c r="N80" i="1" s="1"/>
  <c r="C148" i="1"/>
  <c r="E148" i="1" s="1"/>
  <c r="D89" i="1"/>
  <c r="D84" i="1" s="1"/>
  <c r="E82" i="1" l="1"/>
  <c r="N82" i="1" s="1"/>
  <c r="H89" i="1" s="1"/>
  <c r="C86" i="1"/>
  <c r="N86" i="1" s="1"/>
  <c r="B90" i="1"/>
  <c r="C90" i="1" l="1"/>
  <c r="D88" i="1"/>
  <c r="F89" i="1"/>
  <c r="F87" i="1"/>
  <c r="B87" i="1" s="1"/>
  <c r="F88" i="1"/>
  <c r="J88" i="1" l="1"/>
  <c r="G90" i="1"/>
  <c r="C91" i="1"/>
  <c r="C92" i="1" s="1"/>
  <c r="N87" i="1"/>
  <c r="B88" i="1"/>
  <c r="G91" i="1" l="1"/>
  <c r="I91" i="1" s="1"/>
  <c r="G92" i="1"/>
  <c r="J90" i="1"/>
  <c r="I90" i="1"/>
  <c r="H90" i="1"/>
  <c r="L90" i="1" l="1"/>
  <c r="M90" i="1" s="1"/>
  <c r="K90" i="1" s="1"/>
  <c r="F90" i="1" s="1"/>
  <c r="E90" i="1" s="1"/>
  <c r="D90" i="1" s="1"/>
  <c r="H91" i="1"/>
  <c r="J91" i="1"/>
  <c r="L91" i="1" s="1"/>
  <c r="M91" i="1" s="1"/>
  <c r="K91" i="1" s="1"/>
  <c r="F91" i="1" s="1"/>
  <c r="E91" i="1" s="1"/>
  <c r="I92" i="1"/>
  <c r="J92" i="1"/>
  <c r="H92" i="1"/>
  <c r="N90" i="1" l="1"/>
  <c r="L92" i="1"/>
  <c r="M92" i="1" s="1"/>
  <c r="K92" i="1" s="1"/>
  <c r="F92" i="1" s="1"/>
  <c r="E92" i="1" s="1"/>
  <c r="N91" i="1"/>
  <c r="D91" i="1"/>
  <c r="N92" i="1" l="1"/>
  <c r="D92" i="1"/>
  <c r="C22" i="1" l="1"/>
  <c r="A4" i="1"/>
  <c r="E13" i="1" l="1"/>
  <c r="N13" i="1" s="1"/>
  <c r="N14" i="1" l="1"/>
  <c r="D14" i="1"/>
  <c r="B14" i="1"/>
  <c r="C21" i="1"/>
  <c r="C14" i="1" l="1"/>
  <c r="E14" i="1" s="1"/>
  <c r="D20" i="1"/>
  <c r="D19" i="1" l="1"/>
  <c r="D18" i="1"/>
  <c r="C23" i="1" l="1"/>
  <c r="N3" i="1" l="1"/>
  <c r="N4" i="1" s="1"/>
  <c r="E16" i="1" l="1"/>
  <c r="N19" i="1"/>
  <c r="N18" i="1"/>
  <c r="N16" i="1" l="1"/>
  <c r="N20" i="1" l="1"/>
  <c r="D17" i="1"/>
  <c r="B17" i="1"/>
  <c r="B20" i="1"/>
  <c r="N22" i="1" l="1"/>
  <c r="N23" i="1"/>
  <c r="N21" i="1"/>
  <c r="C17" i="1"/>
  <c r="E17" i="1" s="1"/>
  <c r="D21" i="1" l="1"/>
  <c r="D22" i="1"/>
  <c r="D23" i="1" l="1"/>
</calcChain>
</file>

<file path=xl/sharedStrings.xml><?xml version="1.0" encoding="utf-8"?>
<sst xmlns="http://schemas.openxmlformats.org/spreadsheetml/2006/main" count="308" uniqueCount="98">
  <si>
    <t>"s"</t>
  </si>
  <si>
    <t>Akterlik</t>
  </si>
  <si>
    <t>Underlik</t>
  </si>
  <si>
    <t>Gaffel-lik</t>
  </si>
  <si>
    <t>Maste-lik</t>
  </si>
  <si>
    <t>Bom-lik</t>
  </si>
  <si>
    <t>Vinkel : Topp - Skjøtehjørne - Hals &gt;</t>
  </si>
  <si>
    <t>Beregnet i cm =</t>
  </si>
  <si>
    <t>Akterlik minusbue  er vanligvis -2,0 %.
Plussbue med spiler er gjerne +2,0 %.</t>
  </si>
  <si>
    <t>Akerlik minusbue er vanligvis -2,0% =.</t>
  </si>
  <si>
    <t>Areal</t>
  </si>
  <si>
    <t>LP fra skjøtehjørne til rett linje topp-bunn=</t>
  </si>
  <si>
    <t>Underlik plussbue varierer fra 0 til +5 % = .</t>
  </si>
  <si>
    <t>Toppseilstang=</t>
  </si>
  <si>
    <t>vanligvis 1,5 grader akterover</t>
  </si>
  <si>
    <t>Halstalje kompensasjon =</t>
  </si>
  <si>
    <t>Jackyard =</t>
  </si>
  <si>
    <t>Halsvinkel (mastelik/bomlik)  =</t>
  </si>
  <si>
    <t>LP (fra skjøtehjørne til forlik) =</t>
  </si>
  <si>
    <t>2dre rev</t>
  </si>
  <si>
    <t>Båtens data</t>
  </si>
  <si>
    <t>Loa</t>
  </si>
  <si>
    <t>Lwl</t>
  </si>
  <si>
    <t>Bredde</t>
  </si>
  <si>
    <t>Bomvinkel fra horisontalplanet =</t>
  </si>
  <si>
    <t>DM=</t>
  </si>
  <si>
    <t>Piggbarm vinkel =</t>
  </si>
  <si>
    <t>Klobarm vinkel =</t>
  </si>
  <si>
    <t>vanligvis 4-6 grader</t>
  </si>
  <si>
    <t>Diagonal beregnet</t>
  </si>
  <si>
    <t>Storseilets Høyde</t>
  </si>
  <si>
    <r>
      <rPr>
        <b/>
        <sz val="10"/>
        <rFont val="Arial"/>
        <family val="2"/>
      </rPr>
      <t>Plussbue</t>
    </r>
    <r>
      <rPr>
        <sz val="10"/>
        <rFont val="Arial"/>
        <family val="2"/>
      </rPr>
      <t xml:space="preserve"> for underlik, vanlig er 3 til 5 %.</t>
    </r>
  </si>
  <si>
    <t>Diagonal pigg-hals</t>
  </si>
  <si>
    <t>DA=</t>
  </si>
  <si>
    <t>DB=</t>
  </si>
  <si>
    <t>Toppseil</t>
  </si>
  <si>
    <t>Vinkel mellom Diagonal &amp;Gaffel =</t>
  </si>
  <si>
    <r>
      <rPr>
        <b/>
        <sz val="10"/>
        <rFont val="Arial"/>
        <family val="2"/>
      </rPr>
      <t>Akterlik:</t>
    </r>
    <r>
      <rPr>
        <sz val="10"/>
        <rFont val="Arial"/>
        <family val="2"/>
      </rPr>
      <t xml:space="preserve"> Minusbue er vanligvis -2,0 %.
Plussbue med spiler er gjerne +2,0 %.</t>
    </r>
  </si>
  <si>
    <t>Forlik</t>
  </si>
  <si>
    <t>Klyver hardvær</t>
  </si>
  <si>
    <t>Klyvere</t>
  </si>
  <si>
    <t>Fokk gammel/notat</t>
  </si>
  <si>
    <t>1 rev &gt; ca. 1/5 del av akterlik =</t>
  </si>
  <si>
    <t>2 rev &gt; ca. 1/7 del av akterlik á</t>
  </si>
  <si>
    <t>Akterlik minusbue  er vanligvis -2,0 %.</t>
  </si>
  <si>
    <t>Klyver mellom</t>
  </si>
  <si>
    <t>Mastelogging, 0,5-1,5 =</t>
  </si>
  <si>
    <t>Akter-lik beregnet</t>
  </si>
  <si>
    <t>Areal av +/- bue =</t>
  </si>
  <si>
    <t>Skjøtsbarm vinkel fra bom=</t>
  </si>
  <si>
    <t>Akterlik vinkel fra horisontalen =</t>
  </si>
  <si>
    <t>Genoa/Storklyver</t>
  </si>
  <si>
    <t>Skriv tall uten enhet; m, cm osv kommer automatisk.</t>
  </si>
  <si>
    <t>Obs: Mål til likenes rette linjers skjæringspunkter. (Ikke til øyer i ringer eller løyerter) Skjæringspunktene kan derfor ofte være utenfor seilet.</t>
  </si>
  <si>
    <t>I orange felt er det forvalgte verdier. Juster til dine mål/ønsker.</t>
  </si>
  <si>
    <r>
      <t xml:space="preserve">Skriv </t>
    </r>
    <r>
      <rPr>
        <b/>
        <u/>
        <sz val="16"/>
        <rFont val="Arial"/>
        <family val="2"/>
      </rPr>
      <t>kun</t>
    </r>
    <r>
      <rPr>
        <b/>
        <sz val="16"/>
        <rFont val="Arial"/>
        <family val="2"/>
      </rPr>
      <t xml:space="preserve"> i GULE og ORANGE felt.</t>
    </r>
  </si>
  <si>
    <t>Seilene måles best heist på båten og fallene teitet som ved seilas.</t>
  </si>
  <si>
    <t>Vær obs på kutback under kloa og ev. cutback for halstalje.</t>
  </si>
  <si>
    <t>OBS! Cutback i halsen kan føre til feilmåling av Bomlik.</t>
  </si>
  <si>
    <t xml:space="preserve">Seilmakernes dataprogram regner kvm duk. Pga. bus, blir det mer enn arealet beregnet etter likmål. </t>
  </si>
  <si>
    <t>Forlik plussbue, stangens bue +cutback, ca 3,0 %</t>
  </si>
  <si>
    <t>Notat:</t>
  </si>
  <si>
    <t>Fritt seil u. stang ca =</t>
  </si>
  <si>
    <t>Forlik kordehøyde til rennemerr feste, 0 - 2% &gt;</t>
  </si>
  <si>
    <t>Mesan Toppseil</t>
  </si>
  <si>
    <t>Mesan toppseil m stang</t>
  </si>
  <si>
    <t>Mesan toppseil uten stang</t>
  </si>
  <si>
    <t>Ev.Jackyard =</t>
  </si>
  <si>
    <t>Ev. Jackyard =</t>
  </si>
  <si>
    <t>Rev beregnet á</t>
  </si>
  <si>
    <t xml:space="preserve">1 rev beregnet </t>
  </si>
  <si>
    <t>vanligvis 6-10 grader på små mesaner</t>
  </si>
  <si>
    <t>Topp til rennemerr</t>
  </si>
  <si>
    <r>
      <rPr>
        <b/>
        <sz val="10"/>
        <rFont val="Arial"/>
        <family val="2"/>
      </rPr>
      <t>Gaffel vinkel</t>
    </r>
    <r>
      <rPr>
        <sz val="10"/>
        <rFont val="Arial"/>
        <family val="2"/>
      </rPr>
      <t xml:space="preserve"> (vinkel mot mastetopp)
Vanligvis 39-42 grader </t>
    </r>
  </si>
  <si>
    <t>Kontroll=</t>
  </si>
  <si>
    <t>Diagonal beregnes ut fra halsvinkel</t>
  </si>
  <si>
    <t>Akterliket beregnes ut fra gaffelvinkel. Mindre vinkel gir høy pigging</t>
  </si>
  <si>
    <t>Mesan</t>
  </si>
  <si>
    <t>Storseil gammelt</t>
  </si>
  <si>
    <t>LP =</t>
  </si>
  <si>
    <t>&lt; Seilareal inklusive bus opplyst av seilmaker</t>
  </si>
  <si>
    <t>NN</t>
  </si>
  <si>
    <t>Fokk</t>
  </si>
  <si>
    <t>Klyver gammel/notat</t>
  </si>
  <si>
    <t>Klyver normal</t>
  </si>
  <si>
    <t>Storseil ny</t>
  </si>
  <si>
    <t>Toppseil m stang</t>
  </si>
  <si>
    <t>Toppseil u stang</t>
  </si>
  <si>
    <t xml:space="preserve">Underlik Minusbue 0 til -2,0% = </t>
  </si>
  <si>
    <t>Forlik kordehøyde til rennemerr feste, 0 til 2% &gt;</t>
  </si>
  <si>
    <t>2dre rev =</t>
  </si>
  <si>
    <t>3dje rev</t>
  </si>
  <si>
    <t>Diagonal: Juster halsvinkel til diagonalen stemmer med ditt mål.</t>
  </si>
  <si>
    <t>OBS! Cutback under kloa kan føre til feilmåling av mastelik og gaffellik</t>
  </si>
  <si>
    <t>Ta derfor seilmakerens likmål og legg inn i dette regnarket. Husk å spørre om pluss- og minus-buer.</t>
  </si>
  <si>
    <t>Fil: ,SeilarealBeregninger2023-05</t>
  </si>
  <si>
    <t>Underlik bue varierer fra -2 til +2 %.</t>
  </si>
  <si>
    <t>Mesanens Høyde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</si>
</sst>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_ * #,##0.00_ ;_ * \-#,##0.00_ ;_ * &quot;-&quot;??_ ;_ @_ "/>
    <numFmt numFmtId="165" formatCode="_ * #,##0.0_ ;_ * \-#,##0.0_ ;_ * &quot;-&quot;??_ ;_ @_ "/>
    <numFmt numFmtId="166" formatCode="0.0\ %"/>
    <numFmt numFmtId="167" formatCode="#,##0.00\ [$m-141A]"/>
    <numFmt numFmtId="168" formatCode="#,##0\ [$cm-1C1A]"/>
    <numFmt numFmtId="169" formatCode="#,##0.00\ [$m-1C1A]"/>
    <numFmt numFmtId="170" formatCode="#,##0.0\ [$grader-1C1A]"/>
    <numFmt numFmtId="171" formatCode="#,##0\ [$grader-1C1A]"/>
    <numFmt numFmtId="172" formatCode="#,##0.0\ [$cm-1C1A]"/>
    <numFmt numFmtId="173" formatCode="_ * #,##0.00\ [$kvm-1C1A]_ ;_ * \-#,##0.00\ [$kvm-1C1A]_ ;_ * &quot;-&quot;??_ ;_ @_ "/>
    <numFmt numFmtId="174" formatCode="_ * #,##0.0\ [$kvm-1C1A]_ ;_ * \-#,##0.0\ [$kvm-1C1A]_ ;_ * &quot;-&quot;??_ ;_ @_ "/>
    <numFmt numFmtId="175" formatCode="#,##0.0000"/>
    <numFmt numFmtId="176" formatCode="#,##0.0\ [$kvm-141A]"/>
    <numFmt numFmtId="177" formatCode="#,##0.0\ [$tonn-1C1A]"/>
    <numFmt numFmtId="178" formatCode="#,##0\ [$kvm-141A]"/>
    <numFmt numFmtId="179" formatCode="#,##0.00\ [$kvm-141A]"/>
    <numFmt numFmtId="180" formatCode="#,##0.000\ [$m-1C1A]"/>
    <numFmt numFmtId="181" formatCode="#,##0.0\ [$grader  =-1C1A]"/>
    <numFmt numFmtId="182" formatCode="#,##0\ [$cm]"/>
    <numFmt numFmtId="183" formatCode="#,##0.00\ [$m valgt =]"/>
    <numFmt numFmtId="184" formatCode="#,##0.0\ [$kvm rev]"/>
    <numFmt numFmtId="185" formatCode="#,##0.0\ [$Fot]"/>
    <numFmt numFmtId="186" formatCode="\L\P\ \=\ #,##0.00\ [$m]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2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14"/>
      <name val="Arial"/>
      <family val="2"/>
    </font>
    <font>
      <b/>
      <sz val="11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i/>
      <sz val="10"/>
      <name val="Arial"/>
      <family val="2"/>
    </font>
    <font>
      <b/>
      <sz val="8"/>
      <name val="Arial"/>
      <family val="2"/>
    </font>
    <font>
      <b/>
      <sz val="24"/>
      <name val="Times New Roman"/>
      <family val="1"/>
    </font>
    <font>
      <b/>
      <sz val="22"/>
      <name val="Times New Roman"/>
      <family val="1"/>
    </font>
    <font>
      <b/>
      <u/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Arial"/>
      <family val="2"/>
    </font>
    <font>
      <b/>
      <sz val="10"/>
      <name val="Times New Roman"/>
      <family val="1"/>
    </font>
    <font>
      <b/>
      <u/>
      <sz val="16"/>
      <name val="Arial"/>
      <family val="2"/>
    </font>
    <font>
      <sz val="11"/>
      <color rgb="FFFFC000"/>
      <name val="Times New Roman"/>
      <family val="1"/>
    </font>
    <font>
      <b/>
      <sz val="11"/>
      <color rgb="FFFFC000"/>
      <name val="Times New Roman"/>
      <family val="1"/>
    </font>
    <font>
      <b/>
      <sz val="10"/>
      <color rgb="FFFFC000"/>
      <name val="Times New Roman"/>
      <family val="1"/>
    </font>
    <font>
      <i/>
      <u/>
      <sz val="10"/>
      <name val="Arial Narrow"/>
      <family val="2"/>
    </font>
    <font>
      <sz val="2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0">
    <xf numFmtId="0" fontId="0" fillId="0" borderId="0" xfId="0"/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164" fontId="2" fillId="0" borderId="0" xfId="1" applyFont="1" applyFill="1" applyBorder="1" applyAlignment="1" applyProtection="1">
      <alignment horizontal="left"/>
      <protection locked="0"/>
    </xf>
    <xf numFmtId="164" fontId="2" fillId="0" borderId="0" xfId="1" applyFont="1" applyFill="1" applyBorder="1" applyAlignment="1" applyProtection="1">
      <protection locked="0"/>
    </xf>
    <xf numFmtId="164" fontId="0" fillId="0" borderId="0" xfId="1" applyFont="1" applyFill="1" applyBorder="1" applyAlignment="1" applyProtection="1">
      <alignment horizontal="left"/>
      <protection locked="0"/>
    </xf>
    <xf numFmtId="164" fontId="0" fillId="0" borderId="0" xfId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164" fontId="12" fillId="0" borderId="0" xfId="1" applyFont="1" applyFill="1" applyBorder="1" applyAlignment="1" applyProtection="1">
      <alignment horizontal="left"/>
      <protection locked="0"/>
    </xf>
    <xf numFmtId="169" fontId="2" fillId="4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Font="1" applyFill="1" applyBorder="1" applyAlignment="1" applyProtection="1">
      <alignment horizontal="right"/>
      <protection locked="0"/>
    </xf>
    <xf numFmtId="164" fontId="14" fillId="0" borderId="0" xfId="1" applyFont="1" applyAlignment="1" applyProtection="1">
      <alignment horizontal="center"/>
      <protection locked="0"/>
    </xf>
    <xf numFmtId="3" fontId="2" fillId="3" borderId="2" xfId="0" applyNumberFormat="1" applyFont="1" applyFill="1" applyBorder="1" applyAlignment="1">
      <alignment horizontal="center"/>
    </xf>
    <xf numFmtId="169" fontId="2" fillId="0" borderId="0" xfId="1" applyNumberFormat="1" applyFont="1" applyFill="1" applyBorder="1" applyAlignment="1" applyProtection="1">
      <alignment horizontal="center" vertical="center"/>
      <protection locked="0"/>
    </xf>
    <xf numFmtId="3" fontId="2" fillId="0" borderId="6" xfId="1" applyNumberFormat="1" applyFont="1" applyFill="1" applyBorder="1" applyAlignment="1" applyProtection="1">
      <alignment horizontal="center"/>
    </xf>
    <xf numFmtId="4" fontId="9" fillId="0" borderId="0" xfId="1" applyNumberFormat="1" applyFont="1" applyFill="1" applyBorder="1" applyAlignment="1" applyProtection="1">
      <alignment horizontal="right" vertical="center"/>
    </xf>
    <xf numFmtId="3" fontId="0" fillId="3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3" fontId="0" fillId="3" borderId="10" xfId="0" applyNumberFormat="1" applyFill="1" applyBorder="1" applyAlignment="1">
      <alignment horizontal="center" vertical="center"/>
    </xf>
    <xf numFmtId="164" fontId="0" fillId="0" borderId="0" xfId="1" applyFont="1" applyAlignment="1" applyProtection="1">
      <alignment horizontal="center"/>
    </xf>
    <xf numFmtId="164" fontId="0" fillId="0" borderId="0" xfId="0" applyNumberFormat="1" applyAlignment="1">
      <alignment horizontal="center"/>
    </xf>
    <xf numFmtId="164" fontId="0" fillId="3" borderId="0" xfId="1" applyFont="1" applyFill="1" applyBorder="1" applyAlignment="1" applyProtection="1">
      <alignment horizontal="center" vertical="center"/>
    </xf>
    <xf numFmtId="164" fontId="17" fillId="0" borderId="0" xfId="1" applyFont="1" applyFill="1" applyBorder="1" applyAlignment="1" applyProtection="1">
      <protection locked="0"/>
    </xf>
    <xf numFmtId="9" fontId="9" fillId="0" borderId="0" xfId="2" applyFont="1" applyFill="1" applyBorder="1" applyAlignment="1" applyProtection="1">
      <alignment horizontal="center"/>
      <protection locked="0"/>
    </xf>
    <xf numFmtId="164" fontId="0" fillId="0" borderId="0" xfId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166" fontId="3" fillId="7" borderId="0" xfId="2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/>
    </xf>
    <xf numFmtId="169" fontId="0" fillId="0" borderId="0" xfId="1" applyNumberFormat="1" applyFont="1" applyFill="1" applyBorder="1" applyAlignment="1" applyProtection="1">
      <alignment horizontal="left" vertical="center"/>
    </xf>
    <xf numFmtId="3" fontId="3" fillId="0" borderId="1" xfId="1" applyNumberFormat="1" applyFont="1" applyBorder="1" applyAlignment="1" applyProtection="1">
      <alignment horizontal="right"/>
      <protection locked="0"/>
    </xf>
    <xf numFmtId="169" fontId="0" fillId="6" borderId="0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/>
      <protection locked="0"/>
    </xf>
    <xf numFmtId="164" fontId="4" fillId="0" borderId="0" xfId="1" applyFont="1" applyBorder="1" applyAlignment="1" applyProtection="1">
      <alignment horizontal="right" vertical="center"/>
    </xf>
    <xf numFmtId="168" fontId="3" fillId="0" borderId="0" xfId="2" applyNumberFormat="1" applyFont="1" applyFill="1" applyBorder="1" applyAlignment="1" applyProtection="1">
      <alignment horizontal="center" vertical="center"/>
    </xf>
    <xf numFmtId="178" fontId="2" fillId="0" borderId="0" xfId="1" applyNumberFormat="1" applyFont="1" applyFill="1" applyBorder="1" applyAlignment="1" applyProtection="1">
      <protection locked="0"/>
    </xf>
    <xf numFmtId="164" fontId="12" fillId="0" borderId="0" xfId="1" applyFont="1" applyFill="1" applyBorder="1" applyAlignment="1" applyProtection="1">
      <alignment horizontal="right"/>
      <protection locked="0"/>
    </xf>
    <xf numFmtId="176" fontId="2" fillId="0" borderId="0" xfId="1" applyNumberFormat="1" applyFont="1" applyFill="1" applyBorder="1" applyAlignment="1" applyProtection="1">
      <protection locked="0"/>
    </xf>
    <xf numFmtId="169" fontId="3" fillId="4" borderId="0" xfId="1" applyNumberFormat="1" applyFont="1" applyFill="1" applyBorder="1" applyAlignment="1" applyProtection="1">
      <alignment horizontal="center" vertical="center"/>
      <protection locked="0"/>
    </xf>
    <xf numFmtId="170" fontId="9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174" fontId="2" fillId="0" borderId="0" xfId="1" applyNumberFormat="1" applyFont="1" applyFill="1" applyBorder="1" applyAlignment="1" applyProtection="1">
      <alignment horizontal="center"/>
    </xf>
    <xf numFmtId="169" fontId="4" fillId="0" borderId="0" xfId="1" applyNumberFormat="1" applyFont="1" applyFill="1" applyBorder="1" applyAlignment="1" applyProtection="1">
      <alignment horizontal="left" vertical="center"/>
    </xf>
    <xf numFmtId="165" fontId="4" fillId="0" borderId="0" xfId="1" applyNumberFormat="1" applyFont="1" applyFill="1" applyBorder="1" applyAlignment="1" applyProtection="1">
      <alignment horizontal="center"/>
      <protection locked="0"/>
    </xf>
    <xf numFmtId="3" fontId="1" fillId="0" borderId="0" xfId="1" applyNumberFormat="1" applyFont="1" applyBorder="1" applyProtection="1"/>
    <xf numFmtId="164" fontId="4" fillId="0" borderId="0" xfId="1" applyFont="1" applyFill="1" applyBorder="1" applyAlignment="1" applyProtection="1">
      <alignment horizontal="left" vertical="center"/>
      <protection locked="0"/>
    </xf>
    <xf numFmtId="169" fontId="4" fillId="0" borderId="0" xfId="1" applyNumberFormat="1" applyFont="1" applyFill="1" applyBorder="1" applyAlignment="1" applyProtection="1">
      <alignment horizontal="center" vertical="center"/>
    </xf>
    <xf numFmtId="170" fontId="4" fillId="0" borderId="0" xfId="1" applyNumberFormat="1" applyFont="1" applyFill="1" applyBorder="1" applyAlignment="1" applyProtection="1">
      <alignment horizontal="center" vertical="center"/>
      <protection locked="0"/>
    </xf>
    <xf numFmtId="180" fontId="4" fillId="0" borderId="0" xfId="1" applyNumberFormat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center"/>
      <protection locked="0"/>
    </xf>
    <xf numFmtId="164" fontId="1" fillId="0" borderId="0" xfId="1" applyFont="1" applyFill="1" applyBorder="1" applyAlignment="1" applyProtection="1">
      <alignment horizontal="left"/>
      <protection locked="0"/>
    </xf>
    <xf numFmtId="169" fontId="1" fillId="6" borderId="0" xfId="1" applyNumberFormat="1" applyFont="1" applyFill="1" applyBorder="1" applyAlignment="1" applyProtection="1">
      <alignment horizontal="center"/>
      <protection locked="0"/>
    </xf>
    <xf numFmtId="169" fontId="1" fillId="4" borderId="0" xfId="1" applyNumberFormat="1" applyFont="1" applyFill="1" applyBorder="1" applyAlignment="1" applyProtection="1">
      <alignment horizontal="center"/>
      <protection locked="0"/>
    </xf>
    <xf numFmtId="164" fontId="13" fillId="0" borderId="0" xfId="1" applyFont="1" applyFill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 applyProtection="1">
      <alignment horizontal="right"/>
    </xf>
    <xf numFmtId="170" fontId="13" fillId="0" borderId="0" xfId="1" applyNumberFormat="1" applyFont="1" applyFill="1" applyBorder="1" applyAlignment="1" applyProtection="1">
      <alignment horizontal="left"/>
    </xf>
    <xf numFmtId="170" fontId="13" fillId="0" borderId="10" xfId="1" applyNumberFormat="1" applyFont="1" applyFill="1" applyBorder="1" applyAlignment="1" applyProtection="1">
      <alignment horizontal="left"/>
    </xf>
    <xf numFmtId="170" fontId="13" fillId="0" borderId="0" xfId="1" applyNumberFormat="1" applyFont="1" applyFill="1" applyBorder="1" applyAlignment="1" applyProtection="1">
      <alignment horizontal="right"/>
    </xf>
    <xf numFmtId="170" fontId="1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left"/>
      <protection locked="0"/>
    </xf>
    <xf numFmtId="170" fontId="4" fillId="0" borderId="0" xfId="1" applyNumberFormat="1" applyFont="1" applyFill="1" applyBorder="1" applyAlignment="1" applyProtection="1">
      <alignment horizontal="center"/>
    </xf>
    <xf numFmtId="2" fontId="1" fillId="0" borderId="0" xfId="1" applyNumberFormat="1" applyFont="1" applyFill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176" fontId="1" fillId="0" borderId="0" xfId="1" applyNumberFormat="1" applyFont="1" applyFill="1" applyBorder="1" applyAlignment="1" applyProtection="1">
      <alignment horizontal="center"/>
    </xf>
    <xf numFmtId="167" fontId="1" fillId="7" borderId="0" xfId="1" applyNumberFormat="1" applyFont="1" applyFill="1" applyBorder="1" applyAlignment="1" applyProtection="1">
      <alignment horizontal="center"/>
      <protection locked="0"/>
    </xf>
    <xf numFmtId="3" fontId="2" fillId="0" borderId="12" xfId="1" applyNumberFormat="1" applyFont="1" applyFill="1" applyBorder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right" vertical="center"/>
    </xf>
    <xf numFmtId="169" fontId="13" fillId="4" borderId="1" xfId="1" applyNumberFormat="1" applyFont="1" applyFill="1" applyBorder="1" applyAlignment="1" applyProtection="1">
      <alignment horizontal="center" vertical="center"/>
      <protection locked="0"/>
    </xf>
    <xf numFmtId="169" fontId="13" fillId="0" borderId="1" xfId="1" applyNumberFormat="1" applyFont="1" applyFill="1" applyBorder="1" applyAlignment="1" applyProtection="1">
      <alignment horizontal="center" vertical="center"/>
      <protection locked="0"/>
    </xf>
    <xf numFmtId="3" fontId="8" fillId="11" borderId="11" xfId="0" applyNumberFormat="1" applyFont="1" applyFill="1" applyBorder="1" applyAlignment="1">
      <alignment horizontal="right"/>
    </xf>
    <xf numFmtId="179" fontId="3" fillId="0" borderId="0" xfId="1" applyNumberFormat="1" applyFont="1" applyFill="1" applyBorder="1" applyAlignment="1" applyProtection="1">
      <alignment horizontal="right" vertical="center"/>
    </xf>
    <xf numFmtId="169" fontId="0" fillId="0" borderId="0" xfId="1" applyNumberFormat="1" applyFont="1" applyFill="1" applyBorder="1" applyAlignment="1" applyProtection="1">
      <alignment horizontal="center" vertical="center"/>
    </xf>
    <xf numFmtId="0" fontId="13" fillId="0" borderId="0" xfId="0" applyFont="1" applyProtection="1">
      <protection locked="0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183" fontId="0" fillId="0" borderId="0" xfId="1" applyNumberFormat="1" applyFont="1" applyFill="1" applyBorder="1" applyAlignment="1" applyProtection="1">
      <alignment horizontal="center" vertical="center"/>
    </xf>
    <xf numFmtId="178" fontId="3" fillId="0" borderId="1" xfId="1" applyNumberFormat="1" applyFont="1" applyFill="1" applyBorder="1" applyAlignment="1" applyProtection="1">
      <alignment horizontal="center"/>
    </xf>
    <xf numFmtId="169" fontId="0" fillId="8" borderId="1" xfId="1" applyNumberFormat="1" applyFont="1" applyFill="1" applyBorder="1" applyAlignment="1" applyProtection="1">
      <alignment horizontal="center" vertical="center"/>
    </xf>
    <xf numFmtId="170" fontId="9" fillId="0" borderId="7" xfId="1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/>
    <xf numFmtId="164" fontId="2" fillId="0" borderId="0" xfId="1" applyFont="1" applyFill="1" applyBorder="1" applyAlignment="1" applyProtection="1">
      <alignment horizontal="center"/>
    </xf>
    <xf numFmtId="169" fontId="8" fillId="11" borderId="0" xfId="1" applyNumberFormat="1" applyFont="1" applyFill="1" applyBorder="1" applyAlignment="1" applyProtection="1">
      <alignment horizontal="right" vertical="center"/>
    </xf>
    <xf numFmtId="3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/>
    </xf>
    <xf numFmtId="3" fontId="27" fillId="11" borderId="0" xfId="0" applyNumberFormat="1" applyFont="1" applyFill="1" applyAlignment="1">
      <alignment horizontal="center" vertical="center"/>
    </xf>
    <xf numFmtId="164" fontId="27" fillId="11" borderId="0" xfId="1" applyFont="1" applyFill="1" applyBorder="1" applyAlignment="1" applyProtection="1">
      <alignment horizontal="center" vertical="center"/>
    </xf>
    <xf numFmtId="0" fontId="27" fillId="11" borderId="0" xfId="0" applyFont="1" applyFill="1" applyAlignment="1">
      <alignment horizontal="center" vertical="center"/>
    </xf>
    <xf numFmtId="2" fontId="27" fillId="11" borderId="0" xfId="0" applyNumberFormat="1" applyFont="1" applyFill="1" applyAlignment="1">
      <alignment horizontal="center" vertical="center"/>
    </xf>
    <xf numFmtId="0" fontId="27" fillId="11" borderId="0" xfId="0" applyFont="1" applyFill="1" applyAlignment="1">
      <alignment vertical="center"/>
    </xf>
    <xf numFmtId="171" fontId="9" fillId="11" borderId="0" xfId="1" applyNumberFormat="1" applyFont="1" applyFill="1" applyBorder="1" applyAlignment="1" applyProtection="1">
      <alignment horizontal="center" vertical="center"/>
    </xf>
    <xf numFmtId="184" fontId="4" fillId="0" borderId="0" xfId="1" applyNumberFormat="1" applyFont="1" applyFill="1" applyBorder="1" applyAlignment="1" applyProtection="1">
      <alignment horizontal="center" vertical="center"/>
    </xf>
    <xf numFmtId="170" fontId="0" fillId="7" borderId="0" xfId="1" applyNumberFormat="1" applyFont="1" applyFill="1" applyBorder="1" applyAlignment="1" applyProtection="1">
      <alignment horizontal="center"/>
      <protection locked="0"/>
    </xf>
    <xf numFmtId="181" fontId="0" fillId="7" borderId="1" xfId="1" applyNumberFormat="1" applyFont="1" applyFill="1" applyBorder="1" applyAlignment="1" applyProtection="1">
      <alignment horizontal="right"/>
      <protection locked="0"/>
    </xf>
    <xf numFmtId="166" fontId="0" fillId="7" borderId="1" xfId="2" applyNumberFormat="1" applyFont="1" applyFill="1" applyBorder="1" applyAlignment="1" applyProtection="1">
      <alignment horizontal="center" vertical="center"/>
      <protection locked="0"/>
    </xf>
    <xf numFmtId="166" fontId="0" fillId="7" borderId="0" xfId="2" applyNumberFormat="1" applyFont="1" applyFill="1" applyBorder="1" applyAlignment="1" applyProtection="1">
      <alignment horizontal="center"/>
      <protection locked="0"/>
    </xf>
    <xf numFmtId="168" fontId="0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right" vertical="center"/>
    </xf>
    <xf numFmtId="170" fontId="9" fillId="0" borderId="8" xfId="1" applyNumberFormat="1" applyFont="1" applyFill="1" applyBorder="1" applyAlignment="1" applyProtection="1">
      <alignment horizontal="center" vertical="center"/>
    </xf>
    <xf numFmtId="170" fontId="9" fillId="0" borderId="9" xfId="1" applyNumberFormat="1" applyFont="1" applyFill="1" applyBorder="1" applyAlignment="1" applyProtection="1">
      <alignment horizontal="center" vertical="center"/>
    </xf>
    <xf numFmtId="164" fontId="13" fillId="0" borderId="0" xfId="1" applyFont="1" applyBorder="1" applyProtection="1"/>
    <xf numFmtId="3" fontId="13" fillId="0" borderId="0" xfId="1" applyNumberFormat="1" applyFont="1" applyBorder="1" applyAlignment="1" applyProtection="1">
      <alignment horizontal="right" vertical="center" wrapText="1"/>
    </xf>
    <xf numFmtId="3" fontId="0" fillId="3" borderId="0" xfId="0" applyNumberFormat="1" applyFill="1" applyAlignment="1">
      <alignment horizontal="center"/>
    </xf>
    <xf numFmtId="164" fontId="5" fillId="0" borderId="0" xfId="1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76" fontId="8" fillId="11" borderId="10" xfId="1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64" fontId="2" fillId="0" borderId="2" xfId="1" applyFont="1" applyFill="1" applyBorder="1" applyAlignment="1" applyProtection="1">
      <alignment horizontal="center"/>
    </xf>
    <xf numFmtId="164" fontId="2" fillId="0" borderId="8" xfId="1" applyFont="1" applyFill="1" applyBorder="1" applyAlignment="1" applyProtection="1">
      <alignment horizontal="right"/>
    </xf>
    <xf numFmtId="174" fontId="8" fillId="11" borderId="11" xfId="1" applyNumberFormat="1" applyFont="1" applyFill="1" applyBorder="1" applyAlignment="1" applyProtection="1">
      <alignment horizontal="center"/>
    </xf>
    <xf numFmtId="174" fontId="0" fillId="0" borderId="0" xfId="0" applyNumberFormat="1" applyProtection="1">
      <protection locked="0"/>
    </xf>
    <xf numFmtId="164" fontId="2" fillId="0" borderId="0" xfId="1" applyFont="1" applyBorder="1" applyAlignment="1" applyProtection="1">
      <alignment horizontal="left"/>
    </xf>
    <xf numFmtId="172" fontId="13" fillId="0" borderId="0" xfId="2" applyNumberFormat="1" applyFont="1" applyFill="1" applyBorder="1" applyAlignment="1" applyProtection="1">
      <alignment horizontal="center" vertical="center"/>
    </xf>
    <xf numFmtId="179" fontId="2" fillId="0" borderId="0" xfId="1" applyNumberFormat="1" applyFont="1" applyFill="1" applyBorder="1" applyAlignment="1" applyProtection="1">
      <alignment horizontal="right" vertical="center"/>
    </xf>
    <xf numFmtId="3" fontId="7" fillId="0" borderId="0" xfId="1" applyNumberFormat="1" applyFont="1" applyFill="1" applyBorder="1" applyAlignment="1" applyProtection="1">
      <alignment horizontal="left"/>
      <protection locked="0"/>
    </xf>
    <xf numFmtId="164" fontId="0" fillId="0" borderId="0" xfId="1" applyFont="1" applyFill="1" applyBorder="1" applyAlignment="1" applyProtection="1">
      <protection locked="0"/>
    </xf>
    <xf numFmtId="172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9" fontId="13" fillId="0" borderId="0" xfId="2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vertical="center"/>
      <protection locked="0"/>
    </xf>
    <xf numFmtId="176" fontId="7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170" fontId="2" fillId="0" borderId="0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172" fontId="4" fillId="0" borderId="0" xfId="1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2" fontId="25" fillId="0" borderId="0" xfId="0" applyNumberFormat="1" applyFont="1" applyAlignment="1">
      <alignment horizontal="right"/>
    </xf>
    <xf numFmtId="43" fontId="26" fillId="0" borderId="0" xfId="0" applyNumberFormat="1" applyFont="1" applyAlignment="1">
      <alignment horizontal="right"/>
    </xf>
    <xf numFmtId="2" fontId="0" fillId="0" borderId="0" xfId="0" applyNumberFormat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72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3" fontId="2" fillId="3" borderId="8" xfId="0" applyNumberFormat="1" applyFont="1" applyFill="1" applyBorder="1" applyAlignment="1">
      <alignment horizontal="center"/>
    </xf>
    <xf numFmtId="164" fontId="2" fillId="3" borderId="7" xfId="1" applyFont="1" applyFill="1" applyBorder="1" applyAlignment="1" applyProtection="1">
      <alignment horizontal="center"/>
    </xf>
    <xf numFmtId="0" fontId="0" fillId="3" borderId="7" xfId="0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0" fillId="3" borderId="7" xfId="0" applyFill="1" applyBorder="1"/>
    <xf numFmtId="2" fontId="0" fillId="10" borderId="0" xfId="0" applyNumberFormat="1" applyFill="1" applyProtection="1">
      <protection locked="0"/>
    </xf>
    <xf numFmtId="0" fontId="0" fillId="10" borderId="0" xfId="0" applyFill="1" applyProtection="1">
      <protection locked="0"/>
    </xf>
    <xf numFmtId="0" fontId="1" fillId="10" borderId="0" xfId="0" applyFont="1" applyFill="1" applyAlignment="1" applyProtection="1">
      <alignment horizontal="center" vertical="center"/>
      <protection locked="0"/>
    </xf>
    <xf numFmtId="164" fontId="1" fillId="10" borderId="0" xfId="1" applyFont="1" applyFill="1" applyBorder="1" applyAlignment="1" applyProtection="1">
      <alignment horizontal="left"/>
      <protection locked="0"/>
    </xf>
    <xf numFmtId="165" fontId="1" fillId="10" borderId="0" xfId="1" applyNumberFormat="1" applyFont="1" applyFill="1" applyBorder="1" applyAlignment="1" applyProtection="1">
      <alignment horizontal="left"/>
      <protection locked="0"/>
    </xf>
    <xf numFmtId="0" fontId="12" fillId="0" borderId="0" xfId="1" applyNumberFormat="1" applyFont="1" applyBorder="1" applyProtection="1"/>
    <xf numFmtId="0" fontId="12" fillId="3" borderId="0" xfId="1" applyNumberFormat="1" applyFont="1" applyFill="1" applyBorder="1" applyAlignment="1" applyProtection="1">
      <alignment horizontal="center"/>
    </xf>
    <xf numFmtId="0" fontId="28" fillId="0" borderId="0" xfId="1" applyNumberFormat="1" applyFont="1" applyBorder="1" applyAlignment="1" applyProtection="1">
      <alignment horizontal="center"/>
    </xf>
    <xf numFmtId="0" fontId="31" fillId="9" borderId="0" xfId="1" applyNumberFormat="1" applyFont="1" applyFill="1" applyBorder="1" applyProtection="1"/>
    <xf numFmtId="0" fontId="31" fillId="9" borderId="0" xfId="1" applyNumberFormat="1" applyFont="1" applyFill="1" applyBorder="1" applyAlignment="1" applyProtection="1">
      <alignment horizontal="center"/>
    </xf>
    <xf numFmtId="0" fontId="32" fillId="9" borderId="0" xfId="1" applyNumberFormat="1" applyFont="1" applyFill="1" applyBorder="1" applyAlignment="1" applyProtection="1">
      <alignment horizontal="center"/>
    </xf>
    <xf numFmtId="166" fontId="1" fillId="2" borderId="0" xfId="2" applyNumberFormat="1" applyFont="1" applyFill="1" applyBorder="1" applyAlignment="1" applyProtection="1">
      <alignment horizontal="center" vertical="center"/>
      <protection locked="0"/>
    </xf>
    <xf numFmtId="168" fontId="1" fillId="3" borderId="0" xfId="2" applyNumberFormat="1" applyFont="1" applyFill="1" applyBorder="1" applyAlignment="1" applyProtection="1">
      <alignment horizontal="center" vertical="center"/>
    </xf>
    <xf numFmtId="169" fontId="2" fillId="5" borderId="10" xfId="1" applyNumberFormat="1" applyFont="1" applyFill="1" applyBorder="1" applyAlignment="1" applyProtection="1">
      <alignment horizontal="right" vertical="center"/>
    </xf>
    <xf numFmtId="169" fontId="2" fillId="0" borderId="1" xfId="1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/>
    </xf>
    <xf numFmtId="169" fontId="2" fillId="0" borderId="1" xfId="1" applyNumberFormat="1" applyFont="1" applyFill="1" applyBorder="1" applyAlignment="1" applyProtection="1">
      <alignment horizontal="right" vertical="center"/>
    </xf>
    <xf numFmtId="0" fontId="13" fillId="3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/>
    </xf>
    <xf numFmtId="169" fontId="13" fillId="0" borderId="0" xfId="1" applyNumberFormat="1" applyFont="1" applyFill="1" applyBorder="1" applyAlignment="1" applyProtection="1">
      <alignment horizontal="center" vertical="center"/>
      <protection locked="0"/>
    </xf>
    <xf numFmtId="169" fontId="13" fillId="4" borderId="0" xfId="1" applyNumberFormat="1" applyFont="1" applyFill="1" applyBorder="1" applyAlignment="1" applyProtection="1">
      <alignment horizontal="center" vertical="center"/>
      <protection locked="0"/>
    </xf>
    <xf numFmtId="169" fontId="13" fillId="3" borderId="0" xfId="1" applyNumberFormat="1" applyFont="1" applyFill="1" applyBorder="1" applyAlignment="1" applyProtection="1">
      <alignment horizontal="center" vertical="center"/>
    </xf>
    <xf numFmtId="164" fontId="13" fillId="0" borderId="0" xfId="1" applyFont="1" applyFill="1" applyBorder="1" applyAlignment="1" applyProtection="1">
      <protection locked="0"/>
    </xf>
    <xf numFmtId="169" fontId="13" fillId="0" borderId="0" xfId="1" applyNumberFormat="1" applyFont="1" applyFill="1" applyBorder="1" applyAlignment="1" applyProtection="1">
      <alignment horizontal="right" vertical="center"/>
    </xf>
    <xf numFmtId="169" fontId="13" fillId="0" borderId="0" xfId="1" applyNumberFormat="1" applyFont="1" applyFill="1" applyBorder="1" applyAlignment="1" applyProtection="1">
      <alignment horizontal="center" vertical="center"/>
    </xf>
    <xf numFmtId="169" fontId="13" fillId="0" borderId="1" xfId="1" applyNumberFormat="1" applyFont="1" applyFill="1" applyBorder="1" applyAlignment="1" applyProtection="1">
      <alignment horizontal="right" vertical="center"/>
    </xf>
    <xf numFmtId="169" fontId="13" fillId="0" borderId="1" xfId="1" applyNumberFormat="1" applyFont="1" applyFill="1" applyBorder="1" applyAlignment="1" applyProtection="1">
      <alignment horizontal="center" vertical="center"/>
    </xf>
    <xf numFmtId="169" fontId="13" fillId="0" borderId="5" xfId="1" applyNumberFormat="1" applyFont="1" applyFill="1" applyBorder="1" applyAlignment="1" applyProtection="1">
      <alignment horizontal="center" vertical="center"/>
      <protection locked="0"/>
    </xf>
    <xf numFmtId="169" fontId="1" fillId="0" borderId="1" xfId="1" applyNumberFormat="1" applyFont="1" applyFill="1" applyBorder="1" applyAlignment="1" applyProtection="1">
      <alignment horizontal="center" vertical="center"/>
    </xf>
    <xf numFmtId="3" fontId="11" fillId="0" borderId="0" xfId="1" applyNumberFormat="1" applyFont="1" applyFill="1" applyBorder="1" applyProtection="1"/>
    <xf numFmtId="3" fontId="1" fillId="0" borderId="4" xfId="1" applyNumberFormat="1" applyFont="1" applyFill="1" applyBorder="1" applyProtection="1">
      <protection locked="0"/>
    </xf>
    <xf numFmtId="164" fontId="0" fillId="0" borderId="0" xfId="1" applyFont="1" applyFill="1" applyBorder="1" applyAlignment="1" applyProtection="1">
      <alignment horizontal="center"/>
    </xf>
    <xf numFmtId="164" fontId="1" fillId="0" borderId="0" xfId="1" applyFont="1" applyFill="1" applyBorder="1" applyAlignment="1" applyProtection="1">
      <alignment horizontal="center"/>
    </xf>
    <xf numFmtId="0" fontId="10" fillId="0" borderId="0" xfId="0" applyFont="1"/>
    <xf numFmtId="0" fontId="12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30" fillId="9" borderId="0" xfId="1" applyNumberFormat="1" applyFont="1" applyFill="1" applyBorder="1" applyAlignment="1" applyProtection="1">
      <alignment horizontal="left"/>
    </xf>
    <xf numFmtId="0" fontId="31" fillId="9" borderId="0" xfId="0" applyFont="1" applyFill="1" applyAlignment="1">
      <alignment horizontal="center"/>
    </xf>
    <xf numFmtId="0" fontId="30" fillId="9" borderId="0" xfId="0" applyFont="1" applyFill="1" applyAlignment="1">
      <alignment horizontal="center"/>
    </xf>
    <xf numFmtId="0" fontId="30" fillId="9" borderId="0" xfId="0" applyFont="1" applyFill="1"/>
    <xf numFmtId="0" fontId="8" fillId="0" borderId="7" xfId="0" applyFont="1" applyBorder="1" applyAlignment="1">
      <alignment horizontal="center"/>
    </xf>
    <xf numFmtId="0" fontId="1" fillId="4" borderId="0" xfId="0" applyFont="1" applyFill="1" applyAlignment="1" applyProtection="1">
      <alignment vertical="center"/>
      <protection locked="0"/>
    </xf>
    <xf numFmtId="3" fontId="3" fillId="3" borderId="0" xfId="0" applyNumberFormat="1" applyFont="1" applyFill="1" applyAlignment="1">
      <alignment horizontal="center" vertical="center"/>
    </xf>
    <xf numFmtId="164" fontId="3" fillId="3" borderId="0" xfId="1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164" fontId="13" fillId="0" borderId="0" xfId="1" applyFont="1" applyFill="1" applyBorder="1" applyAlignment="1" applyProtection="1">
      <alignment horizontal="right" vertical="center"/>
    </xf>
    <xf numFmtId="0" fontId="13" fillId="3" borderId="0" xfId="0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vertical="center"/>
    </xf>
    <xf numFmtId="164" fontId="4" fillId="3" borderId="0" xfId="1" applyFont="1" applyFill="1" applyBorder="1" applyAlignment="1" applyProtection="1">
      <alignment horizontal="center" vertical="center"/>
    </xf>
    <xf numFmtId="0" fontId="4" fillId="3" borderId="0" xfId="0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11" fillId="4" borderId="0" xfId="0" applyFont="1" applyFill="1" applyAlignment="1" applyProtection="1">
      <alignment vertical="center"/>
      <protection locked="0"/>
    </xf>
    <xf numFmtId="176" fontId="1" fillId="0" borderId="0" xfId="0" applyNumberFormat="1" applyFont="1" applyAlignment="1">
      <alignment horizontal="right" vertical="center"/>
    </xf>
    <xf numFmtId="176" fontId="2" fillId="5" borderId="10" xfId="1" applyNumberFormat="1" applyFont="1" applyFill="1" applyBorder="1" applyAlignment="1" applyProtection="1">
      <alignment horizontal="right" vertical="center"/>
    </xf>
    <xf numFmtId="0" fontId="21" fillId="0" borderId="0" xfId="0" applyFont="1" applyAlignment="1">
      <alignment horizontal="right"/>
    </xf>
    <xf numFmtId="0" fontId="13" fillId="3" borderId="0" xfId="0" applyFont="1" applyFill="1"/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169" fontId="13" fillId="0" borderId="0" xfId="1" applyNumberFormat="1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Alignment="1">
      <alignment horizontal="right"/>
    </xf>
    <xf numFmtId="0" fontId="0" fillId="5" borderId="0" xfId="0" applyFill="1" applyAlignment="1" applyProtection="1">
      <alignment vertical="center"/>
      <protection locked="0"/>
    </xf>
    <xf numFmtId="176" fontId="2" fillId="0" borderId="1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/>
      <protection locked="0"/>
    </xf>
    <xf numFmtId="169" fontId="1" fillId="4" borderId="1" xfId="1" applyNumberFormat="1" applyFont="1" applyFill="1" applyBorder="1" applyAlignment="1" applyProtection="1">
      <alignment horizontal="center" vertical="center"/>
      <protection locked="0"/>
    </xf>
    <xf numFmtId="164" fontId="24" fillId="3" borderId="4" xfId="1" applyFont="1" applyFill="1" applyBorder="1" applyAlignment="1" applyProtection="1">
      <alignment horizontal="center"/>
    </xf>
    <xf numFmtId="0" fontId="16" fillId="3" borderId="4" xfId="0" applyFont="1" applyFill="1" applyBorder="1" applyAlignment="1">
      <alignment horizontal="center"/>
    </xf>
    <xf numFmtId="2" fontId="16" fillId="3" borderId="4" xfId="0" applyNumberFormat="1" applyFont="1" applyFill="1" applyBorder="1" applyAlignment="1">
      <alignment horizontal="center"/>
    </xf>
    <xf numFmtId="0" fontId="16" fillId="3" borderId="4" xfId="0" applyFont="1" applyFill="1" applyBorder="1"/>
    <xf numFmtId="3" fontId="5" fillId="4" borderId="4" xfId="1" applyNumberFormat="1" applyFont="1" applyFill="1" applyBorder="1" applyAlignment="1" applyProtection="1">
      <alignment horizontal="left" vertical="center"/>
    </xf>
    <xf numFmtId="3" fontId="5" fillId="4" borderId="4" xfId="1" applyNumberFormat="1" applyFont="1" applyFill="1" applyBorder="1" applyAlignment="1" applyProtection="1">
      <alignment horizontal="left"/>
    </xf>
    <xf numFmtId="3" fontId="16" fillId="4" borderId="4" xfId="1" applyNumberFormat="1" applyFont="1" applyFill="1" applyBorder="1" applyAlignment="1" applyProtection="1">
      <alignment horizontal="left"/>
    </xf>
    <xf numFmtId="3" fontId="24" fillId="4" borderId="4" xfId="1" applyNumberFormat="1" applyFont="1" applyFill="1" applyBorder="1" applyProtection="1"/>
    <xf numFmtId="3" fontId="24" fillId="3" borderId="4" xfId="0" applyNumberFormat="1" applyFont="1" applyFill="1" applyBorder="1" applyAlignment="1">
      <alignment horizontal="center"/>
    </xf>
    <xf numFmtId="164" fontId="24" fillId="4" borderId="4" xfId="1" applyFont="1" applyFill="1" applyBorder="1" applyAlignment="1" applyProtection="1">
      <alignment horizontal="center"/>
    </xf>
    <xf numFmtId="3" fontId="8" fillId="7" borderId="7" xfId="1" applyNumberFormat="1" applyFont="1" applyFill="1" applyBorder="1" applyAlignment="1" applyProtection="1">
      <alignment horizontal="left"/>
    </xf>
    <xf numFmtId="3" fontId="8" fillId="7" borderId="7" xfId="1" applyNumberFormat="1" applyFont="1" applyFill="1" applyBorder="1" applyAlignment="1" applyProtection="1">
      <alignment horizontal="right"/>
    </xf>
    <xf numFmtId="3" fontId="5" fillId="7" borderId="7" xfId="1" applyNumberFormat="1" applyFont="1" applyFill="1" applyBorder="1" applyProtection="1"/>
    <xf numFmtId="3" fontId="5" fillId="7" borderId="7" xfId="0" applyNumberFormat="1" applyFont="1" applyFill="1" applyBorder="1" applyAlignment="1">
      <alignment horizontal="center"/>
    </xf>
    <xf numFmtId="164" fontId="5" fillId="7" borderId="7" xfId="1" applyFont="1" applyFill="1" applyBorder="1" applyAlignment="1" applyProtection="1">
      <alignment horizontal="center"/>
    </xf>
    <xf numFmtId="0" fontId="0" fillId="7" borderId="7" xfId="0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0" fontId="6" fillId="7" borderId="7" xfId="0" applyFont="1" applyFill="1" applyBorder="1"/>
    <xf numFmtId="164" fontId="2" fillId="7" borderId="7" xfId="1" applyFont="1" applyFill="1" applyBorder="1" applyAlignment="1" applyProtection="1">
      <alignment horizontal="center"/>
    </xf>
    <xf numFmtId="164" fontId="2" fillId="3" borderId="1" xfId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11" fillId="0" borderId="7" xfId="0" applyFont="1" applyBorder="1" applyAlignment="1">
      <alignment horizontal="center"/>
    </xf>
    <xf numFmtId="3" fontId="22" fillId="9" borderId="0" xfId="1" applyNumberFormat="1" applyFont="1" applyFill="1" applyBorder="1" applyAlignment="1" applyProtection="1">
      <alignment horizontal="center"/>
    </xf>
    <xf numFmtId="0" fontId="18" fillId="4" borderId="8" xfId="0" applyFont="1" applyFill="1" applyBorder="1" applyProtection="1">
      <protection locked="0"/>
    </xf>
    <xf numFmtId="0" fontId="18" fillId="4" borderId="7" xfId="0" applyFont="1" applyFill="1" applyBorder="1" applyProtection="1">
      <protection locked="0"/>
    </xf>
    <xf numFmtId="3" fontId="7" fillId="4" borderId="7" xfId="1" applyNumberFormat="1" applyFont="1" applyFill="1" applyBorder="1" applyProtection="1"/>
    <xf numFmtId="3" fontId="7" fillId="3" borderId="7" xfId="1" applyNumberFormat="1" applyFont="1" applyFill="1" applyBorder="1" applyAlignment="1" applyProtection="1">
      <alignment horizontal="center"/>
    </xf>
    <xf numFmtId="164" fontId="7" fillId="3" borderId="7" xfId="1" applyFont="1" applyFill="1" applyBorder="1" applyAlignment="1" applyProtection="1">
      <alignment horizontal="center"/>
    </xf>
    <xf numFmtId="0" fontId="7" fillId="3" borderId="7" xfId="0" applyFont="1" applyFill="1" applyBorder="1" applyAlignment="1">
      <alignment horizontal="center"/>
    </xf>
    <xf numFmtId="2" fontId="7" fillId="3" borderId="7" xfId="0" applyNumberFormat="1" applyFont="1" applyFill="1" applyBorder="1" applyAlignment="1">
      <alignment horizontal="center"/>
    </xf>
    <xf numFmtId="0" fontId="7" fillId="3" borderId="7" xfId="0" applyFont="1" applyFill="1" applyBorder="1"/>
    <xf numFmtId="3" fontId="3" fillId="4" borderId="9" xfId="1" applyNumberFormat="1" applyFont="1" applyFill="1" applyBorder="1" applyAlignment="1" applyProtection="1">
      <alignment horizontal="center"/>
    </xf>
    <xf numFmtId="164" fontId="15" fillId="0" borderId="13" xfId="1" applyFont="1" applyFill="1" applyBorder="1" applyAlignment="1" applyProtection="1">
      <alignment horizontal="center"/>
    </xf>
    <xf numFmtId="3" fontId="10" fillId="0" borderId="4" xfId="1" applyNumberFormat="1" applyFont="1" applyFill="1" applyBorder="1" applyAlignment="1" applyProtection="1">
      <alignment horizontal="center"/>
    </xf>
    <xf numFmtId="3" fontId="12" fillId="0" borderId="4" xfId="0" applyNumberFormat="1" applyFont="1" applyBorder="1" applyAlignment="1">
      <alignment horizontal="center"/>
    </xf>
    <xf numFmtId="164" fontId="12" fillId="0" borderId="4" xfId="1" applyFont="1" applyFill="1" applyBorder="1" applyAlignment="1" applyProtection="1">
      <alignment horizontal="center"/>
    </xf>
    <xf numFmtId="0" fontId="10" fillId="0" borderId="4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0" borderId="4" xfId="0" applyFont="1" applyBorder="1"/>
    <xf numFmtId="169" fontId="0" fillId="4" borderId="1" xfId="1" applyNumberFormat="1" applyFont="1" applyFill="1" applyBorder="1" applyAlignment="1" applyProtection="1">
      <alignment horizontal="center"/>
      <protection locked="0"/>
    </xf>
    <xf numFmtId="3" fontId="12" fillId="3" borderId="1" xfId="0" applyNumberFormat="1" applyFont="1" applyFill="1" applyBorder="1" applyAlignment="1">
      <alignment horizontal="center"/>
    </xf>
    <xf numFmtId="164" fontId="12" fillId="3" borderId="1" xfId="1" applyFont="1" applyFill="1" applyBorder="1" applyAlignment="1" applyProtection="1">
      <alignment horizontal="center"/>
    </xf>
    <xf numFmtId="0" fontId="10" fillId="3" borderId="1" xfId="0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/>
    <xf numFmtId="177" fontId="0" fillId="6" borderId="15" xfId="1" applyNumberFormat="1" applyFont="1" applyFill="1" applyBorder="1" applyAlignment="1" applyProtection="1">
      <alignment horizontal="center"/>
      <protection locked="0"/>
    </xf>
    <xf numFmtId="0" fontId="19" fillId="0" borderId="8" xfId="0" applyFont="1" applyBorder="1"/>
    <xf numFmtId="0" fontId="7" fillId="0" borderId="7" xfId="0" applyFont="1" applyBorder="1" applyProtection="1">
      <protection locked="0"/>
    </xf>
    <xf numFmtId="3" fontId="7" fillId="0" borderId="7" xfId="1" applyNumberFormat="1" applyFont="1" applyFill="1" applyBorder="1" applyProtection="1">
      <protection locked="0"/>
    </xf>
    <xf numFmtId="3" fontId="7" fillId="3" borderId="7" xfId="1" applyNumberFormat="1" applyFont="1" applyFill="1" applyBorder="1" applyProtection="1"/>
    <xf numFmtId="3" fontId="1" fillId="0" borderId="9" xfId="1" applyNumberFormat="1" applyFont="1" applyFill="1" applyBorder="1" applyProtection="1">
      <protection locked="0"/>
    </xf>
    <xf numFmtId="169" fontId="2" fillId="0" borderId="0" xfId="1" applyNumberFormat="1" applyFont="1" applyFill="1" applyBorder="1" applyAlignment="1" applyProtection="1">
      <alignment horizontal="right" vertical="center"/>
    </xf>
    <xf numFmtId="169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64" fontId="4" fillId="0" borderId="1" xfId="1" applyFont="1" applyBorder="1" applyAlignment="1" applyProtection="1">
      <alignment horizontal="right" vertical="center"/>
    </xf>
    <xf numFmtId="168" fontId="0" fillId="0" borderId="1" xfId="1" applyNumberFormat="1" applyFont="1" applyFill="1" applyBorder="1" applyAlignment="1" applyProtection="1">
      <alignment horizontal="center" vertical="center"/>
    </xf>
    <xf numFmtId="3" fontId="23" fillId="9" borderId="0" xfId="1" applyNumberFormat="1" applyFont="1" applyFill="1" applyBorder="1" applyAlignment="1" applyProtection="1">
      <alignment horizontal="center"/>
    </xf>
    <xf numFmtId="177" fontId="0" fillId="10" borderId="14" xfId="1" applyNumberFormat="1" applyFont="1" applyFill="1" applyBorder="1" applyAlignment="1" applyProtection="1">
      <alignment horizontal="center"/>
      <protection locked="0"/>
    </xf>
    <xf numFmtId="169" fontId="1" fillId="10" borderId="0" xfId="1" applyNumberFormat="1" applyFont="1" applyFill="1" applyBorder="1" applyAlignment="1" applyProtection="1">
      <alignment horizontal="center"/>
      <protection locked="0"/>
    </xf>
    <xf numFmtId="169" fontId="1" fillId="0" borderId="0" xfId="1" applyNumberFormat="1" applyFont="1" applyFill="1" applyBorder="1" applyAlignment="1" applyProtection="1">
      <alignment horizontal="right" vertical="center"/>
    </xf>
    <xf numFmtId="3" fontId="2" fillId="3" borderId="12" xfId="0" applyNumberFormat="1" applyFont="1" applyFill="1" applyBorder="1" applyAlignment="1">
      <alignment horizontal="center"/>
    </xf>
    <xf numFmtId="164" fontId="2" fillId="3" borderId="12" xfId="1" applyFont="1" applyFill="1" applyBorder="1" applyAlignment="1" applyProtection="1">
      <alignment horizontal="center"/>
    </xf>
    <xf numFmtId="0" fontId="0" fillId="3" borderId="12" xfId="0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0" fontId="0" fillId="3" borderId="12" xfId="0" applyFill="1" applyBorder="1"/>
    <xf numFmtId="164" fontId="2" fillId="0" borderId="12" xfId="1" applyFont="1" applyFill="1" applyBorder="1" applyAlignment="1" applyProtection="1">
      <alignment horizontal="right"/>
    </xf>
    <xf numFmtId="0" fontId="1" fillId="0" borderId="0" xfId="0" applyFont="1" applyAlignment="1" applyProtection="1">
      <alignment vertical="center"/>
      <protection locked="0"/>
    </xf>
    <xf numFmtId="171" fontId="4" fillId="0" borderId="0" xfId="1" applyNumberFormat="1" applyFont="1" applyFill="1" applyBorder="1" applyAlignment="1" applyProtection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164" fontId="1" fillId="3" borderId="0" xfId="1" applyFont="1" applyFill="1" applyBorder="1" applyAlignment="1" applyProtection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176" fontId="1" fillId="0" borderId="5" xfId="0" applyNumberFormat="1" applyFont="1" applyBorder="1" applyAlignment="1">
      <alignment horizontal="right" vertical="center"/>
    </xf>
    <xf numFmtId="166" fontId="1" fillId="7" borderId="0" xfId="2" applyNumberFormat="1" applyFont="1" applyFill="1" applyBorder="1" applyAlignment="1" applyProtection="1">
      <alignment horizontal="center" vertical="center"/>
      <protection locked="0"/>
    </xf>
    <xf numFmtId="179" fontId="1" fillId="0" borderId="5" xfId="1" applyNumberFormat="1" applyFont="1" applyFill="1" applyBorder="1" applyAlignment="1" applyProtection="1">
      <alignment horizontal="right" vertical="center"/>
    </xf>
    <xf numFmtId="164" fontId="2" fillId="0" borderId="12" xfId="1" applyFont="1" applyFill="1" applyBorder="1" applyAlignment="1" applyProtection="1">
      <alignment horizontal="center"/>
    </xf>
    <xf numFmtId="0" fontId="8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164" fontId="21" fillId="0" borderId="0" xfId="1" applyFont="1" applyFill="1" applyBorder="1" applyAlignment="1" applyProtection="1">
      <alignment horizontal="right" vertical="center"/>
    </xf>
    <xf numFmtId="4" fontId="0" fillId="3" borderId="0" xfId="0" applyNumberFormat="1" applyFill="1" applyAlignment="1">
      <alignment horizontal="center" vertical="center"/>
    </xf>
    <xf numFmtId="0" fontId="34" fillId="4" borderId="0" xfId="0" applyFont="1" applyFill="1" applyProtection="1">
      <protection locked="0"/>
    </xf>
    <xf numFmtId="169" fontId="4" fillId="10" borderId="0" xfId="1" applyNumberFormat="1" applyFont="1" applyFill="1" applyBorder="1" applyAlignment="1" applyProtection="1">
      <alignment horizontal="center" vertical="center"/>
    </xf>
    <xf numFmtId="4" fontId="2" fillId="3" borderId="0" xfId="0" applyNumberFormat="1" applyFont="1" applyFill="1" applyAlignment="1">
      <alignment horizontal="center"/>
    </xf>
    <xf numFmtId="164" fontId="4" fillId="10" borderId="0" xfId="1" applyFont="1" applyFill="1" applyBorder="1" applyProtection="1">
      <protection locked="0"/>
    </xf>
    <xf numFmtId="164" fontId="4" fillId="0" borderId="0" xfId="1" applyFont="1" applyFill="1" applyBorder="1" applyAlignment="1" applyProtection="1">
      <alignment horizontal="center"/>
      <protection locked="0"/>
    </xf>
    <xf numFmtId="169" fontId="1" fillId="10" borderId="0" xfId="1" applyNumberFormat="1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right"/>
    </xf>
    <xf numFmtId="170" fontId="0" fillId="7" borderId="4" xfId="1" applyNumberFormat="1" applyFont="1" applyFill="1" applyBorder="1" applyAlignment="1" applyProtection="1">
      <alignment horizontal="center"/>
      <protection locked="0"/>
    </xf>
    <xf numFmtId="3" fontId="1" fillId="0" borderId="4" xfId="1" applyNumberFormat="1" applyFont="1" applyBorder="1" applyProtection="1"/>
    <xf numFmtId="164" fontId="0" fillId="0" borderId="14" xfId="1" applyFont="1" applyBorder="1" applyProtection="1"/>
    <xf numFmtId="0" fontId="2" fillId="0" borderId="3" xfId="0" applyFont="1" applyBorder="1" applyAlignment="1">
      <alignment horizontal="right"/>
    </xf>
    <xf numFmtId="164" fontId="0" fillId="0" borderId="5" xfId="1" applyFont="1" applyBorder="1" applyProtection="1"/>
    <xf numFmtId="0" fontId="2" fillId="0" borderId="2" xfId="0" applyFont="1" applyBorder="1" applyAlignment="1">
      <alignment horizontal="right"/>
    </xf>
    <xf numFmtId="182" fontId="1" fillId="0" borderId="1" xfId="2" applyNumberFormat="1" applyFont="1" applyFill="1" applyBorder="1" applyAlignment="1" applyProtection="1">
      <alignment horizontal="left" vertical="center"/>
    </xf>
    <xf numFmtId="164" fontId="13" fillId="0" borderId="15" xfId="1" applyFont="1" applyBorder="1" applyProtection="1"/>
    <xf numFmtId="0" fontId="2" fillId="0" borderId="8" xfId="0" applyFont="1" applyBorder="1" applyAlignment="1">
      <alignment horizontal="right" vertical="center"/>
    </xf>
    <xf numFmtId="170" fontId="2" fillId="10" borderId="7" xfId="1" applyNumberFormat="1" applyFont="1" applyFill="1" applyBorder="1" applyAlignment="1" applyProtection="1">
      <alignment horizontal="center" vertical="center"/>
    </xf>
    <xf numFmtId="0" fontId="1" fillId="0" borderId="13" xfId="1" applyNumberFormat="1" applyFont="1" applyFill="1" applyBorder="1" applyAlignment="1" applyProtection="1">
      <alignment horizontal="right" vertical="center" wrapText="1"/>
    </xf>
    <xf numFmtId="170" fontId="1" fillId="7" borderId="4" xfId="1" applyNumberFormat="1" applyFont="1" applyFill="1" applyBorder="1" applyAlignment="1" applyProtection="1">
      <alignment horizontal="center" vertical="center"/>
    </xf>
    <xf numFmtId="164" fontId="0" fillId="11" borderId="11" xfId="1" applyFont="1" applyFill="1" applyBorder="1" applyProtection="1">
      <protection locked="0"/>
    </xf>
    <xf numFmtId="170" fontId="13" fillId="11" borderId="11" xfId="1" applyNumberFormat="1" applyFont="1" applyFill="1" applyBorder="1" applyAlignment="1" applyProtection="1">
      <alignment horizontal="right"/>
    </xf>
    <xf numFmtId="170" fontId="13" fillId="11" borderId="11" xfId="1" applyNumberFormat="1" applyFont="1" applyFill="1" applyBorder="1" applyAlignment="1" applyProtection="1">
      <alignment horizontal="left"/>
    </xf>
    <xf numFmtId="170" fontId="13" fillId="11" borderId="11" xfId="1" applyNumberFormat="1" applyFont="1" applyFill="1" applyBorder="1" applyAlignment="1" applyProtection="1">
      <alignment horizontal="center"/>
    </xf>
    <xf numFmtId="0" fontId="20" fillId="0" borderId="13" xfId="0" applyFont="1" applyBorder="1" applyAlignment="1">
      <alignment horizontal="center"/>
    </xf>
    <xf numFmtId="3" fontId="22" fillId="9" borderId="4" xfId="1" applyNumberFormat="1" applyFont="1" applyFill="1" applyBorder="1" applyAlignment="1" applyProtection="1">
      <alignment horizontal="center"/>
    </xf>
    <xf numFmtId="164" fontId="4" fillId="10" borderId="4" xfId="1" applyFont="1" applyFill="1" applyBorder="1" applyAlignment="1" applyProtection="1">
      <alignment horizontal="center"/>
      <protection locked="0"/>
    </xf>
    <xf numFmtId="3" fontId="2" fillId="3" borderId="4" xfId="1" applyNumberFormat="1" applyFont="1" applyFill="1" applyBorder="1" applyAlignment="1" applyProtection="1">
      <alignment horizontal="center"/>
    </xf>
    <xf numFmtId="0" fontId="0" fillId="3" borderId="4" xfId="0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0" fillId="3" borderId="4" xfId="0" applyFill="1" applyBorder="1"/>
    <xf numFmtId="164" fontId="2" fillId="0" borderId="14" xfId="1" applyFont="1" applyBorder="1" applyAlignment="1" applyProtection="1">
      <alignment horizontal="center"/>
    </xf>
    <xf numFmtId="0" fontId="1" fillId="0" borderId="3" xfId="0" applyFont="1" applyBorder="1" applyAlignment="1">
      <alignment horizontal="right"/>
    </xf>
    <xf numFmtId="173" fontId="2" fillId="0" borderId="5" xfId="1" applyNumberFormat="1" applyFont="1" applyFill="1" applyBorder="1" applyAlignment="1" applyProtection="1">
      <alignment horizontal="center"/>
    </xf>
    <xf numFmtId="0" fontId="2" fillId="0" borderId="3" xfId="0" applyFont="1" applyBorder="1"/>
    <xf numFmtId="0" fontId="13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wrapText="1"/>
    </xf>
    <xf numFmtId="3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73" fontId="2" fillId="0" borderId="15" xfId="1" applyNumberFormat="1" applyFont="1" applyFill="1" applyBorder="1" applyAlignment="1" applyProtection="1">
      <alignment horizontal="center" vertical="center"/>
    </xf>
    <xf numFmtId="170" fontId="13" fillId="0" borderId="4" xfId="1" applyNumberFormat="1" applyFont="1" applyFill="1" applyBorder="1" applyAlignment="1" applyProtection="1">
      <alignment horizontal="left"/>
    </xf>
    <xf numFmtId="176" fontId="1" fillId="5" borderId="0" xfId="1" applyNumberFormat="1" applyFont="1" applyFill="1" applyBorder="1" applyAlignment="1" applyProtection="1">
      <alignment horizontal="center"/>
    </xf>
    <xf numFmtId="176" fontId="1" fillId="5" borderId="0" xfId="1" applyNumberFormat="1" applyFont="1" applyFill="1" applyBorder="1" applyAlignment="1" applyProtection="1">
      <alignment horizontal="left"/>
    </xf>
    <xf numFmtId="167" fontId="1" fillId="3" borderId="0" xfId="1" applyNumberFormat="1" applyFont="1" applyFill="1" applyBorder="1" applyAlignment="1" applyProtection="1">
      <alignment horizontal="center"/>
    </xf>
    <xf numFmtId="167" fontId="1" fillId="2" borderId="0" xfId="1" applyNumberFormat="1" applyFont="1" applyFill="1" applyBorder="1" applyAlignment="1" applyProtection="1">
      <alignment horizontal="center"/>
    </xf>
    <xf numFmtId="4" fontId="1" fillId="3" borderId="0" xfId="1" applyNumberFormat="1" applyFont="1" applyFill="1" applyBorder="1" applyAlignment="1" applyProtection="1">
      <alignment horizontal="center"/>
    </xf>
    <xf numFmtId="4" fontId="1" fillId="3" borderId="0" xfId="0" applyNumberFormat="1" applyFont="1" applyFill="1" applyAlignment="1">
      <alignment horizontal="center"/>
    </xf>
    <xf numFmtId="175" fontId="1" fillId="3" borderId="0" xfId="1" applyNumberFormat="1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right"/>
      <protection locked="0"/>
    </xf>
    <xf numFmtId="176" fontId="1" fillId="5" borderId="4" xfId="1" applyNumberFormat="1" applyFont="1" applyFill="1" applyBorder="1" applyAlignment="1" applyProtection="1">
      <alignment horizontal="center"/>
    </xf>
    <xf numFmtId="176" fontId="1" fillId="5" borderId="4" xfId="1" applyNumberFormat="1" applyFont="1" applyFill="1" applyBorder="1" applyAlignment="1" applyProtection="1">
      <alignment horizontal="left"/>
    </xf>
    <xf numFmtId="167" fontId="1" fillId="3" borderId="4" xfId="1" applyNumberFormat="1" applyFont="1" applyFill="1" applyBorder="1" applyAlignment="1" applyProtection="1">
      <alignment horizontal="center"/>
    </xf>
    <xf numFmtId="167" fontId="1" fillId="2" borderId="4" xfId="1" applyNumberFormat="1" applyFont="1" applyFill="1" applyBorder="1" applyAlignment="1" applyProtection="1">
      <alignment horizontal="center"/>
    </xf>
    <xf numFmtId="4" fontId="1" fillId="3" borderId="4" xfId="1" applyNumberFormat="1" applyFont="1" applyFill="1" applyBorder="1" applyAlignment="1" applyProtection="1">
      <alignment horizontal="center"/>
    </xf>
    <xf numFmtId="4" fontId="1" fillId="3" borderId="4" xfId="0" applyNumberFormat="1" applyFont="1" applyFill="1" applyBorder="1" applyAlignment="1">
      <alignment horizontal="center"/>
    </xf>
    <xf numFmtId="175" fontId="1" fillId="3" borderId="4" xfId="1" applyNumberFormat="1" applyFont="1" applyFill="1" applyBorder="1" applyAlignment="1" applyProtection="1">
      <alignment horizontal="center"/>
    </xf>
    <xf numFmtId="178" fontId="2" fillId="5" borderId="14" xfId="1" applyNumberFormat="1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right"/>
      <protection locked="0"/>
    </xf>
    <xf numFmtId="178" fontId="2" fillId="5" borderId="5" xfId="1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right"/>
      <protection locked="0"/>
    </xf>
    <xf numFmtId="167" fontId="1" fillId="7" borderId="1" xfId="1" applyNumberFormat="1" applyFont="1" applyFill="1" applyBorder="1" applyAlignment="1" applyProtection="1">
      <alignment horizontal="center"/>
      <protection locked="0"/>
    </xf>
    <xf numFmtId="176" fontId="1" fillId="5" borderId="1" xfId="1" applyNumberFormat="1" applyFont="1" applyFill="1" applyBorder="1" applyAlignment="1" applyProtection="1">
      <alignment horizontal="center"/>
    </xf>
    <xf numFmtId="176" fontId="1" fillId="5" borderId="1" xfId="1" applyNumberFormat="1" applyFont="1" applyFill="1" applyBorder="1" applyAlignment="1" applyProtection="1">
      <alignment horizontal="left"/>
    </xf>
    <xf numFmtId="167" fontId="1" fillId="3" borderId="1" xfId="1" applyNumberFormat="1" applyFont="1" applyFill="1" applyBorder="1" applyAlignment="1" applyProtection="1">
      <alignment horizontal="center"/>
    </xf>
    <xf numFmtId="167" fontId="1" fillId="2" borderId="1" xfId="1" applyNumberFormat="1" applyFont="1" applyFill="1" applyBorder="1" applyAlignment="1" applyProtection="1">
      <alignment horizontal="center"/>
    </xf>
    <xf numFmtId="4" fontId="1" fillId="3" borderId="1" xfId="1" applyNumberFormat="1" applyFont="1" applyFill="1" applyBorder="1" applyAlignment="1" applyProtection="1">
      <alignment horizontal="center"/>
    </xf>
    <xf numFmtId="4" fontId="1" fillId="3" borderId="1" xfId="0" applyNumberFormat="1" applyFont="1" applyFill="1" applyBorder="1" applyAlignment="1">
      <alignment horizontal="center"/>
    </xf>
    <xf numFmtId="175" fontId="1" fillId="3" borderId="1" xfId="1" applyNumberFormat="1" applyFont="1" applyFill="1" applyBorder="1" applyAlignment="1" applyProtection="1">
      <alignment horizontal="center"/>
    </xf>
    <xf numFmtId="178" fontId="2" fillId="5" borderId="15" xfId="1" applyNumberFormat="1" applyFont="1" applyFill="1" applyBorder="1" applyAlignment="1" applyProtection="1">
      <alignment horizontal="center"/>
    </xf>
    <xf numFmtId="167" fontId="1" fillId="0" borderId="0" xfId="1" applyNumberFormat="1" applyFont="1" applyFill="1" applyBorder="1" applyAlignment="1" applyProtection="1">
      <alignment horizontal="center"/>
      <protection locked="0"/>
    </xf>
    <xf numFmtId="167" fontId="1" fillId="0" borderId="1" xfId="1" applyNumberFormat="1" applyFont="1" applyFill="1" applyBorder="1" applyAlignment="1" applyProtection="1">
      <alignment horizontal="center"/>
      <protection locked="0"/>
    </xf>
    <xf numFmtId="183" fontId="0" fillId="10" borderId="4" xfId="1" applyNumberFormat="1" applyFont="1" applyFill="1" applyBorder="1" applyAlignment="1" applyProtection="1">
      <alignment horizontal="center" vertical="center"/>
    </xf>
    <xf numFmtId="169" fontId="0" fillId="7" borderId="4" xfId="1" applyNumberFormat="1" applyFont="1" applyFill="1" applyBorder="1" applyAlignment="1" applyProtection="1">
      <alignment horizontal="center" vertical="center"/>
    </xf>
    <xf numFmtId="170" fontId="17" fillId="0" borderId="0" xfId="1" applyNumberFormat="1" applyFont="1" applyFill="1" applyBorder="1" applyAlignment="1" applyProtection="1">
      <alignment horizontal="center" vertical="center"/>
    </xf>
    <xf numFmtId="169" fontId="2" fillId="10" borderId="0" xfId="1" applyNumberFormat="1" applyFont="1" applyFill="1" applyBorder="1" applyAlignment="1" applyProtection="1">
      <alignment horizontal="left" vertical="center"/>
    </xf>
    <xf numFmtId="179" fontId="1" fillId="6" borderId="0" xfId="1" applyNumberFormat="1" applyFont="1" applyFill="1" applyBorder="1" applyAlignment="1" applyProtection="1">
      <alignment horizontal="right" vertical="center"/>
    </xf>
    <xf numFmtId="0" fontId="33" fillId="0" borderId="0" xfId="0" applyFont="1" applyAlignment="1">
      <alignment horizontal="left" vertical="center"/>
    </xf>
    <xf numFmtId="170" fontId="4" fillId="0" borderId="0" xfId="1" applyNumberFormat="1" applyFont="1" applyFill="1" applyBorder="1" applyAlignment="1" applyProtection="1">
      <alignment horizontal="center" vertical="center"/>
    </xf>
    <xf numFmtId="186" fontId="13" fillId="0" borderId="0" xfId="1" applyNumberFormat="1" applyFont="1" applyFill="1" applyBorder="1" applyAlignment="1" applyProtection="1">
      <alignment horizontal="center" vertical="center"/>
    </xf>
    <xf numFmtId="0" fontId="11" fillId="6" borderId="0" xfId="0" applyFont="1" applyFill="1" applyAlignment="1" applyProtection="1">
      <alignment vertical="center"/>
      <protection locked="0"/>
    </xf>
    <xf numFmtId="178" fontId="1" fillId="0" borderId="1" xfId="1" applyNumberFormat="1" applyFont="1" applyFill="1" applyBorder="1" applyAlignment="1" applyProtection="1">
      <alignment horizontal="center"/>
    </xf>
    <xf numFmtId="169" fontId="13" fillId="7" borderId="0" xfId="1" applyNumberFormat="1" applyFont="1" applyFill="1" applyBorder="1" applyAlignment="1" applyProtection="1">
      <alignment horizontal="center" vertical="center"/>
      <protection locked="0"/>
    </xf>
    <xf numFmtId="183" fontId="0" fillId="10" borderId="4" xfId="1" applyNumberFormat="1" applyFont="1" applyFill="1" applyBorder="1" applyAlignment="1" applyProtection="1">
      <alignment horizontal="right" vertical="center"/>
    </xf>
    <xf numFmtId="185" fontId="28" fillId="10" borderId="2" xfId="1" applyNumberFormat="1" applyFont="1" applyFill="1" applyBorder="1" applyAlignment="1" applyProtection="1">
      <alignment horizontal="center"/>
    </xf>
    <xf numFmtId="181" fontId="13" fillId="10" borderId="4" xfId="1" applyNumberFormat="1" applyFont="1" applyFill="1" applyBorder="1" applyAlignment="1" applyProtection="1">
      <alignment horizontal="center" vertical="center" wrapText="1"/>
      <protection locked="0"/>
    </xf>
    <xf numFmtId="181" fontId="13" fillId="10" borderId="14" xfId="1" applyNumberFormat="1" applyFont="1" applyFill="1" applyBorder="1" applyAlignment="1" applyProtection="1">
      <alignment horizontal="center" vertical="center" wrapText="1"/>
      <protection locked="0"/>
    </xf>
    <xf numFmtId="181" fontId="13" fillId="10" borderId="7" xfId="1" applyNumberFormat="1" applyFont="1" applyFill="1" applyBorder="1" applyAlignment="1" applyProtection="1">
      <alignment horizontal="center" vertical="center" wrapText="1"/>
      <protection locked="0"/>
    </xf>
    <xf numFmtId="181" fontId="13" fillId="10" borderId="9" xfId="1" applyNumberFormat="1" applyFont="1" applyFill="1" applyBorder="1" applyAlignment="1" applyProtection="1">
      <alignment horizontal="center" vertical="center" wrapText="1"/>
      <protection locked="0"/>
    </xf>
    <xf numFmtId="169" fontId="2" fillId="0" borderId="0" xfId="1" applyNumberFormat="1" applyFont="1" applyFill="1" applyBorder="1" applyAlignment="1" applyProtection="1">
      <alignment horizontal="left" vertical="center"/>
    </xf>
    <xf numFmtId="164" fontId="2" fillId="0" borderId="0" xfId="1" applyFont="1" applyFill="1" applyBorder="1" applyAlignment="1" applyProtection="1">
      <alignment horizontal="right" vertical="center"/>
    </xf>
    <xf numFmtId="0" fontId="0" fillId="0" borderId="0" xfId="1" applyNumberFormat="1" applyFont="1" applyFill="1" applyBorder="1" applyAlignment="1" applyProtection="1">
      <alignment horizontal="center" vertic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0"/>
  <sheetViews>
    <sheetView tabSelected="1" zoomScaleNormal="100" workbookViewId="0">
      <pane ySplit="2" topLeftCell="A3" activePane="bottomLeft" state="frozen"/>
      <selection pane="bottomLeft" activeCell="N14" sqref="N14"/>
    </sheetView>
  </sheetViews>
  <sheetFormatPr baseColWidth="10" defaultColWidth="11.44140625" defaultRowHeight="13.2" x14ac:dyDescent="0.25"/>
  <cols>
    <col min="1" max="1" width="36.21875" style="2" customWidth="1"/>
    <col min="2" max="4" width="14.33203125" style="6" customWidth="1"/>
    <col min="5" max="5" width="9.109375" style="22" hidden="1" customWidth="1"/>
    <col min="6" max="7" width="11.109375" style="22" hidden="1" customWidth="1"/>
    <col min="8" max="9" width="11.109375" style="21" hidden="1" customWidth="1"/>
    <col min="10" max="11" width="11.109375" style="18" hidden="1" customWidth="1"/>
    <col min="12" max="12" width="12.44140625" style="19" hidden="1" customWidth="1"/>
    <col min="13" max="13" width="11.44140625" hidden="1" customWidth="1"/>
    <col min="14" max="14" width="12.44140625" style="12" customWidth="1"/>
    <col min="15" max="15" width="13.88671875" style="5" customWidth="1"/>
    <col min="16" max="16" width="12.6640625" style="5" customWidth="1"/>
    <col min="17" max="19" width="11.44140625" style="2"/>
    <col min="20" max="20" width="20.77734375" style="2" bestFit="1" customWidth="1"/>
    <col min="21" max="16384" width="11.44140625" style="2"/>
  </cols>
  <sheetData>
    <row r="1" spans="1:24" x14ac:dyDescent="0.25">
      <c r="A1" s="65" t="s">
        <v>95</v>
      </c>
    </row>
    <row r="2" spans="1:24" s="1" customFormat="1" ht="30" x14ac:dyDescent="0.5">
      <c r="A2" s="249" t="s">
        <v>81</v>
      </c>
      <c r="B2" s="250"/>
      <c r="C2" s="251"/>
      <c r="D2" s="251"/>
      <c r="E2" s="252"/>
      <c r="F2" s="252"/>
      <c r="G2" s="252"/>
      <c r="H2" s="253"/>
      <c r="I2" s="253"/>
      <c r="J2" s="254"/>
      <c r="K2" s="254"/>
      <c r="L2" s="255"/>
      <c r="M2" s="256"/>
      <c r="N2" s="257"/>
      <c r="O2" s="38"/>
      <c r="P2" s="38"/>
      <c r="Q2" s="38"/>
      <c r="R2" s="38"/>
      <c r="S2" s="38"/>
      <c r="T2" s="128"/>
    </row>
    <row r="3" spans="1:24" s="8" customFormat="1" ht="17.399999999999999" x14ac:dyDescent="0.3">
      <c r="A3" s="258" t="s">
        <v>20</v>
      </c>
      <c r="B3" s="259" t="s">
        <v>21</v>
      </c>
      <c r="C3" s="259" t="s">
        <v>22</v>
      </c>
      <c r="D3" s="259" t="s">
        <v>23</v>
      </c>
      <c r="E3" s="260"/>
      <c r="F3" s="260"/>
      <c r="G3" s="260"/>
      <c r="H3" s="261"/>
      <c r="I3" s="261"/>
      <c r="J3" s="262"/>
      <c r="K3" s="262"/>
      <c r="L3" s="263"/>
      <c r="M3" s="264"/>
      <c r="N3" s="283">
        <f>C4^2*D4/25</f>
        <v>19.36</v>
      </c>
      <c r="O3" s="38"/>
      <c r="P3" s="38"/>
      <c r="Q3" s="38"/>
      <c r="R3" s="38"/>
      <c r="S3" s="38"/>
    </row>
    <row r="4" spans="1:24" s="8" customFormat="1" ht="13.8" x14ac:dyDescent="0.25">
      <c r="A4" s="392">
        <f>B:B/0.3048</f>
        <v>39.370078740157481</v>
      </c>
      <c r="B4" s="265">
        <v>12</v>
      </c>
      <c r="C4" s="265">
        <v>11</v>
      </c>
      <c r="D4" s="265">
        <v>4</v>
      </c>
      <c r="E4" s="266"/>
      <c r="F4" s="266"/>
      <c r="G4" s="266"/>
      <c r="H4" s="267"/>
      <c r="I4" s="267"/>
      <c r="J4" s="268"/>
      <c r="K4" s="268"/>
      <c r="L4" s="269"/>
      <c r="M4" s="270"/>
      <c r="N4" s="271">
        <f>N3</f>
        <v>19.36</v>
      </c>
      <c r="O4" s="9"/>
      <c r="P4" s="37"/>
      <c r="Q4" s="129"/>
    </row>
    <row r="5" spans="1:24" s="110" customFormat="1" ht="21" x14ac:dyDescent="0.4">
      <c r="A5" s="228" t="s">
        <v>55</v>
      </c>
      <c r="B5" s="229"/>
      <c r="C5" s="230" t="s">
        <v>52</v>
      </c>
      <c r="D5" s="231"/>
      <c r="E5" s="232"/>
      <c r="F5" s="232"/>
      <c r="G5" s="232"/>
      <c r="H5" s="224"/>
      <c r="I5" s="224"/>
      <c r="J5" s="225"/>
      <c r="K5" s="225"/>
      <c r="L5" s="226"/>
      <c r="M5" s="227"/>
      <c r="N5" s="233"/>
      <c r="O5" s="109"/>
      <c r="P5" s="109"/>
    </row>
    <row r="6" spans="1:24" s="110" customFormat="1" ht="21" x14ac:dyDescent="0.4">
      <c r="A6" s="234" t="s">
        <v>54</v>
      </c>
      <c r="B6" s="235"/>
      <c r="C6" s="234"/>
      <c r="D6" s="236"/>
      <c r="E6" s="237"/>
      <c r="F6" s="237"/>
      <c r="G6" s="237"/>
      <c r="H6" s="238"/>
      <c r="I6" s="238"/>
      <c r="J6" s="239"/>
      <c r="K6" s="239"/>
      <c r="L6" s="240"/>
      <c r="M6" s="241"/>
      <c r="N6" s="242"/>
      <c r="O6" s="109"/>
      <c r="P6" s="109"/>
    </row>
    <row r="7" spans="1:24" s="8" customFormat="1" ht="13.8" x14ac:dyDescent="0.25">
      <c r="A7" s="185" t="s">
        <v>56</v>
      </c>
      <c r="B7" s="157"/>
      <c r="C7" s="157"/>
      <c r="D7" s="157"/>
      <c r="E7" s="186"/>
      <c r="F7" s="186"/>
      <c r="G7" s="186"/>
      <c r="H7" s="158"/>
      <c r="I7" s="158"/>
      <c r="J7" s="187"/>
      <c r="K7" s="187"/>
      <c r="L7" s="187"/>
      <c r="M7" s="188"/>
      <c r="N7" s="159"/>
      <c r="O7" s="9"/>
      <c r="P7" s="9"/>
    </row>
    <row r="8" spans="1:24" s="8" customFormat="1" ht="13.8" x14ac:dyDescent="0.25">
      <c r="A8" s="185" t="s">
        <v>53</v>
      </c>
      <c r="B8" s="157"/>
      <c r="C8" s="157"/>
      <c r="D8" s="157"/>
      <c r="E8" s="186"/>
      <c r="F8" s="186"/>
      <c r="G8" s="186"/>
      <c r="H8" s="158"/>
      <c r="I8" s="158"/>
      <c r="J8" s="187"/>
      <c r="K8" s="187"/>
      <c r="L8" s="187"/>
      <c r="M8" s="188"/>
      <c r="N8" s="159"/>
      <c r="O8" s="9"/>
      <c r="P8" s="9"/>
    </row>
    <row r="9" spans="1:24" s="8" customFormat="1" ht="13.8" x14ac:dyDescent="0.25">
      <c r="A9" s="185" t="s">
        <v>57</v>
      </c>
      <c r="B9" s="157"/>
      <c r="C9" s="157"/>
      <c r="D9" s="157"/>
      <c r="E9" s="186"/>
      <c r="F9" s="186"/>
      <c r="G9" s="186"/>
      <c r="H9" s="158"/>
      <c r="I9" s="158"/>
      <c r="J9" s="187"/>
      <c r="K9" s="187"/>
      <c r="L9" s="187"/>
      <c r="M9" s="188"/>
      <c r="N9" s="159"/>
      <c r="O9" s="9"/>
      <c r="P9" s="9"/>
    </row>
    <row r="10" spans="1:24" s="8" customFormat="1" ht="13.8" x14ac:dyDescent="0.25">
      <c r="A10" s="189" t="s">
        <v>59</v>
      </c>
      <c r="B10" s="160"/>
      <c r="C10" s="160"/>
      <c r="D10" s="160"/>
      <c r="E10" s="190"/>
      <c r="F10" s="190"/>
      <c r="G10" s="190"/>
      <c r="H10" s="161"/>
      <c r="I10" s="161"/>
      <c r="J10" s="191"/>
      <c r="K10" s="191"/>
      <c r="L10" s="191"/>
      <c r="M10" s="192"/>
      <c r="N10" s="162"/>
      <c r="O10" s="9"/>
      <c r="P10" s="9"/>
    </row>
    <row r="11" spans="1:24" s="8" customFormat="1" ht="13.8" x14ac:dyDescent="0.25">
      <c r="A11" s="189" t="s">
        <v>94</v>
      </c>
      <c r="B11" s="160"/>
      <c r="C11" s="160"/>
      <c r="D11" s="160"/>
      <c r="E11" s="190"/>
      <c r="F11" s="190"/>
      <c r="G11" s="190"/>
      <c r="H11" s="161"/>
      <c r="I11" s="161"/>
      <c r="J11" s="191"/>
      <c r="K11" s="191"/>
      <c r="L11" s="191"/>
      <c r="M11" s="192"/>
      <c r="N11" s="162"/>
      <c r="O11" s="9"/>
      <c r="P11" s="9"/>
    </row>
    <row r="12" spans="1:24" ht="15.6" x14ac:dyDescent="0.3">
      <c r="A12" s="193"/>
      <c r="B12" s="68" t="s">
        <v>38</v>
      </c>
      <c r="C12" s="68" t="s">
        <v>1</v>
      </c>
      <c r="D12" s="68" t="s">
        <v>2</v>
      </c>
      <c r="E12" s="147" t="s">
        <v>0</v>
      </c>
      <c r="F12" s="147"/>
      <c r="G12" s="147"/>
      <c r="H12" s="148"/>
      <c r="I12" s="148"/>
      <c r="J12" s="149"/>
      <c r="K12" s="150"/>
      <c r="L12" s="150"/>
      <c r="M12" s="151"/>
      <c r="N12" s="115" t="s">
        <v>10</v>
      </c>
      <c r="O12" s="85"/>
      <c r="P12" s="36"/>
      <c r="Q12" s="36"/>
      <c r="T12" s="126"/>
      <c r="U12" s="126"/>
      <c r="V12" s="126"/>
      <c r="W12" s="126"/>
      <c r="X12" s="126"/>
    </row>
    <row r="13" spans="1:24" s="41" customFormat="1" x14ac:dyDescent="0.25">
      <c r="A13" s="194" t="s">
        <v>41</v>
      </c>
      <c r="B13" s="39">
        <v>5</v>
      </c>
      <c r="C13" s="39">
        <v>4</v>
      </c>
      <c r="D13" s="39">
        <v>3</v>
      </c>
      <c r="E13" s="195">
        <f t="shared" ref="E13" si="0">(B13+C13+D13)/2</f>
        <v>6</v>
      </c>
      <c r="F13" s="195"/>
      <c r="G13" s="195"/>
      <c r="H13" s="196"/>
      <c r="I13" s="196"/>
      <c r="J13" s="197"/>
      <c r="K13" s="198"/>
      <c r="L13" s="198"/>
      <c r="M13" s="199"/>
      <c r="N13" s="73">
        <f>SQRT(E13*(E13-B13)*(E13-C13)*(E13-D13))</f>
        <v>6</v>
      </c>
      <c r="O13" s="74"/>
      <c r="P13" s="130"/>
      <c r="Q13" s="14"/>
      <c r="R13" s="14"/>
      <c r="S13" s="14"/>
    </row>
    <row r="14" spans="1:24" s="51" customFormat="1" ht="11.4" x14ac:dyDescent="0.2">
      <c r="A14" s="209" t="s">
        <v>6</v>
      </c>
      <c r="B14" s="386">
        <f>DEGREES(ASIN(2*$N13/B13/C13))</f>
        <v>36.86989764584402</v>
      </c>
      <c r="C14" s="386">
        <f>180-B14-D14</f>
        <v>90</v>
      </c>
      <c r="D14" s="386">
        <f>DEGREES(ASIN(2*$N13/D13/B13))</f>
        <v>53.130102354155987</v>
      </c>
      <c r="E14" s="203">
        <f>(B14+C14+D14)/2</f>
        <v>90</v>
      </c>
      <c r="F14" s="203"/>
      <c r="G14" s="203"/>
      <c r="H14" s="204"/>
      <c r="I14" s="204"/>
      <c r="J14" s="205"/>
      <c r="K14" s="205"/>
      <c r="L14" s="206"/>
      <c r="M14" s="207"/>
      <c r="N14" s="387">
        <f>N13/B13*2</f>
        <v>2.4</v>
      </c>
      <c r="O14" s="44"/>
      <c r="P14" s="132"/>
    </row>
    <row r="15" spans="1:24" ht="15.6" x14ac:dyDescent="0.3">
      <c r="A15" s="303"/>
      <c r="B15" s="68" t="s">
        <v>38</v>
      </c>
      <c r="C15" s="68" t="s">
        <v>1</v>
      </c>
      <c r="D15" s="68" t="s">
        <v>2</v>
      </c>
      <c r="E15" s="286" t="s">
        <v>0</v>
      </c>
      <c r="F15" s="286"/>
      <c r="G15" s="286"/>
      <c r="H15" s="287"/>
      <c r="I15" s="287"/>
      <c r="J15" s="288"/>
      <c r="K15" s="289"/>
      <c r="L15" s="289"/>
      <c r="M15" s="290"/>
      <c r="N15" s="291" t="s">
        <v>10</v>
      </c>
      <c r="O15" s="85"/>
      <c r="P15" s="36"/>
      <c r="Q15" s="36"/>
      <c r="T15" s="126"/>
      <c r="U15" s="126"/>
      <c r="V15" s="126"/>
      <c r="W15" s="126"/>
      <c r="X15" s="126"/>
    </row>
    <row r="16" spans="1:24" s="7" customFormat="1" ht="17.399999999999999" x14ac:dyDescent="0.3">
      <c r="A16" s="211" t="s">
        <v>82</v>
      </c>
      <c r="B16" s="10">
        <v>0</v>
      </c>
      <c r="C16" s="10">
        <v>0</v>
      </c>
      <c r="D16" s="10">
        <v>0</v>
      </c>
      <c r="E16" s="87">
        <f t="shared" ref="E16" si="1">(B16+C16+D16)/2</f>
        <v>0</v>
      </c>
      <c r="F16" s="87"/>
      <c r="G16" s="87"/>
      <c r="H16" s="23"/>
      <c r="I16" s="23"/>
      <c r="J16" s="88"/>
      <c r="K16" s="89"/>
      <c r="L16" s="89"/>
      <c r="M16" s="90"/>
      <c r="N16" s="73">
        <f>SQRT(E16*(E16-B16)*(E16-C16)*(E16-D16))</f>
        <v>0</v>
      </c>
      <c r="O16" s="74"/>
      <c r="P16" s="130"/>
      <c r="R16" s="14"/>
      <c r="U16" s="133"/>
      <c r="V16" s="134"/>
      <c r="W16" s="135"/>
      <c r="X16"/>
    </row>
    <row r="17" spans="1:26" s="51" customFormat="1" ht="11.4" x14ac:dyDescent="0.2">
      <c r="A17" s="209" t="s">
        <v>6</v>
      </c>
      <c r="B17" s="386" t="e">
        <f>DEGREES(ASIN(2*$N16/B16/C16))</f>
        <v>#DIV/0!</v>
      </c>
      <c r="C17" s="386" t="e">
        <f>180-B17-D17</f>
        <v>#DIV/0!</v>
      </c>
      <c r="D17" s="386" t="e">
        <f>DEGREES(ASIN(2*$N16/D16/B16))</f>
        <v>#DIV/0!</v>
      </c>
      <c r="E17" s="203" t="e">
        <f>(B17+C17+D17)/2</f>
        <v>#DIV/0!</v>
      </c>
      <c r="F17" s="203"/>
      <c r="G17" s="203"/>
      <c r="H17" s="204"/>
      <c r="I17" s="204"/>
      <c r="J17" s="205"/>
      <c r="K17" s="205"/>
      <c r="L17" s="206"/>
      <c r="M17" s="207"/>
      <c r="N17" s="387"/>
      <c r="O17" s="44"/>
      <c r="P17" s="132"/>
    </row>
    <row r="18" spans="1:26" s="7" customFormat="1" ht="20.399999999999999" x14ac:dyDescent="0.25">
      <c r="A18" s="208" t="s">
        <v>8</v>
      </c>
      <c r="B18" s="28">
        <v>0.02</v>
      </c>
      <c r="C18" s="16" t="s">
        <v>7</v>
      </c>
      <c r="D18" s="35">
        <f>B18*C16*100</f>
        <v>0</v>
      </c>
      <c r="E18" s="87"/>
      <c r="F18" s="87"/>
      <c r="G18" s="87"/>
      <c r="H18" s="23"/>
      <c r="I18" s="23"/>
      <c r="J18" s="88"/>
      <c r="K18" s="88"/>
      <c r="L18" s="89"/>
      <c r="M18" s="90"/>
      <c r="N18" s="73">
        <f>(C16^2*B18*0.65)</f>
        <v>0</v>
      </c>
      <c r="O18" s="120"/>
      <c r="P18" s="40"/>
      <c r="Q18" s="136"/>
      <c r="R18" s="136"/>
      <c r="S18" s="136"/>
    </row>
    <row r="19" spans="1:26" s="7" customFormat="1" x14ac:dyDescent="0.2">
      <c r="A19" s="16" t="s">
        <v>12</v>
      </c>
      <c r="B19" s="28">
        <v>0.03</v>
      </c>
      <c r="C19" s="16" t="s">
        <v>7</v>
      </c>
      <c r="D19" s="35">
        <f>B19*D16*100</f>
        <v>0</v>
      </c>
      <c r="E19" s="87"/>
      <c r="F19" s="87"/>
      <c r="G19" s="87"/>
      <c r="H19" s="23"/>
      <c r="I19" s="23"/>
      <c r="J19" s="88"/>
      <c r="K19" s="88"/>
      <c r="L19" s="89"/>
      <c r="M19" s="90"/>
      <c r="N19" s="73">
        <f>(D16^2*B19*0.65)</f>
        <v>0</v>
      </c>
      <c r="O19" s="24"/>
      <c r="P19" s="40"/>
    </row>
    <row r="20" spans="1:26" s="7" customFormat="1" ht="16.2" thickBot="1" x14ac:dyDescent="0.3">
      <c r="A20" s="398" t="s">
        <v>18</v>
      </c>
      <c r="B20" s="397" t="e">
        <f>N16/B16*2</f>
        <v>#DIV/0!</v>
      </c>
      <c r="C20" s="96"/>
      <c r="D20" s="86" t="str">
        <f>A16</f>
        <v>Fokk</v>
      </c>
      <c r="E20" s="91"/>
      <c r="F20" s="91"/>
      <c r="G20" s="91"/>
      <c r="H20" s="92"/>
      <c r="I20" s="92"/>
      <c r="J20" s="93"/>
      <c r="K20" s="93"/>
      <c r="L20" s="94"/>
      <c r="M20" s="95"/>
      <c r="N20" s="111">
        <f>SUM(N16:N19)</f>
        <v>0</v>
      </c>
      <c r="O20" s="384">
        <v>0</v>
      </c>
      <c r="P20" s="385" t="s">
        <v>80</v>
      </c>
      <c r="Z20" s="127"/>
    </row>
    <row r="21" spans="1:26" s="7" customFormat="1" ht="13.8" thickTop="1" x14ac:dyDescent="0.2">
      <c r="A21" s="103" t="s">
        <v>42</v>
      </c>
      <c r="B21" s="78">
        <f>C16/5</f>
        <v>0</v>
      </c>
      <c r="C21" s="32">
        <f>ROUND(B21,1)</f>
        <v>0</v>
      </c>
      <c r="D21" s="97" t="e">
        <f>N20-N21</f>
        <v>#DIV/0!</v>
      </c>
      <c r="E21" s="87"/>
      <c r="F21" s="87"/>
      <c r="G21" s="87"/>
      <c r="H21" s="23"/>
      <c r="I21" s="23"/>
      <c r="J21" s="88"/>
      <c r="K21" s="88"/>
      <c r="L21" s="89"/>
      <c r="M21" s="90"/>
      <c r="N21" s="112" t="e">
        <f>((C16-C21)/C16)^2*N20</f>
        <v>#DIV/0!</v>
      </c>
      <c r="O21" s="25"/>
    </row>
    <row r="22" spans="1:26" s="7" customFormat="1" x14ac:dyDescent="0.25">
      <c r="A22" s="77" t="s">
        <v>43</v>
      </c>
      <c r="B22" s="78">
        <f>C16/7</f>
        <v>0</v>
      </c>
      <c r="C22" s="32">
        <f>ROUND(B22,1)</f>
        <v>0</v>
      </c>
      <c r="D22" s="97" t="e">
        <f>N20-N22</f>
        <v>#DIV/0!</v>
      </c>
      <c r="E22" s="87"/>
      <c r="F22" s="87"/>
      <c r="G22" s="87"/>
      <c r="H22" s="23"/>
      <c r="I22" s="23"/>
      <c r="J22" s="88"/>
      <c r="K22" s="88"/>
      <c r="L22" s="89"/>
      <c r="M22" s="90"/>
      <c r="N22" s="113" t="e">
        <f>((C16-C22*0.95)/C16)^2*N20</f>
        <v>#DIV/0!</v>
      </c>
      <c r="O22" s="25"/>
      <c r="Q22" s="11"/>
      <c r="R22" s="11"/>
      <c r="S22" s="11"/>
      <c r="T22" s="137"/>
    </row>
    <row r="23" spans="1:26" s="7" customFormat="1" x14ac:dyDescent="0.25">
      <c r="A23" s="31"/>
      <c r="B23" s="79" t="s">
        <v>19</v>
      </c>
      <c r="C23" s="80">
        <f>C22</f>
        <v>0</v>
      </c>
      <c r="D23" s="97" t="e">
        <f>N22-N23</f>
        <v>#DIV/0!</v>
      </c>
      <c r="E23" s="87"/>
      <c r="F23" s="87"/>
      <c r="G23" s="87"/>
      <c r="H23" s="23"/>
      <c r="I23" s="23"/>
      <c r="J23" s="88"/>
      <c r="K23" s="88"/>
      <c r="L23" s="89"/>
      <c r="M23" s="90"/>
      <c r="N23" s="112" t="e">
        <f>((C16-(C22+C23)*0.95)/C16)^2*N20</f>
        <v>#DIV/0!</v>
      </c>
      <c r="O23" s="25"/>
    </row>
    <row r="24" spans="1:26" ht="17.399999999999999" x14ac:dyDescent="0.3">
      <c r="A24" s="304" t="s">
        <v>40</v>
      </c>
      <c r="B24" s="68" t="s">
        <v>38</v>
      </c>
      <c r="C24" s="68" t="s">
        <v>1</v>
      </c>
      <c r="D24" s="68" t="s">
        <v>2</v>
      </c>
      <c r="E24" s="286" t="s">
        <v>0</v>
      </c>
      <c r="F24" s="286"/>
      <c r="G24" s="286"/>
      <c r="H24" s="287"/>
      <c r="I24" s="287"/>
      <c r="J24" s="288"/>
      <c r="K24" s="289"/>
      <c r="L24" s="289"/>
      <c r="M24" s="290"/>
      <c r="N24" s="302" t="s">
        <v>10</v>
      </c>
      <c r="O24" s="85"/>
      <c r="P24" s="36"/>
      <c r="Q24" s="36"/>
      <c r="T24" s="126"/>
      <c r="U24" s="126"/>
      <c r="V24" s="126"/>
      <c r="W24" s="126"/>
      <c r="X24" s="126"/>
    </row>
    <row r="25" spans="1:26" s="41" customFormat="1" x14ac:dyDescent="0.25">
      <c r="A25" s="194" t="s">
        <v>83</v>
      </c>
      <c r="B25" s="39">
        <v>0</v>
      </c>
      <c r="C25" s="39">
        <v>0</v>
      </c>
      <c r="D25" s="39">
        <v>0</v>
      </c>
      <c r="E25" s="195">
        <f t="shared" ref="E25" si="2">(B25+C25+D25)/2</f>
        <v>0</v>
      </c>
      <c r="F25" s="195"/>
      <c r="G25" s="195"/>
      <c r="H25" s="196"/>
      <c r="I25" s="196"/>
      <c r="J25" s="197"/>
      <c r="K25" s="198"/>
      <c r="L25" s="198"/>
      <c r="M25" s="199"/>
      <c r="N25" s="73">
        <f>SQRT(E25*(E25-B25)*(E25-C25)*(E25-D25))</f>
        <v>0</v>
      </c>
      <c r="O25" s="74"/>
      <c r="P25" s="130"/>
      <c r="Q25" s="14"/>
      <c r="R25" s="14"/>
      <c r="S25" s="14"/>
    </row>
    <row r="26" spans="1:26" s="51" customFormat="1" ht="11.4" x14ac:dyDescent="0.2">
      <c r="A26" s="209" t="s">
        <v>6</v>
      </c>
      <c r="B26" s="386" t="e">
        <f>DEGREES(ASIN(2*$N25/B25/C25))</f>
        <v>#DIV/0!</v>
      </c>
      <c r="C26" s="386" t="e">
        <f>180-B26-D26</f>
        <v>#DIV/0!</v>
      </c>
      <c r="D26" s="386" t="e">
        <f>DEGREES(ASIN(2*$N25/D25/B25))</f>
        <v>#DIV/0!</v>
      </c>
      <c r="E26" s="203" t="e">
        <f>(B26+C26+D26)/2</f>
        <v>#DIV/0!</v>
      </c>
      <c r="F26" s="203"/>
      <c r="G26" s="203"/>
      <c r="H26" s="204"/>
      <c r="I26" s="204"/>
      <c r="J26" s="205"/>
      <c r="K26" s="205"/>
      <c r="L26" s="206"/>
      <c r="M26" s="207"/>
      <c r="N26" s="387" t="e">
        <f>N25/B25*2</f>
        <v>#DIV/0!</v>
      </c>
      <c r="O26" s="44"/>
      <c r="P26" s="132"/>
    </row>
    <row r="27" spans="1:26" ht="15.6" x14ac:dyDescent="0.3">
      <c r="A27" s="305"/>
      <c r="B27" s="68" t="s">
        <v>38</v>
      </c>
      <c r="C27" s="68" t="s">
        <v>1</v>
      </c>
      <c r="D27" s="68" t="s">
        <v>2</v>
      </c>
      <c r="E27" s="286" t="s">
        <v>0</v>
      </c>
      <c r="F27" s="286"/>
      <c r="G27" s="286"/>
      <c r="H27" s="287"/>
      <c r="I27" s="287"/>
      <c r="J27" s="288"/>
      <c r="K27" s="289"/>
      <c r="L27" s="289"/>
      <c r="M27" s="290"/>
      <c r="N27" s="302" t="s">
        <v>10</v>
      </c>
      <c r="O27" s="85"/>
      <c r="P27" s="36"/>
      <c r="Q27" s="36"/>
      <c r="T27" s="126"/>
      <c r="U27" s="126"/>
      <c r="V27" s="126"/>
      <c r="W27" s="126"/>
      <c r="X27" s="126"/>
    </row>
    <row r="28" spans="1:26" s="7" customFormat="1" ht="17.399999999999999" x14ac:dyDescent="0.3">
      <c r="A28" s="211" t="s">
        <v>51</v>
      </c>
      <c r="B28" s="10">
        <v>0</v>
      </c>
      <c r="C28" s="10">
        <v>0</v>
      </c>
      <c r="D28" s="10">
        <v>0</v>
      </c>
      <c r="E28" s="87">
        <f t="shared" ref="E28" si="3">(B28+C28+D28)/2</f>
        <v>0</v>
      </c>
      <c r="F28" s="87"/>
      <c r="G28" s="87"/>
      <c r="H28" s="23"/>
      <c r="I28" s="23"/>
      <c r="J28" s="88"/>
      <c r="K28" s="89"/>
      <c r="L28" s="89"/>
      <c r="M28" s="90"/>
      <c r="N28" s="73">
        <f>SQRT(E28*(E28-B28)*(E28-C28)*(E28-D28))</f>
        <v>0</v>
      </c>
      <c r="O28" s="74"/>
      <c r="P28" s="130"/>
      <c r="R28" s="14"/>
      <c r="U28" s="133"/>
      <c r="V28" s="134"/>
      <c r="W28" s="135"/>
      <c r="X28"/>
    </row>
    <row r="29" spans="1:26" s="7" customFormat="1" ht="13.8" x14ac:dyDescent="0.3">
      <c r="A29" s="209" t="s">
        <v>6</v>
      </c>
      <c r="B29" s="386" t="e">
        <f>DEGREES(ASIN(2*$N28/B28/C28))</f>
        <v>#DIV/0!</v>
      </c>
      <c r="C29" s="386" t="e">
        <f>180-B29-D29</f>
        <v>#DIV/0!</v>
      </c>
      <c r="D29" s="386" t="e">
        <f>DEGREES(ASIN(2*$N28/D28/B28))</f>
        <v>#DIV/0!</v>
      </c>
      <c r="E29" s="87" t="e">
        <f>(B29+C29+D29)/2</f>
        <v>#DIV/0!</v>
      </c>
      <c r="F29" s="87"/>
      <c r="G29" s="87"/>
      <c r="H29" s="23"/>
      <c r="I29" s="23"/>
      <c r="J29" s="88"/>
      <c r="K29" s="88"/>
      <c r="L29" s="89"/>
      <c r="M29" s="90"/>
      <c r="N29" s="43"/>
      <c r="O29" s="44"/>
      <c r="P29" s="132"/>
      <c r="U29" s="133"/>
      <c r="V29" s="134"/>
      <c r="W29" s="135"/>
      <c r="X29"/>
    </row>
    <row r="30" spans="1:26" s="7" customFormat="1" x14ac:dyDescent="0.25">
      <c r="A30" s="210" t="s">
        <v>44</v>
      </c>
      <c r="B30" s="28">
        <v>-0.02</v>
      </c>
      <c r="C30" s="16" t="s">
        <v>7</v>
      </c>
      <c r="D30" s="35">
        <f>B30*C28*100</f>
        <v>0</v>
      </c>
      <c r="E30" s="87"/>
      <c r="F30" s="87"/>
      <c r="G30" s="87"/>
      <c r="H30" s="23"/>
      <c r="I30" s="23"/>
      <c r="J30" s="88"/>
      <c r="K30" s="88"/>
      <c r="L30" s="89"/>
      <c r="M30" s="90"/>
      <c r="N30" s="73">
        <f>(C28^2*B30*0.65)</f>
        <v>0</v>
      </c>
      <c r="O30" s="120"/>
      <c r="P30" s="40"/>
      <c r="Q30" s="136"/>
      <c r="R30" s="136"/>
      <c r="S30" s="136"/>
    </row>
    <row r="31" spans="1:26" s="7" customFormat="1" x14ac:dyDescent="0.2">
      <c r="A31" s="69" t="s">
        <v>96</v>
      </c>
      <c r="B31" s="28">
        <v>0</v>
      </c>
      <c r="C31" s="16" t="s">
        <v>7</v>
      </c>
      <c r="D31" s="35">
        <f>B31*D28*100</f>
        <v>0</v>
      </c>
      <c r="E31" s="87"/>
      <c r="F31" s="87"/>
      <c r="G31" s="87"/>
      <c r="H31" s="23"/>
      <c r="I31" s="23"/>
      <c r="J31" s="88"/>
      <c r="K31" s="88"/>
      <c r="L31" s="89"/>
      <c r="M31" s="90"/>
      <c r="N31" s="73">
        <f>(D28^2*B31*0.65)</f>
        <v>0</v>
      </c>
      <c r="O31" s="24"/>
      <c r="P31" s="40"/>
    </row>
    <row r="32" spans="1:26" s="7" customFormat="1" ht="16.2" thickBot="1" x14ac:dyDescent="0.3">
      <c r="A32" s="398" t="s">
        <v>18</v>
      </c>
      <c r="B32" s="397" t="e">
        <f>N28/B28*2</f>
        <v>#DIV/0!</v>
      </c>
      <c r="C32" s="96"/>
      <c r="D32" s="86" t="str">
        <f>A28</f>
        <v>Genoa/Storklyver</v>
      </c>
      <c r="E32" s="91"/>
      <c r="F32" s="91"/>
      <c r="G32" s="91"/>
      <c r="H32" s="92"/>
      <c r="I32" s="92"/>
      <c r="J32" s="93"/>
      <c r="K32" s="93"/>
      <c r="L32" s="94"/>
      <c r="M32" s="95"/>
      <c r="N32" s="111">
        <f>SUM(N28:N31)</f>
        <v>0</v>
      </c>
      <c r="O32" s="384">
        <v>0</v>
      </c>
      <c r="P32" s="385" t="s">
        <v>80</v>
      </c>
      <c r="Z32" s="127"/>
    </row>
    <row r="33" spans="1:26" ht="16.2" thickTop="1" x14ac:dyDescent="0.3">
      <c r="A33" s="305"/>
      <c r="B33" s="68" t="s">
        <v>38</v>
      </c>
      <c r="C33" s="68" t="s">
        <v>1</v>
      </c>
      <c r="D33" s="68" t="s">
        <v>2</v>
      </c>
      <c r="E33" s="286" t="s">
        <v>0</v>
      </c>
      <c r="F33" s="286"/>
      <c r="G33" s="286"/>
      <c r="H33" s="287"/>
      <c r="I33" s="287"/>
      <c r="J33" s="288"/>
      <c r="K33" s="289"/>
      <c r="L33" s="289"/>
      <c r="M33" s="290"/>
      <c r="N33" s="302" t="s">
        <v>10</v>
      </c>
      <c r="O33" s="85"/>
      <c r="P33" s="36"/>
      <c r="Q33" s="36"/>
      <c r="T33" s="126"/>
      <c r="U33" s="126"/>
      <c r="V33" s="126"/>
      <c r="W33" s="126"/>
      <c r="X33" s="126"/>
    </row>
    <row r="34" spans="1:26" s="7" customFormat="1" ht="17.399999999999999" x14ac:dyDescent="0.3">
      <c r="A34" s="211" t="s">
        <v>84</v>
      </c>
      <c r="B34" s="10">
        <v>0</v>
      </c>
      <c r="C34" s="10">
        <v>0</v>
      </c>
      <c r="D34" s="10">
        <v>0</v>
      </c>
      <c r="E34" s="87">
        <f t="shared" ref="E34" si="4">(B34+C34+D34)/2</f>
        <v>0</v>
      </c>
      <c r="F34" s="87"/>
      <c r="G34" s="87"/>
      <c r="H34" s="23"/>
      <c r="I34" s="23"/>
      <c r="J34" s="88"/>
      <c r="K34" s="89"/>
      <c r="L34" s="89"/>
      <c r="M34" s="90"/>
      <c r="N34" s="73">
        <f>SQRT(E34*(E34-B34)*(E34-C34)*(E34-D34))</f>
        <v>0</v>
      </c>
      <c r="O34" s="74"/>
      <c r="P34" s="130"/>
      <c r="R34" s="14"/>
      <c r="U34" s="133"/>
      <c r="V34" s="134"/>
      <c r="W34" s="135"/>
      <c r="X34"/>
    </row>
    <row r="35" spans="1:26" s="7" customFormat="1" ht="13.8" x14ac:dyDescent="0.3">
      <c r="A35" s="209" t="s">
        <v>6</v>
      </c>
      <c r="B35" s="386" t="e">
        <f>DEGREES(ASIN(2*$N34/B34/C34))</f>
        <v>#DIV/0!</v>
      </c>
      <c r="C35" s="386" t="e">
        <f>180-B35-D35</f>
        <v>#DIV/0!</v>
      </c>
      <c r="D35" s="386" t="e">
        <f>DEGREES(ASIN(2*$N34/D34/B34))</f>
        <v>#DIV/0!</v>
      </c>
      <c r="E35" s="87" t="e">
        <f>(B35+C35+D35)/2</f>
        <v>#DIV/0!</v>
      </c>
      <c r="F35" s="87"/>
      <c r="G35" s="87"/>
      <c r="H35" s="23"/>
      <c r="I35" s="23"/>
      <c r="J35" s="88"/>
      <c r="K35" s="88"/>
      <c r="L35" s="89"/>
      <c r="M35" s="90"/>
      <c r="N35" s="43"/>
      <c r="O35" s="44"/>
      <c r="P35" s="132"/>
      <c r="U35" s="133"/>
      <c r="V35" s="134"/>
      <c r="W35" s="135"/>
      <c r="X35"/>
    </row>
    <row r="36" spans="1:26" s="7" customFormat="1" x14ac:dyDescent="0.25">
      <c r="A36" s="210" t="s">
        <v>44</v>
      </c>
      <c r="B36" s="28">
        <v>-0.02</v>
      </c>
      <c r="C36" s="16" t="s">
        <v>7</v>
      </c>
      <c r="D36" s="35">
        <f>B36*C34*100</f>
        <v>0</v>
      </c>
      <c r="E36" s="87"/>
      <c r="F36" s="87"/>
      <c r="G36" s="87"/>
      <c r="H36" s="23"/>
      <c r="I36" s="23"/>
      <c r="J36" s="88"/>
      <c r="K36" s="88"/>
      <c r="L36" s="89"/>
      <c r="M36" s="90"/>
      <c r="N36" s="73">
        <f>(C34^2*B36*0.65)</f>
        <v>0</v>
      </c>
      <c r="O36" s="120"/>
      <c r="P36" s="40"/>
      <c r="Q36" s="136"/>
      <c r="R36" s="136"/>
      <c r="S36" s="136"/>
    </row>
    <row r="37" spans="1:26" s="7" customFormat="1" x14ac:dyDescent="0.2">
      <c r="A37" s="69" t="s">
        <v>96</v>
      </c>
      <c r="B37" s="28">
        <v>0</v>
      </c>
      <c r="C37" s="16" t="s">
        <v>7</v>
      </c>
      <c r="D37" s="35">
        <f>B37*D34*100</f>
        <v>0</v>
      </c>
      <c r="E37" s="87"/>
      <c r="F37" s="87"/>
      <c r="G37" s="87"/>
      <c r="H37" s="23"/>
      <c r="I37" s="23"/>
      <c r="J37" s="88"/>
      <c r="K37" s="88"/>
      <c r="L37" s="89"/>
      <c r="M37" s="90"/>
      <c r="N37" s="73">
        <f>(D34^2*B37*0.65)</f>
        <v>0</v>
      </c>
      <c r="O37" s="24"/>
      <c r="P37" s="40"/>
    </row>
    <row r="38" spans="1:26" s="7" customFormat="1" ht="16.2" thickBot="1" x14ac:dyDescent="0.3">
      <c r="A38" s="398" t="s">
        <v>18</v>
      </c>
      <c r="B38" s="397" t="e">
        <f>N34/B34*2</f>
        <v>#DIV/0!</v>
      </c>
      <c r="C38" s="96"/>
      <c r="D38" s="86" t="str">
        <f>A34</f>
        <v>Klyver normal</v>
      </c>
      <c r="E38" s="91"/>
      <c r="F38" s="91"/>
      <c r="G38" s="91"/>
      <c r="H38" s="92"/>
      <c r="I38" s="92"/>
      <c r="J38" s="93"/>
      <c r="K38" s="93"/>
      <c r="L38" s="94"/>
      <c r="M38" s="95"/>
      <c r="N38" s="111">
        <f>SUM(N34:N37)</f>
        <v>0</v>
      </c>
      <c r="O38" s="384">
        <v>0</v>
      </c>
      <c r="P38" s="385" t="s">
        <v>80</v>
      </c>
      <c r="Z38" s="127"/>
    </row>
    <row r="39" spans="1:26" ht="16.2" thickTop="1" x14ac:dyDescent="0.3">
      <c r="A39" s="305"/>
      <c r="B39" s="68" t="s">
        <v>38</v>
      </c>
      <c r="C39" s="68" t="s">
        <v>1</v>
      </c>
      <c r="D39" s="68" t="s">
        <v>2</v>
      </c>
      <c r="E39" s="286" t="s">
        <v>0</v>
      </c>
      <c r="F39" s="286"/>
      <c r="G39" s="286"/>
      <c r="H39" s="287"/>
      <c r="I39" s="287"/>
      <c r="J39" s="288"/>
      <c r="K39" s="289"/>
      <c r="L39" s="289"/>
      <c r="M39" s="290"/>
      <c r="N39" s="302" t="s">
        <v>10</v>
      </c>
      <c r="O39" s="85"/>
      <c r="P39" s="36"/>
      <c r="Q39" s="36"/>
      <c r="T39" s="126"/>
      <c r="U39" s="126"/>
      <c r="V39" s="126"/>
      <c r="W39" s="126"/>
      <c r="X39" s="126"/>
    </row>
    <row r="40" spans="1:26" s="7" customFormat="1" ht="17.399999999999999" x14ac:dyDescent="0.3">
      <c r="A40" s="211" t="s">
        <v>45</v>
      </c>
      <c r="B40" s="10">
        <v>0</v>
      </c>
      <c r="C40" s="10">
        <v>0</v>
      </c>
      <c r="D40" s="10">
        <v>0</v>
      </c>
      <c r="E40" s="87">
        <f t="shared" ref="E40" si="5">(B40+C40+D40)/2</f>
        <v>0</v>
      </c>
      <c r="F40" s="87"/>
      <c r="G40" s="87"/>
      <c r="H40" s="23"/>
      <c r="I40" s="23"/>
      <c r="J40" s="88"/>
      <c r="K40" s="89"/>
      <c r="L40" s="89"/>
      <c r="M40" s="90"/>
      <c r="N40" s="73">
        <f>SQRT(E40*(E40-B40)*(E40-C40)*(E40-D40))</f>
        <v>0</v>
      </c>
      <c r="O40" s="74"/>
      <c r="P40" s="130"/>
      <c r="R40" s="14"/>
      <c r="U40" s="133"/>
      <c r="V40" s="134"/>
      <c r="W40" s="135"/>
      <c r="X40"/>
    </row>
    <row r="41" spans="1:26" s="7" customFormat="1" ht="13.8" x14ac:dyDescent="0.3">
      <c r="A41" s="209" t="s">
        <v>6</v>
      </c>
      <c r="B41" s="386" t="e">
        <f>DEGREES(ASIN(2*$N40/B40/C40))</f>
        <v>#DIV/0!</v>
      </c>
      <c r="C41" s="386" t="e">
        <f>180-B41-D41</f>
        <v>#DIV/0!</v>
      </c>
      <c r="D41" s="386" t="e">
        <f>DEGREES(ASIN(2*$N40/D40/B40))</f>
        <v>#DIV/0!</v>
      </c>
      <c r="E41" s="87" t="e">
        <f>(B41+C41+D41)/2</f>
        <v>#DIV/0!</v>
      </c>
      <c r="F41" s="87"/>
      <c r="G41" s="87"/>
      <c r="H41" s="23"/>
      <c r="I41" s="23"/>
      <c r="J41" s="88"/>
      <c r="K41" s="88"/>
      <c r="L41" s="89"/>
      <c r="M41" s="90"/>
      <c r="N41" s="43"/>
      <c r="O41" s="44"/>
      <c r="P41" s="132"/>
      <c r="U41" s="133"/>
      <c r="V41" s="134"/>
      <c r="W41" s="135"/>
      <c r="X41"/>
    </row>
    <row r="42" spans="1:26" s="7" customFormat="1" x14ac:dyDescent="0.25">
      <c r="A42" s="210" t="s">
        <v>44</v>
      </c>
      <c r="B42" s="28">
        <v>-0.02</v>
      </c>
      <c r="C42" s="16" t="s">
        <v>7</v>
      </c>
      <c r="D42" s="35">
        <f>B42*C40*100</f>
        <v>0</v>
      </c>
      <c r="E42" s="87"/>
      <c r="F42" s="87"/>
      <c r="G42" s="87"/>
      <c r="H42" s="23"/>
      <c r="I42" s="23"/>
      <c r="J42" s="88"/>
      <c r="K42" s="88"/>
      <c r="L42" s="89"/>
      <c r="M42" s="90"/>
      <c r="N42" s="73">
        <f>(C40^2*B42*0.65)</f>
        <v>0</v>
      </c>
      <c r="O42" s="120"/>
      <c r="P42" s="40"/>
      <c r="Q42" s="136"/>
      <c r="R42" s="136"/>
      <c r="S42" s="136"/>
    </row>
    <row r="43" spans="1:26" s="7" customFormat="1" x14ac:dyDescent="0.2">
      <c r="A43" s="69" t="s">
        <v>96</v>
      </c>
      <c r="B43" s="28">
        <v>0</v>
      </c>
      <c r="C43" s="16" t="s">
        <v>7</v>
      </c>
      <c r="D43" s="35">
        <f>B43*D40*100</f>
        <v>0</v>
      </c>
      <c r="E43" s="87"/>
      <c r="F43" s="87"/>
      <c r="G43" s="87"/>
      <c r="H43" s="23"/>
      <c r="I43" s="23"/>
      <c r="J43" s="88"/>
      <c r="K43" s="88"/>
      <c r="L43" s="89"/>
      <c r="M43" s="90"/>
      <c r="N43" s="73">
        <f>(D40^2*B43*0.65)</f>
        <v>0</v>
      </c>
      <c r="O43" s="24"/>
      <c r="P43" s="40"/>
    </row>
    <row r="44" spans="1:26" s="7" customFormat="1" ht="16.2" thickBot="1" x14ac:dyDescent="0.3">
      <c r="A44" s="398" t="s">
        <v>18</v>
      </c>
      <c r="B44" s="397" t="e">
        <f>N40/B40*2</f>
        <v>#DIV/0!</v>
      </c>
      <c r="C44" s="96"/>
      <c r="D44" s="86" t="str">
        <f>A40</f>
        <v>Klyver mellom</v>
      </c>
      <c r="E44" s="91"/>
      <c r="F44" s="91"/>
      <c r="G44" s="91"/>
      <c r="H44" s="92"/>
      <c r="I44" s="92"/>
      <c r="J44" s="93"/>
      <c r="K44" s="93"/>
      <c r="L44" s="94"/>
      <c r="M44" s="95"/>
      <c r="N44" s="111">
        <f>SUM(N40:N43)</f>
        <v>0</v>
      </c>
      <c r="O44" s="384">
        <v>0</v>
      </c>
      <c r="P44" s="385" t="s">
        <v>80</v>
      </c>
      <c r="Z44" s="127"/>
    </row>
    <row r="45" spans="1:26" ht="16.2" thickTop="1" x14ac:dyDescent="0.3">
      <c r="A45" s="305"/>
      <c r="B45" s="68" t="s">
        <v>38</v>
      </c>
      <c r="C45" s="68" t="s">
        <v>1</v>
      </c>
      <c r="D45" s="68" t="s">
        <v>2</v>
      </c>
      <c r="E45" s="286" t="s">
        <v>0</v>
      </c>
      <c r="F45" s="286"/>
      <c r="G45" s="286"/>
      <c r="H45" s="287"/>
      <c r="I45" s="287"/>
      <c r="J45" s="288"/>
      <c r="K45" s="289"/>
      <c r="L45" s="289"/>
      <c r="M45" s="290"/>
      <c r="N45" s="302" t="s">
        <v>10</v>
      </c>
      <c r="O45" s="85"/>
      <c r="P45" s="36"/>
      <c r="Q45" s="36"/>
      <c r="T45" s="126"/>
      <c r="U45" s="126"/>
      <c r="V45" s="126"/>
      <c r="W45" s="126"/>
      <c r="X45" s="126"/>
    </row>
    <row r="46" spans="1:26" s="7" customFormat="1" ht="17.399999999999999" x14ac:dyDescent="0.3">
      <c r="A46" s="211" t="s">
        <v>39</v>
      </c>
      <c r="B46" s="10">
        <v>0</v>
      </c>
      <c r="C46" s="10">
        <v>0</v>
      </c>
      <c r="D46" s="10">
        <v>0</v>
      </c>
      <c r="E46" s="87">
        <f t="shared" ref="E46" si="6">(B46+C46+D46)/2</f>
        <v>0</v>
      </c>
      <c r="F46" s="87"/>
      <c r="G46" s="87"/>
      <c r="H46" s="23"/>
      <c r="I46" s="23"/>
      <c r="J46" s="88"/>
      <c r="K46" s="89"/>
      <c r="L46" s="89"/>
      <c r="M46" s="90"/>
      <c r="N46" s="73">
        <f>SQRT(E46*(E46-B46)*(E46-C46)*(E46-D46))</f>
        <v>0</v>
      </c>
      <c r="O46" s="74"/>
      <c r="P46" s="130"/>
      <c r="R46" s="14"/>
      <c r="U46" s="133"/>
      <c r="V46" s="134"/>
      <c r="W46" s="135"/>
      <c r="X46"/>
    </row>
    <row r="47" spans="1:26" s="7" customFormat="1" ht="13.8" x14ac:dyDescent="0.3">
      <c r="A47" s="209" t="s">
        <v>6</v>
      </c>
      <c r="B47" s="386" t="e">
        <f>DEGREES(ASIN(2*$N46/B46/C46))</f>
        <v>#DIV/0!</v>
      </c>
      <c r="C47" s="386" t="e">
        <f>180-B47-D47</f>
        <v>#DIV/0!</v>
      </c>
      <c r="D47" s="386" t="e">
        <f>DEGREES(ASIN(2*$N46/D46/B46))</f>
        <v>#DIV/0!</v>
      </c>
      <c r="E47" s="87" t="e">
        <f>(B47+C47+D47)/2</f>
        <v>#DIV/0!</v>
      </c>
      <c r="F47" s="87"/>
      <c r="G47" s="87"/>
      <c r="H47" s="23"/>
      <c r="I47" s="23"/>
      <c r="J47" s="88"/>
      <c r="K47" s="88"/>
      <c r="L47" s="89"/>
      <c r="M47" s="90"/>
      <c r="N47" s="43"/>
      <c r="O47" s="44"/>
      <c r="P47" s="132"/>
      <c r="U47" s="133"/>
      <c r="V47" s="134"/>
      <c r="W47" s="135"/>
      <c r="X47"/>
    </row>
    <row r="48" spans="1:26" s="7" customFormat="1" x14ac:dyDescent="0.25">
      <c r="A48" s="210" t="s">
        <v>44</v>
      </c>
      <c r="B48" s="28">
        <v>-0.02</v>
      </c>
      <c r="C48" s="16" t="s">
        <v>7</v>
      </c>
      <c r="D48" s="35">
        <f>B48*C46*100</f>
        <v>0</v>
      </c>
      <c r="E48" s="87"/>
      <c r="F48" s="87"/>
      <c r="G48" s="87"/>
      <c r="H48" s="23"/>
      <c r="I48" s="23"/>
      <c r="J48" s="88"/>
      <c r="K48" s="88"/>
      <c r="L48" s="89"/>
      <c r="M48" s="90"/>
      <c r="N48" s="73">
        <f>(C46^2*B48*0.65)</f>
        <v>0</v>
      </c>
      <c r="O48" s="120"/>
      <c r="P48" s="40"/>
      <c r="Q48" s="136"/>
      <c r="R48" s="136"/>
      <c r="S48" s="136"/>
    </row>
    <row r="49" spans="1:29" s="7" customFormat="1" x14ac:dyDescent="0.2">
      <c r="A49" s="69" t="s">
        <v>96</v>
      </c>
      <c r="B49" s="28">
        <v>0</v>
      </c>
      <c r="C49" s="16" t="s">
        <v>7</v>
      </c>
      <c r="D49" s="35">
        <f>B49*D46*100</f>
        <v>0</v>
      </c>
      <c r="E49" s="87"/>
      <c r="F49" s="87"/>
      <c r="G49" s="87"/>
      <c r="H49" s="23"/>
      <c r="I49" s="23"/>
      <c r="J49" s="88"/>
      <c r="K49" s="88"/>
      <c r="L49" s="89"/>
      <c r="M49" s="90"/>
      <c r="N49" s="73">
        <f>(D46^2*B49*0.65)</f>
        <v>0</v>
      </c>
      <c r="O49" s="24"/>
      <c r="P49" s="40"/>
    </row>
    <row r="50" spans="1:29" s="7" customFormat="1" ht="16.2" thickBot="1" x14ac:dyDescent="0.3">
      <c r="A50" s="398" t="s">
        <v>18</v>
      </c>
      <c r="B50" s="397" t="e">
        <f>N46/B46*2</f>
        <v>#DIV/0!</v>
      </c>
      <c r="C50" s="96"/>
      <c r="D50" s="86" t="str">
        <f>A46</f>
        <v>Klyver hardvær</v>
      </c>
      <c r="E50" s="91"/>
      <c r="F50" s="91"/>
      <c r="G50" s="91"/>
      <c r="H50" s="92"/>
      <c r="I50" s="92"/>
      <c r="J50" s="93"/>
      <c r="K50" s="93"/>
      <c r="L50" s="94"/>
      <c r="M50" s="95"/>
      <c r="N50" s="111">
        <f>SUM(N46:N49)</f>
        <v>0</v>
      </c>
      <c r="O50" s="384">
        <v>0</v>
      </c>
      <c r="P50" s="385" t="s">
        <v>80</v>
      </c>
      <c r="Z50" s="127"/>
    </row>
    <row r="51" spans="1:29" s="1" customFormat="1" ht="28.2" thickTop="1" x14ac:dyDescent="0.45">
      <c r="A51" s="272" t="str">
        <f>A$2</f>
        <v>NN</v>
      </c>
      <c r="B51" s="273"/>
      <c r="C51" s="274"/>
      <c r="D51" s="274"/>
      <c r="E51" s="275"/>
      <c r="F51" s="275"/>
      <c r="G51" s="275"/>
      <c r="H51" s="253"/>
      <c r="I51" s="253"/>
      <c r="J51" s="254"/>
      <c r="K51" s="254"/>
      <c r="L51" s="255"/>
      <c r="M51" s="256"/>
      <c r="N51" s="276"/>
      <c r="O51" s="121"/>
      <c r="P51" s="121"/>
    </row>
    <row r="52" spans="1:29" ht="25.2" x14ac:dyDescent="0.45">
      <c r="A52" s="308" t="s">
        <v>85</v>
      </c>
      <c r="B52" s="181"/>
      <c r="C52" s="29"/>
      <c r="D52" s="29"/>
      <c r="E52" s="29"/>
      <c r="F52" s="29"/>
      <c r="G52" s="29"/>
      <c r="H52" s="183"/>
      <c r="I52" s="183"/>
      <c r="N52" s="184"/>
      <c r="O52" s="122"/>
    </row>
    <row r="53" spans="1:29" x14ac:dyDescent="0.25">
      <c r="A53" s="314" t="s">
        <v>46</v>
      </c>
      <c r="B53" s="315">
        <v>1</v>
      </c>
      <c r="C53" s="316" t="s">
        <v>14</v>
      </c>
      <c r="D53" s="317"/>
      <c r="E53" s="108"/>
      <c r="F53" s="108"/>
      <c r="G53" s="108"/>
      <c r="H53" s="82"/>
      <c r="I53" s="82"/>
      <c r="J53" s="82"/>
      <c r="K53" s="83"/>
      <c r="L53" s="82"/>
      <c r="M53" s="84"/>
      <c r="N53" s="118"/>
    </row>
    <row r="54" spans="1:29" x14ac:dyDescent="0.25">
      <c r="A54" s="318" t="s">
        <v>24</v>
      </c>
      <c r="B54" s="98">
        <v>5</v>
      </c>
      <c r="C54" s="45" t="s">
        <v>28</v>
      </c>
      <c r="D54" s="319"/>
      <c r="E54" s="108"/>
      <c r="F54" s="108"/>
      <c r="G54" s="108"/>
      <c r="H54" s="82"/>
      <c r="I54" s="82"/>
      <c r="J54" s="82"/>
      <c r="K54" s="83"/>
      <c r="L54" s="82"/>
      <c r="M54" s="84"/>
      <c r="N54" s="118"/>
    </row>
    <row r="55" spans="1:29" x14ac:dyDescent="0.25">
      <c r="A55" s="320" t="s">
        <v>15</v>
      </c>
      <c r="B55" s="99">
        <v>2</v>
      </c>
      <c r="C55" s="321">
        <f>-ABS(B59*(SIN(RADIANS(B55)))*100)</f>
        <v>0</v>
      </c>
      <c r="D55" s="322"/>
      <c r="E55" s="106"/>
      <c r="F55" s="106"/>
      <c r="G55" s="106"/>
      <c r="H55" s="106"/>
      <c r="I55" s="106"/>
      <c r="J55" s="106"/>
      <c r="K55" s="106"/>
      <c r="L55" s="106"/>
      <c r="M55" s="106"/>
      <c r="N55" s="118"/>
    </row>
    <row r="56" spans="1:29" s="27" customFormat="1" ht="20.399999999999999" x14ac:dyDescent="0.25">
      <c r="A56" s="323" t="s">
        <v>17</v>
      </c>
      <c r="B56" s="324">
        <f>90-ABS(B53)-ABS(B54)+ABS(B55)</f>
        <v>86</v>
      </c>
      <c r="C56" s="395" t="s">
        <v>75</v>
      </c>
      <c r="D56" s="396"/>
      <c r="E56" s="107"/>
      <c r="F56" s="107"/>
      <c r="G56" s="107"/>
      <c r="H56" s="107"/>
      <c r="I56" s="107"/>
      <c r="J56" s="107"/>
      <c r="K56" s="107"/>
      <c r="L56" s="107"/>
      <c r="M56" s="107"/>
      <c r="N56" s="119"/>
      <c r="O56" s="46"/>
      <c r="P56" s="47"/>
      <c r="Q56" s="48"/>
      <c r="R56" s="49"/>
      <c r="S56" s="123"/>
      <c r="U56" s="138"/>
      <c r="V56" s="48"/>
      <c r="W56" s="139"/>
      <c r="X56" s="139"/>
      <c r="Y56" s="140"/>
      <c r="Z56" s="141"/>
      <c r="AA56" s="140"/>
      <c r="AB56" s="124"/>
      <c r="AC56" s="123"/>
    </row>
    <row r="57" spans="1:29" s="27" customFormat="1" ht="26.4" x14ac:dyDescent="0.25">
      <c r="A57" s="325" t="s">
        <v>73</v>
      </c>
      <c r="B57" s="326">
        <v>41</v>
      </c>
      <c r="C57" s="393" t="s">
        <v>76</v>
      </c>
      <c r="D57" s="394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26"/>
      <c r="Q57" s="142"/>
      <c r="R57" s="49"/>
      <c r="T57" s="123"/>
      <c r="U57" s="50"/>
      <c r="V57" s="48"/>
      <c r="W57" s="139"/>
      <c r="X57" s="139"/>
      <c r="Y57" s="140"/>
      <c r="Z57" s="141"/>
      <c r="AA57" s="140"/>
      <c r="AB57" s="124"/>
      <c r="AC57" s="123"/>
    </row>
    <row r="58" spans="1:29" x14ac:dyDescent="0.25">
      <c r="A58" s="331"/>
      <c r="B58" s="332" t="s">
        <v>5</v>
      </c>
      <c r="C58" s="332" t="s">
        <v>4</v>
      </c>
      <c r="D58" s="333" t="s">
        <v>29</v>
      </c>
      <c r="E58" s="334" t="s">
        <v>0</v>
      </c>
      <c r="F58" s="334"/>
      <c r="G58" s="334"/>
      <c r="H58" s="335"/>
      <c r="I58" s="335"/>
      <c r="J58" s="335"/>
      <c r="K58" s="336"/>
      <c r="L58" s="335"/>
      <c r="M58" s="337"/>
      <c r="N58" s="338" t="s">
        <v>10</v>
      </c>
      <c r="O58" s="155" t="s">
        <v>58</v>
      </c>
      <c r="P58" s="156"/>
      <c r="Q58" s="152"/>
      <c r="R58" s="153"/>
      <c r="S58" s="153"/>
    </row>
    <row r="59" spans="1:29" x14ac:dyDescent="0.25">
      <c r="A59" s="339"/>
      <c r="B59" s="53">
        <v>0</v>
      </c>
      <c r="C59" s="54">
        <v>0</v>
      </c>
      <c r="D59" s="309">
        <f>SQRT(C59^2+B59^2-2*B59*C59*COS(RADIANS(B56)))</f>
        <v>0</v>
      </c>
      <c r="E59" s="310">
        <f>(D59+B59+C59)/2</f>
        <v>0</v>
      </c>
      <c r="F59" s="108"/>
      <c r="G59" s="108"/>
      <c r="H59" s="82"/>
      <c r="I59" s="82"/>
      <c r="J59" s="82"/>
      <c r="K59" s="83"/>
      <c r="L59" s="82"/>
      <c r="M59" s="84"/>
      <c r="N59" s="340">
        <f>SQRT(s*(s-D59)*(s-B59)*(s-C59))</f>
        <v>0</v>
      </c>
      <c r="O59" s="155" t="s">
        <v>93</v>
      </c>
      <c r="P59" s="156"/>
      <c r="Q59" s="154"/>
      <c r="R59" s="153"/>
      <c r="S59" s="153"/>
    </row>
    <row r="60" spans="1:29" x14ac:dyDescent="0.25">
      <c r="A60" s="341"/>
      <c r="B60" s="248" t="s">
        <v>3</v>
      </c>
      <c r="C60" s="282" t="s">
        <v>47</v>
      </c>
      <c r="D60" s="311" t="s">
        <v>29</v>
      </c>
      <c r="E60" s="17"/>
      <c r="F60" s="17"/>
      <c r="G60" s="17"/>
      <c r="H60" s="82"/>
      <c r="I60" s="82"/>
      <c r="J60" s="82"/>
      <c r="K60" s="83"/>
      <c r="L60" s="82"/>
      <c r="M60" s="84"/>
      <c r="N60" s="340"/>
      <c r="O60" s="155" t="s">
        <v>92</v>
      </c>
      <c r="P60" s="156"/>
      <c r="Q60" s="154"/>
      <c r="R60" s="153"/>
      <c r="S60" s="153"/>
    </row>
    <row r="61" spans="1:29" x14ac:dyDescent="0.25">
      <c r="A61" s="339"/>
      <c r="B61" s="54">
        <v>0</v>
      </c>
      <c r="C61" s="284" t="e">
        <f>SQRT(D59^2+B61^2-2*D59*B61*COS(RADIANS(B68)))</f>
        <v>#DIV/0!</v>
      </c>
      <c r="D61" s="309">
        <f>D59</f>
        <v>0</v>
      </c>
      <c r="E61" s="310" t="e">
        <f>(D61+B61+C61)/2</f>
        <v>#DIV/0!</v>
      </c>
      <c r="F61" s="17"/>
      <c r="G61" s="108"/>
      <c r="H61" s="82"/>
      <c r="I61" s="82"/>
      <c r="J61" s="82"/>
      <c r="K61" s="83"/>
      <c r="L61" s="82"/>
      <c r="M61" s="84"/>
      <c r="N61" s="340" t="e">
        <f>SQRT(s*(s-D61)*(s-B61)*(s-C61))</f>
        <v>#DIV/0!</v>
      </c>
      <c r="O61" s="4"/>
      <c r="P61" s="52"/>
      <c r="Q61" s="144"/>
    </row>
    <row r="62" spans="1:29" s="7" customFormat="1" x14ac:dyDescent="0.25">
      <c r="A62" s="342"/>
      <c r="B62" s="56"/>
      <c r="C62" s="282" t="s">
        <v>30</v>
      </c>
      <c r="D62" s="312" t="s">
        <v>32</v>
      </c>
      <c r="E62" s="87"/>
      <c r="F62" s="87"/>
      <c r="G62" s="87"/>
      <c r="H62" s="23"/>
      <c r="I62" s="23"/>
      <c r="J62" s="88"/>
      <c r="K62" s="88"/>
      <c r="L62" s="89"/>
      <c r="M62" s="90"/>
      <c r="N62" s="301"/>
      <c r="O62" s="4"/>
      <c r="P62" s="52"/>
      <c r="Q62" s="143"/>
      <c r="R62" s="2"/>
      <c r="T62" s="2"/>
      <c r="U62" s="2"/>
      <c r="V62" s="2"/>
    </row>
    <row r="63" spans="1:29" s="7" customFormat="1" x14ac:dyDescent="0.25">
      <c r="A63" s="342"/>
      <c r="B63" s="56"/>
      <c r="C63" s="313">
        <f>C59+COS(RADIANS(B57))*B61</f>
        <v>0</v>
      </c>
      <c r="D63" s="47" t="e">
        <f>SQRT(B61^2+C59^2-2*B61*C59*COS(RADIANS(D68)))</f>
        <v>#DIV/0!</v>
      </c>
      <c r="E63" s="87"/>
      <c r="F63" s="87"/>
      <c r="G63" s="87"/>
      <c r="H63" s="23"/>
      <c r="I63" s="23"/>
      <c r="J63" s="88"/>
      <c r="K63" s="88"/>
      <c r="L63" s="89"/>
      <c r="M63" s="90"/>
      <c r="N63" s="301"/>
      <c r="O63" s="4"/>
      <c r="P63" s="3"/>
    </row>
    <row r="64" spans="1:29" x14ac:dyDescent="0.25">
      <c r="A64" s="339" t="s">
        <v>31</v>
      </c>
      <c r="B64" s="101">
        <v>0.05</v>
      </c>
      <c r="C64" s="102">
        <f>B59*B64*100</f>
        <v>0</v>
      </c>
      <c r="D64" s="34" t="s">
        <v>48</v>
      </c>
      <c r="E64" s="17"/>
      <c r="F64" s="17"/>
      <c r="G64" s="17"/>
      <c r="H64" s="83"/>
      <c r="I64" s="83"/>
      <c r="J64" s="82"/>
      <c r="K64" s="83"/>
      <c r="L64" s="82"/>
      <c r="M64" s="84"/>
      <c r="N64" s="340">
        <f>C64*B59*0.65/100</f>
        <v>0</v>
      </c>
      <c r="O64" s="4"/>
      <c r="P64" s="52"/>
      <c r="Q64" s="143"/>
      <c r="R64" s="143"/>
      <c r="S64" s="145"/>
    </row>
    <row r="65" spans="1:29" s="7" customFormat="1" ht="26.4" x14ac:dyDescent="0.25">
      <c r="A65" s="343" t="s">
        <v>37</v>
      </c>
      <c r="B65" s="100">
        <v>-0.02</v>
      </c>
      <c r="C65" s="281" t="e">
        <f>C61*B65*100</f>
        <v>#DIV/0!</v>
      </c>
      <c r="D65" s="280" t="s">
        <v>48</v>
      </c>
      <c r="E65" s="344"/>
      <c r="F65" s="344"/>
      <c r="G65" s="344"/>
      <c r="H65" s="345"/>
      <c r="I65" s="345"/>
      <c r="J65" s="346"/>
      <c r="K65" s="346"/>
      <c r="L65" s="345"/>
      <c r="M65" s="347"/>
      <c r="N65" s="348" t="e">
        <f>C65*C61*0.65/100</f>
        <v>#DIV/0!</v>
      </c>
      <c r="O65" s="4"/>
      <c r="P65" s="3"/>
    </row>
    <row r="66" spans="1:29" ht="16.2" thickBot="1" x14ac:dyDescent="0.35">
      <c r="A66" s="57" t="s">
        <v>49</v>
      </c>
      <c r="B66" s="58" t="e">
        <f>F66+H66</f>
        <v>#DIV/0!</v>
      </c>
      <c r="C66" s="327"/>
      <c r="D66" s="72" t="str">
        <f>A52</f>
        <v>Storseil ny</v>
      </c>
      <c r="E66" s="328" t="s">
        <v>33</v>
      </c>
      <c r="F66" s="329" t="e">
        <f>DEGREES(ACOS((D59^2+C61^2-B61^2)/(2*D59*C61)))</f>
        <v>#DIV/0!</v>
      </c>
      <c r="G66" s="328" t="s">
        <v>34</v>
      </c>
      <c r="H66" s="329" t="e">
        <f>DEGREES(ACOS((B59^2+D59^2-C59^2)/(2*B59*D59)))</f>
        <v>#DIV/0!</v>
      </c>
      <c r="I66" s="328" t="s">
        <v>25</v>
      </c>
      <c r="J66" s="329" t="e">
        <f>180-B56-H66</f>
        <v>#DIV/0!</v>
      </c>
      <c r="K66" s="328"/>
      <c r="L66" s="329"/>
      <c r="M66" s="330"/>
      <c r="N66" s="116" t="e">
        <f>SUM(N59:N65)</f>
        <v>#DIV/0!</v>
      </c>
      <c r="O66" s="384">
        <v>0</v>
      </c>
      <c r="P66" s="385" t="s">
        <v>80</v>
      </c>
      <c r="Q66" s="7"/>
      <c r="R66" s="7"/>
      <c r="Y66" s="7"/>
      <c r="Z66" s="127"/>
    </row>
    <row r="67" spans="1:29" ht="14.4" thickTop="1" thickBot="1" x14ac:dyDescent="0.3">
      <c r="A67" s="57" t="s">
        <v>50</v>
      </c>
      <c r="B67" s="58" t="e">
        <f>B66-(90-B56)</f>
        <v>#DIV/0!</v>
      </c>
      <c r="C67" s="57" t="s">
        <v>26</v>
      </c>
      <c r="D67" s="58" t="e">
        <f>DEGREES(ACOS((C61^2+B61^2-D59^2)/(2*C61*B61)))</f>
        <v>#DIV/0!</v>
      </c>
      <c r="E67" s="60"/>
      <c r="F67" s="59" t="e">
        <f>DEGREES(ACOS((D59^2+C61^2-B61^2)/(2*D59*C61)))</f>
        <v>#DIV/0!</v>
      </c>
      <c r="G67" s="63"/>
      <c r="H67" s="59" t="e">
        <f>DEGREES(ACOS((B59^2+D59^2-C59^2)/(2*B59*D59)))</f>
        <v>#DIV/0!</v>
      </c>
      <c r="I67" s="60" t="s">
        <v>74</v>
      </c>
      <c r="J67" s="59" t="e">
        <f>B66+B56+D68+D67</f>
        <v>#DIV/0!</v>
      </c>
      <c r="K67" s="60"/>
      <c r="L67" s="58"/>
      <c r="M67" s="61"/>
      <c r="N67" s="182"/>
      <c r="O67" s="42"/>
      <c r="P67" s="42"/>
      <c r="Q67" s="62"/>
      <c r="Y67" s="7"/>
      <c r="Z67" s="127"/>
    </row>
    <row r="68" spans="1:29" ht="13.8" thickTop="1" x14ac:dyDescent="0.25">
      <c r="A68" s="57" t="s">
        <v>36</v>
      </c>
      <c r="B68" s="58" t="e">
        <f>180-B57-J66</f>
        <v>#DIV/0!</v>
      </c>
      <c r="C68" s="57" t="s">
        <v>27</v>
      </c>
      <c r="D68" s="58" t="e">
        <f>J66+B68</f>
        <v>#DIV/0!</v>
      </c>
      <c r="E68" s="63"/>
      <c r="F68" s="349" t="e">
        <f>DEGREES(ASIN(2*N61/C61/D59))</f>
        <v>#DIV/0!</v>
      </c>
      <c r="G68" s="61"/>
      <c r="H68" s="349" t="e">
        <f>(180-DEGREES(ASIN(2*N61/D59/C59))-B56)</f>
        <v>#DIV/0!</v>
      </c>
      <c r="I68" s="63"/>
      <c r="J68" s="63"/>
      <c r="K68" s="63"/>
      <c r="L68" s="63"/>
      <c r="M68" s="63"/>
      <c r="N68" s="117"/>
      <c r="O68" s="2"/>
      <c r="P68" s="2"/>
      <c r="Q68" s="64"/>
    </row>
    <row r="69" spans="1:29" s="65" customFormat="1" x14ac:dyDescent="0.25">
      <c r="A69" s="357" t="s">
        <v>69</v>
      </c>
      <c r="B69" s="391" t="e">
        <f>C61/7</f>
        <v>#DIV/0!</v>
      </c>
      <c r="C69" s="381" t="e">
        <f>ROUND(B69,1)</f>
        <v>#DIV/0!</v>
      </c>
      <c r="D69" s="358" t="e">
        <f>E69</f>
        <v>#DIV/0!</v>
      </c>
      <c r="E69" s="359" t="e">
        <f>0.5*(B59+F69)*G69</f>
        <v>#DIV/0!</v>
      </c>
      <c r="F69" s="360" t="e">
        <f>SQRT(AD^2+AC^2-2*AD*AC*K69)</f>
        <v>#DIV/0!</v>
      </c>
      <c r="G69" s="361" t="e">
        <f>C69</f>
        <v>#DIV/0!</v>
      </c>
      <c r="H69" s="362" t="e">
        <f>C61-G69</f>
        <v>#DIV/0!</v>
      </c>
      <c r="I69" s="362" t="e">
        <f>C59-G69</f>
        <v>#DIV/0!</v>
      </c>
      <c r="J69" s="362" t="e">
        <f>SQRT((B61)^2+(C59-G69)^2-2*B61*(C59-G69)*COS(RADIANS(180-B57)))</f>
        <v>#DIV/0!</v>
      </c>
      <c r="K69" s="363" t="e">
        <f>COS(RADIANS(M69))</f>
        <v>#DIV/0!</v>
      </c>
      <c r="L69" s="364" t="e">
        <f>BC*SIN(RADIANS(180-B57))/AC</f>
        <v>#DIV/0!</v>
      </c>
      <c r="M69" s="363" t="e">
        <f>D67-DEGREES(ASIN(L69))</f>
        <v>#DIV/0!</v>
      </c>
      <c r="N69" s="365" t="e">
        <f>N66-E69</f>
        <v>#DIV/0!</v>
      </c>
      <c r="O69" s="125"/>
      <c r="P69" s="146"/>
      <c r="Q69" s="66"/>
    </row>
    <row r="70" spans="1:29" s="65" customFormat="1" x14ac:dyDescent="0.25">
      <c r="A70" s="366"/>
      <c r="B70" s="378" t="s">
        <v>19</v>
      </c>
      <c r="C70" s="67" t="e">
        <f>C69</f>
        <v>#DIV/0!</v>
      </c>
      <c r="D70" s="350" t="e">
        <f>E70-E69</f>
        <v>#DIV/0!</v>
      </c>
      <c r="E70" s="351" t="e">
        <f>0.5*(B59+F70)*G70</f>
        <v>#DIV/0!</v>
      </c>
      <c r="F70" s="352" t="e">
        <f>SQRT(AD^2+AC^2-2*AD*AC*K70)</f>
        <v>#DIV/0!</v>
      </c>
      <c r="G70" s="353" t="e">
        <f>SUM(C69:C70)</f>
        <v>#DIV/0!</v>
      </c>
      <c r="H70" s="354" t="e">
        <f>C61-G70</f>
        <v>#DIV/0!</v>
      </c>
      <c r="I70" s="354" t="e">
        <f>C59-G70*0.98</f>
        <v>#DIV/0!</v>
      </c>
      <c r="J70" s="354" t="e">
        <f>SQRT((B61)^2+(C59-G70)^2-2*B61*(C59-G70)*COS(RADIANS(180-B57)))</f>
        <v>#DIV/0!</v>
      </c>
      <c r="K70" s="355" t="e">
        <f>COS(RADIANS(M70))</f>
        <v>#DIV/0!</v>
      </c>
      <c r="L70" s="356" t="e">
        <f>BC*SIN(RADIANS(180-B57))/AC</f>
        <v>#DIV/0!</v>
      </c>
      <c r="M70" s="355" t="e">
        <f>D67-DEGREES(ASIN(L70))</f>
        <v>#DIV/0!</v>
      </c>
      <c r="N70" s="367" t="e">
        <f>N66-E70</f>
        <v>#DIV/0!</v>
      </c>
      <c r="O70" s="125"/>
      <c r="P70" s="146"/>
      <c r="Q70" s="66"/>
    </row>
    <row r="71" spans="1:29" s="65" customFormat="1" x14ac:dyDescent="0.25">
      <c r="A71" s="368"/>
      <c r="B71" s="379" t="s">
        <v>91</v>
      </c>
      <c r="C71" s="369" t="e">
        <f>C70</f>
        <v>#DIV/0!</v>
      </c>
      <c r="D71" s="370" t="e">
        <f>E71-E70</f>
        <v>#DIV/0!</v>
      </c>
      <c r="E71" s="371" t="e">
        <f>0.5*(B59+F71)*G71</f>
        <v>#DIV/0!</v>
      </c>
      <c r="F71" s="372" t="e">
        <f>SQRT(AD^2+AC^2-2*AD*AC*K71)</f>
        <v>#DIV/0!</v>
      </c>
      <c r="G71" s="373" t="e">
        <f>SUM(C69:C71)</f>
        <v>#DIV/0!</v>
      </c>
      <c r="H71" s="374" t="e">
        <f>C61-G71</f>
        <v>#DIV/0!</v>
      </c>
      <c r="I71" s="374" t="e">
        <f>C59-G71*0.98</f>
        <v>#DIV/0!</v>
      </c>
      <c r="J71" s="374" t="e">
        <f>SQRT((B61)^2+(C59-G71)^2-2*B61*(C59-G71)*COS(RADIANS(180-B57)))</f>
        <v>#DIV/0!</v>
      </c>
      <c r="K71" s="375" t="e">
        <f>COS(RADIANS(M71))</f>
        <v>#DIV/0!</v>
      </c>
      <c r="L71" s="376" t="e">
        <f>BC*SIN(RADIANS(180-B57))/AC</f>
        <v>#DIV/0!</v>
      </c>
      <c r="M71" s="375" t="e">
        <f>D67-DEGREES(ASIN(L71))</f>
        <v>#DIV/0!</v>
      </c>
      <c r="N71" s="377" t="e">
        <f>N66-E71</f>
        <v>#DIV/0!</v>
      </c>
      <c r="O71" s="125"/>
      <c r="P71" s="146"/>
      <c r="Q71" s="66"/>
    </row>
    <row r="72" spans="1:29" s="1" customFormat="1" ht="27.6" x14ac:dyDescent="0.45">
      <c r="A72" s="272" t="str">
        <f>A$2</f>
        <v>NN</v>
      </c>
      <c r="B72" s="273"/>
      <c r="C72" s="274"/>
      <c r="D72" s="274"/>
      <c r="E72" s="275"/>
      <c r="F72" s="275"/>
      <c r="G72" s="275"/>
      <c r="H72" s="253"/>
      <c r="I72" s="253"/>
      <c r="J72" s="254"/>
      <c r="K72" s="254"/>
      <c r="L72" s="255"/>
      <c r="M72" s="256"/>
      <c r="N72" s="276"/>
      <c r="O72" s="121"/>
      <c r="P72" s="121"/>
    </row>
    <row r="73" spans="1:29" ht="25.2" x14ac:dyDescent="0.45">
      <c r="A73" s="308" t="s">
        <v>78</v>
      </c>
      <c r="B73" s="181"/>
      <c r="C73" s="29"/>
      <c r="D73" s="29"/>
      <c r="E73" s="29"/>
      <c r="F73" s="29"/>
      <c r="G73" s="29"/>
      <c r="H73" s="183"/>
      <c r="I73" s="183"/>
      <c r="N73" s="184"/>
      <c r="O73" s="122"/>
    </row>
    <row r="74" spans="1:29" x14ac:dyDescent="0.25">
      <c r="A74" s="314" t="s">
        <v>46</v>
      </c>
      <c r="B74" s="315">
        <v>1</v>
      </c>
      <c r="C74" s="316" t="s">
        <v>14</v>
      </c>
      <c r="D74" s="317"/>
      <c r="E74" s="108"/>
      <c r="F74" s="108"/>
      <c r="G74" s="108"/>
      <c r="H74" s="82"/>
      <c r="I74" s="82"/>
      <c r="J74" s="82"/>
      <c r="K74" s="83"/>
      <c r="L74" s="82"/>
      <c r="M74" s="84"/>
      <c r="N74" s="118"/>
    </row>
    <row r="75" spans="1:29" x14ac:dyDescent="0.25">
      <c r="A75" s="318" t="s">
        <v>24</v>
      </c>
      <c r="B75" s="98">
        <v>5</v>
      </c>
      <c r="C75" s="45" t="s">
        <v>28</v>
      </c>
      <c r="D75" s="319"/>
      <c r="E75" s="108"/>
      <c r="F75" s="108"/>
      <c r="G75" s="108"/>
      <c r="H75" s="82"/>
      <c r="I75" s="82"/>
      <c r="J75" s="82"/>
      <c r="K75" s="83"/>
      <c r="L75" s="82"/>
      <c r="M75" s="84"/>
      <c r="N75" s="118"/>
    </row>
    <row r="76" spans="1:29" x14ac:dyDescent="0.25">
      <c r="A76" s="320" t="s">
        <v>15</v>
      </c>
      <c r="B76" s="99">
        <v>2</v>
      </c>
      <c r="C76" s="321">
        <f>-ABS(B80*(SIN(RADIANS(B76)))*100)</f>
        <v>0</v>
      </c>
      <c r="D76" s="322"/>
      <c r="E76" s="106"/>
      <c r="F76" s="106"/>
      <c r="G76" s="106"/>
      <c r="H76" s="106"/>
      <c r="I76" s="106"/>
      <c r="J76" s="106"/>
      <c r="K76" s="106"/>
      <c r="L76" s="106"/>
      <c r="M76" s="106"/>
      <c r="N76" s="118"/>
    </row>
    <row r="77" spans="1:29" s="27" customFormat="1" ht="20.399999999999999" x14ac:dyDescent="0.25">
      <c r="A77" s="323" t="s">
        <v>17</v>
      </c>
      <c r="B77" s="324">
        <f>90-ABS(B74)-ABS(B75)+ABS(B76)</f>
        <v>86</v>
      </c>
      <c r="C77" s="395" t="s">
        <v>75</v>
      </c>
      <c r="D77" s="396"/>
      <c r="E77" s="107"/>
      <c r="F77" s="107"/>
      <c r="G77" s="107"/>
      <c r="H77" s="107"/>
      <c r="I77" s="107"/>
      <c r="J77" s="107"/>
      <c r="K77" s="107"/>
      <c r="L77" s="107"/>
      <c r="M77" s="107"/>
      <c r="N77" s="119"/>
      <c r="O77" s="46"/>
      <c r="P77" s="47"/>
      <c r="Q77" s="48"/>
      <c r="R77" s="49"/>
      <c r="S77" s="123"/>
      <c r="U77" s="138"/>
      <c r="V77" s="48"/>
      <c r="W77" s="139"/>
      <c r="X77" s="139"/>
      <c r="Y77" s="140"/>
      <c r="Z77" s="141"/>
      <c r="AA77" s="140"/>
      <c r="AB77" s="124"/>
      <c r="AC77" s="123"/>
    </row>
    <row r="78" spans="1:29" s="27" customFormat="1" ht="26.4" x14ac:dyDescent="0.25">
      <c r="A78" s="325" t="s">
        <v>73</v>
      </c>
      <c r="B78" s="326">
        <v>41</v>
      </c>
      <c r="C78" s="393" t="s">
        <v>76</v>
      </c>
      <c r="D78" s="394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26"/>
      <c r="Q78" s="142"/>
      <c r="R78" s="49"/>
      <c r="T78" s="123"/>
      <c r="U78" s="50"/>
      <c r="V78" s="48"/>
      <c r="W78" s="139"/>
      <c r="X78" s="139"/>
      <c r="Y78" s="140"/>
      <c r="Z78" s="141"/>
      <c r="AA78" s="140"/>
      <c r="AB78" s="124"/>
      <c r="AC78" s="123"/>
    </row>
    <row r="79" spans="1:29" x14ac:dyDescent="0.25">
      <c r="A79" s="331"/>
      <c r="B79" s="332" t="s">
        <v>5</v>
      </c>
      <c r="C79" s="332" t="s">
        <v>4</v>
      </c>
      <c r="D79" s="333" t="s">
        <v>29</v>
      </c>
      <c r="E79" s="334" t="s">
        <v>0</v>
      </c>
      <c r="F79" s="334"/>
      <c r="G79" s="334"/>
      <c r="H79" s="335"/>
      <c r="I79" s="335"/>
      <c r="J79" s="335"/>
      <c r="K79" s="336"/>
      <c r="L79" s="335"/>
      <c r="M79" s="337"/>
      <c r="N79" s="338" t="s">
        <v>10</v>
      </c>
      <c r="O79" s="155" t="s">
        <v>58</v>
      </c>
      <c r="P79" s="156"/>
      <c r="Q79" s="152"/>
      <c r="R79" s="153"/>
      <c r="S79" s="153"/>
    </row>
    <row r="80" spans="1:29" x14ac:dyDescent="0.25">
      <c r="A80" s="339"/>
      <c r="B80" s="53">
        <v>0</v>
      </c>
      <c r="C80" s="54">
        <v>0</v>
      </c>
      <c r="D80" s="309">
        <f>SQRT(C80^2+B80^2-2*B80*C80*COS(RADIANS(B77)))</f>
        <v>0</v>
      </c>
      <c r="E80" s="310">
        <f>(D80+B80+C80)/2</f>
        <v>0</v>
      </c>
      <c r="F80" s="108"/>
      <c r="G80" s="108"/>
      <c r="H80" s="82"/>
      <c r="I80" s="82"/>
      <c r="J80" s="82"/>
      <c r="K80" s="83"/>
      <c r="L80" s="82"/>
      <c r="M80" s="84"/>
      <c r="N80" s="340">
        <f>SQRT(s*(s-D80)*(s-B80)*(s-C80))</f>
        <v>0</v>
      </c>
      <c r="O80" s="155" t="s">
        <v>93</v>
      </c>
      <c r="P80" s="156"/>
      <c r="Q80" s="154"/>
      <c r="R80" s="153"/>
      <c r="S80" s="153"/>
    </row>
    <row r="81" spans="1:26" x14ac:dyDescent="0.25">
      <c r="A81" s="341"/>
      <c r="B81" s="248" t="s">
        <v>3</v>
      </c>
      <c r="C81" s="282" t="s">
        <v>47</v>
      </c>
      <c r="D81" s="311" t="s">
        <v>29</v>
      </c>
      <c r="E81" s="17"/>
      <c r="F81" s="17"/>
      <c r="G81" s="17"/>
      <c r="H81" s="82"/>
      <c r="I81" s="82"/>
      <c r="J81" s="82"/>
      <c r="K81" s="83"/>
      <c r="L81" s="82"/>
      <c r="M81" s="84"/>
      <c r="N81" s="340"/>
      <c r="O81" s="155" t="s">
        <v>92</v>
      </c>
      <c r="P81" s="156"/>
      <c r="Q81" s="154"/>
      <c r="R81" s="153"/>
      <c r="S81" s="153"/>
    </row>
    <row r="82" spans="1:26" x14ac:dyDescent="0.25">
      <c r="A82" s="339"/>
      <c r="B82" s="54">
        <v>0</v>
      </c>
      <c r="C82" s="284" t="e">
        <f>SQRT(D80^2+B82^2-2*D80*B82*COS(RADIANS(B89)))</f>
        <v>#DIV/0!</v>
      </c>
      <c r="D82" s="309">
        <f>D80</f>
        <v>0</v>
      </c>
      <c r="E82" s="310" t="e">
        <f>(D82+B82+C82)/2</f>
        <v>#DIV/0!</v>
      </c>
      <c r="F82" s="17"/>
      <c r="G82" s="108"/>
      <c r="H82" s="82"/>
      <c r="I82" s="82"/>
      <c r="J82" s="82"/>
      <c r="K82" s="83"/>
      <c r="L82" s="82"/>
      <c r="M82" s="84"/>
      <c r="N82" s="340" t="e">
        <f>SQRT(s*(s-D82)*(s-B82)*(s-C82))</f>
        <v>#DIV/0!</v>
      </c>
      <c r="O82" s="4"/>
      <c r="P82" s="52"/>
      <c r="Q82" s="144"/>
    </row>
    <row r="83" spans="1:26" s="7" customFormat="1" x14ac:dyDescent="0.25">
      <c r="A83" s="342"/>
      <c r="B83" s="56"/>
      <c r="C83" s="282" t="s">
        <v>30</v>
      </c>
      <c r="D83" s="312" t="s">
        <v>32</v>
      </c>
      <c r="E83" s="87"/>
      <c r="F83" s="87"/>
      <c r="G83" s="87"/>
      <c r="H83" s="23"/>
      <c r="I83" s="23"/>
      <c r="J83" s="88"/>
      <c r="K83" s="88"/>
      <c r="L83" s="89"/>
      <c r="M83" s="90"/>
      <c r="N83" s="301"/>
      <c r="O83" s="4"/>
      <c r="P83" s="52"/>
      <c r="Q83" s="143"/>
      <c r="R83" s="2"/>
      <c r="T83" s="2"/>
      <c r="U83" s="2"/>
      <c r="V83" s="2"/>
    </row>
    <row r="84" spans="1:26" s="7" customFormat="1" x14ac:dyDescent="0.25">
      <c r="A84" s="342"/>
      <c r="B84" s="56"/>
      <c r="C84" s="313">
        <f>C80+COS(RADIANS(B78))*B82</f>
        <v>0</v>
      </c>
      <c r="D84" s="47" t="e">
        <f>SQRT(B82^2+C80^2-2*B82*C80*COS(RADIANS(D89)))</f>
        <v>#DIV/0!</v>
      </c>
      <c r="E84" s="87"/>
      <c r="F84" s="87"/>
      <c r="G84" s="87"/>
      <c r="H84" s="23"/>
      <c r="I84" s="23"/>
      <c r="J84" s="88"/>
      <c r="K84" s="88"/>
      <c r="L84" s="89"/>
      <c r="M84" s="90"/>
      <c r="N84" s="301"/>
      <c r="O84" s="4"/>
      <c r="P84" s="3"/>
    </row>
    <row r="85" spans="1:26" x14ac:dyDescent="0.25">
      <c r="A85" s="339" t="s">
        <v>31</v>
      </c>
      <c r="B85" s="101">
        <v>0.05</v>
      </c>
      <c r="C85" s="102">
        <f>B80*B85*100</f>
        <v>0</v>
      </c>
      <c r="D85" s="34" t="s">
        <v>48</v>
      </c>
      <c r="E85" s="17"/>
      <c r="F85" s="17"/>
      <c r="G85" s="17"/>
      <c r="H85" s="83"/>
      <c r="I85" s="83"/>
      <c r="J85" s="82"/>
      <c r="K85" s="83"/>
      <c r="L85" s="82"/>
      <c r="M85" s="84"/>
      <c r="N85" s="340">
        <f>C85*B80*0.65/100</f>
        <v>0</v>
      </c>
      <c r="O85" s="4"/>
      <c r="P85" s="52"/>
      <c r="Q85" s="143"/>
      <c r="R85" s="143"/>
      <c r="S85" s="145"/>
    </row>
    <row r="86" spans="1:26" s="7" customFormat="1" ht="26.4" x14ac:dyDescent="0.25">
      <c r="A86" s="343" t="s">
        <v>37</v>
      </c>
      <c r="B86" s="100">
        <v>-0.02</v>
      </c>
      <c r="C86" s="281" t="e">
        <f>C82*B86*100</f>
        <v>#DIV/0!</v>
      </c>
      <c r="D86" s="280" t="s">
        <v>48</v>
      </c>
      <c r="E86" s="344"/>
      <c r="F86" s="344"/>
      <c r="G86" s="344"/>
      <c r="H86" s="345"/>
      <c r="I86" s="345"/>
      <c r="J86" s="346"/>
      <c r="K86" s="346"/>
      <c r="L86" s="345"/>
      <c r="M86" s="347"/>
      <c r="N86" s="348" t="e">
        <f>C86*C82*0.65/100</f>
        <v>#DIV/0!</v>
      </c>
      <c r="O86" s="4"/>
      <c r="P86" s="3"/>
    </row>
    <row r="87" spans="1:26" ht="16.2" thickBot="1" x14ac:dyDescent="0.35">
      <c r="A87" s="57" t="s">
        <v>49</v>
      </c>
      <c r="B87" s="58" t="e">
        <f>F87+H87</f>
        <v>#DIV/0!</v>
      </c>
      <c r="C87" s="327"/>
      <c r="D87" s="72" t="str">
        <f>A73</f>
        <v>Storseil gammelt</v>
      </c>
      <c r="E87" s="328" t="s">
        <v>33</v>
      </c>
      <c r="F87" s="329" t="e">
        <f>DEGREES(ACOS((D80^2+C82^2-B82^2)/(2*D80*C82)))</f>
        <v>#DIV/0!</v>
      </c>
      <c r="G87" s="328" t="s">
        <v>34</v>
      </c>
      <c r="H87" s="329" t="e">
        <f>DEGREES(ACOS((B80^2+D80^2-C80^2)/(2*B80*D80)))</f>
        <v>#DIV/0!</v>
      </c>
      <c r="I87" s="328" t="s">
        <v>25</v>
      </c>
      <c r="J87" s="329" t="e">
        <f>180-B77-H87</f>
        <v>#DIV/0!</v>
      </c>
      <c r="K87" s="328"/>
      <c r="L87" s="329"/>
      <c r="M87" s="330"/>
      <c r="N87" s="116" t="e">
        <f>SUM(N80:N86)</f>
        <v>#DIV/0!</v>
      </c>
      <c r="O87" s="384">
        <v>0</v>
      </c>
      <c r="P87" s="385" t="s">
        <v>80</v>
      </c>
      <c r="Q87" s="7"/>
      <c r="R87" s="7"/>
      <c r="Y87" s="7"/>
      <c r="Z87" s="127"/>
    </row>
    <row r="88" spans="1:26" ht="14.4" thickTop="1" thickBot="1" x14ac:dyDescent="0.3">
      <c r="A88" s="57" t="s">
        <v>50</v>
      </c>
      <c r="B88" s="58" t="e">
        <f>B87-(90-B77)</f>
        <v>#DIV/0!</v>
      </c>
      <c r="C88" s="57" t="s">
        <v>26</v>
      </c>
      <c r="D88" s="58" t="e">
        <f>DEGREES(ACOS((C82^2+B82^2-D80^2)/(2*C82*B82)))</f>
        <v>#DIV/0!</v>
      </c>
      <c r="E88" s="60"/>
      <c r="F88" s="59" t="e">
        <f>DEGREES(ACOS((D80^2+C82^2-B82^2)/(2*D80*C82)))</f>
        <v>#DIV/0!</v>
      </c>
      <c r="G88" s="63"/>
      <c r="H88" s="59" t="e">
        <f>DEGREES(ACOS((B80^2+D80^2-C80^2)/(2*B80*D80)))</f>
        <v>#DIV/0!</v>
      </c>
      <c r="I88" s="60" t="s">
        <v>74</v>
      </c>
      <c r="J88" s="59" t="e">
        <f>B87+B77+D89+D88</f>
        <v>#DIV/0!</v>
      </c>
      <c r="K88" s="60"/>
      <c r="L88" s="58"/>
      <c r="M88" s="61"/>
      <c r="N88" s="182"/>
      <c r="O88" s="42"/>
      <c r="P88" s="42"/>
      <c r="Q88" s="62"/>
      <c r="Y88" s="7"/>
      <c r="Z88" s="127"/>
    </row>
    <row r="89" spans="1:26" ht="13.8" thickTop="1" x14ac:dyDescent="0.25">
      <c r="A89" s="57" t="s">
        <v>36</v>
      </c>
      <c r="B89" s="58" t="e">
        <f>180-B78-J87</f>
        <v>#DIV/0!</v>
      </c>
      <c r="C89" s="57" t="s">
        <v>27</v>
      </c>
      <c r="D89" s="58" t="e">
        <f>J87+B89</f>
        <v>#DIV/0!</v>
      </c>
      <c r="E89" s="63"/>
      <c r="F89" s="349" t="e">
        <f>DEGREES(ASIN(2*N82/C82/D80))</f>
        <v>#DIV/0!</v>
      </c>
      <c r="G89" s="61"/>
      <c r="H89" s="349" t="e">
        <f>(180-DEGREES(ASIN(2*N82/D80/C80))-B77)</f>
        <v>#DIV/0!</v>
      </c>
      <c r="I89" s="63"/>
      <c r="J89" s="63"/>
      <c r="K89" s="63"/>
      <c r="L89" s="63"/>
      <c r="M89" s="63"/>
      <c r="N89" s="117"/>
      <c r="O89" s="2"/>
      <c r="P89" s="2"/>
      <c r="Q89" s="64"/>
    </row>
    <row r="90" spans="1:26" s="65" customFormat="1" x14ac:dyDescent="0.25">
      <c r="A90" s="357" t="s">
        <v>69</v>
      </c>
      <c r="B90" s="380" t="e">
        <f>C82/7</f>
        <v>#DIV/0!</v>
      </c>
      <c r="C90" s="381" t="e">
        <f>ROUND(B90,1)</f>
        <v>#DIV/0!</v>
      </c>
      <c r="D90" s="358" t="e">
        <f>E90</f>
        <v>#DIV/0!</v>
      </c>
      <c r="E90" s="359" t="e">
        <f>0.5*(B80+F90)*G90</f>
        <v>#DIV/0!</v>
      </c>
      <c r="F90" s="360" t="e">
        <f>SQRT(AD^2+AC^2-2*AD*AC*K90)</f>
        <v>#DIV/0!</v>
      </c>
      <c r="G90" s="361" t="e">
        <f>C90</f>
        <v>#DIV/0!</v>
      </c>
      <c r="H90" s="362" t="e">
        <f>C82-G90</f>
        <v>#DIV/0!</v>
      </c>
      <c r="I90" s="362" t="e">
        <f>C80-G90</f>
        <v>#DIV/0!</v>
      </c>
      <c r="J90" s="362" t="e">
        <f>SQRT((B82)^2+(C80-G90)^2-2*B82*(C80-G90)*COS(RADIANS(180-B78)))</f>
        <v>#DIV/0!</v>
      </c>
      <c r="K90" s="363" t="e">
        <f>COS(RADIANS(M90))</f>
        <v>#DIV/0!</v>
      </c>
      <c r="L90" s="364" t="e">
        <f>BC*SIN(RADIANS(180-B78))/AC</f>
        <v>#DIV/0!</v>
      </c>
      <c r="M90" s="363" t="e">
        <f>D88-DEGREES(ASIN(L90))</f>
        <v>#DIV/0!</v>
      </c>
      <c r="N90" s="365" t="e">
        <f>N87-E90</f>
        <v>#DIV/0!</v>
      </c>
      <c r="O90" s="125"/>
      <c r="P90" s="146"/>
      <c r="Q90" s="66"/>
    </row>
    <row r="91" spans="1:26" s="65" customFormat="1" x14ac:dyDescent="0.25">
      <c r="A91" s="366"/>
      <c r="B91" s="378" t="s">
        <v>19</v>
      </c>
      <c r="C91" s="67" t="e">
        <f>C90</f>
        <v>#DIV/0!</v>
      </c>
      <c r="D91" s="350" t="e">
        <f>E91-E90</f>
        <v>#DIV/0!</v>
      </c>
      <c r="E91" s="351" t="e">
        <f>0.5*(B80+F91)*G91</f>
        <v>#DIV/0!</v>
      </c>
      <c r="F91" s="352" t="e">
        <f>SQRT(AD^2+AC^2-2*AD*AC*K91)</f>
        <v>#DIV/0!</v>
      </c>
      <c r="G91" s="353" t="e">
        <f>SUM(C90:C91)</f>
        <v>#DIV/0!</v>
      </c>
      <c r="H91" s="354" t="e">
        <f>C82-G91</f>
        <v>#DIV/0!</v>
      </c>
      <c r="I91" s="354" t="e">
        <f>C80-G91*0.98</f>
        <v>#DIV/0!</v>
      </c>
      <c r="J91" s="354" t="e">
        <f>SQRT((B82)^2+(C80-G91)^2-2*B82*(C80-G91)*COS(RADIANS(180-B78)))</f>
        <v>#DIV/0!</v>
      </c>
      <c r="K91" s="355" t="e">
        <f>COS(RADIANS(M91))</f>
        <v>#DIV/0!</v>
      </c>
      <c r="L91" s="356" t="e">
        <f>BC*SIN(RADIANS(180-B78))/AC</f>
        <v>#DIV/0!</v>
      </c>
      <c r="M91" s="355" t="e">
        <f>D88-DEGREES(ASIN(L91))</f>
        <v>#DIV/0!</v>
      </c>
      <c r="N91" s="367" t="e">
        <f>N87-E91</f>
        <v>#DIV/0!</v>
      </c>
      <c r="O91" s="125"/>
      <c r="P91" s="146"/>
      <c r="Q91" s="66"/>
    </row>
    <row r="92" spans="1:26" s="65" customFormat="1" x14ac:dyDescent="0.25">
      <c r="A92" s="368"/>
      <c r="B92" s="379" t="s">
        <v>91</v>
      </c>
      <c r="C92" s="369" t="e">
        <f>C91</f>
        <v>#DIV/0!</v>
      </c>
      <c r="D92" s="370" t="e">
        <f>E92-E91</f>
        <v>#DIV/0!</v>
      </c>
      <c r="E92" s="371" t="e">
        <f>0.5*(B80+F92)*G92</f>
        <v>#DIV/0!</v>
      </c>
      <c r="F92" s="372" t="e">
        <f>SQRT(AD^2+AC^2-2*AD*AC*K92)</f>
        <v>#DIV/0!</v>
      </c>
      <c r="G92" s="373" t="e">
        <f>SUM(C90:C92)</f>
        <v>#DIV/0!</v>
      </c>
      <c r="H92" s="374" t="e">
        <f>C82-G92</f>
        <v>#DIV/0!</v>
      </c>
      <c r="I92" s="374" t="e">
        <f>C80-G92*0.98</f>
        <v>#DIV/0!</v>
      </c>
      <c r="J92" s="374" t="e">
        <f>SQRT((B82)^2+(C80-G92)^2-2*B82*(C80-G92)*COS(RADIANS(180-B78)))</f>
        <v>#DIV/0!</v>
      </c>
      <c r="K92" s="375" t="e">
        <f>COS(RADIANS(M92))</f>
        <v>#DIV/0!</v>
      </c>
      <c r="L92" s="376" t="e">
        <f>BC*SIN(RADIANS(180-B78))/AC</f>
        <v>#DIV/0!</v>
      </c>
      <c r="M92" s="375" t="e">
        <f>D88-DEGREES(ASIN(L92))</f>
        <v>#DIV/0!</v>
      </c>
      <c r="N92" s="377" t="e">
        <f>N87-E92</f>
        <v>#DIV/0!</v>
      </c>
      <c r="O92" s="125"/>
      <c r="P92" s="146"/>
      <c r="Q92" s="66"/>
    </row>
    <row r="93" spans="1:26" ht="17.399999999999999" x14ac:dyDescent="0.3">
      <c r="A93" s="304" t="s">
        <v>35</v>
      </c>
      <c r="B93" s="68" t="s">
        <v>38</v>
      </c>
      <c r="C93" s="68" t="s">
        <v>1</v>
      </c>
      <c r="D93" s="68" t="s">
        <v>2</v>
      </c>
      <c r="E93" s="286" t="s">
        <v>0</v>
      </c>
      <c r="F93" s="286"/>
      <c r="G93" s="286"/>
      <c r="H93" s="287"/>
      <c r="I93" s="287"/>
      <c r="J93" s="288"/>
      <c r="K93" s="289"/>
      <c r="L93" s="289"/>
      <c r="M93" s="290"/>
      <c r="N93" s="302" t="s">
        <v>10</v>
      </c>
      <c r="O93" s="85"/>
      <c r="P93" s="36"/>
      <c r="Q93" s="36"/>
      <c r="T93" s="126"/>
      <c r="U93" s="126"/>
      <c r="V93" s="126"/>
      <c r="W93" s="126"/>
      <c r="X93" s="126"/>
    </row>
    <row r="94" spans="1:26" s="7" customFormat="1" ht="17.399999999999999" x14ac:dyDescent="0.25">
      <c r="A94" s="388" t="s">
        <v>86</v>
      </c>
      <c r="B94" s="10">
        <v>0</v>
      </c>
      <c r="C94" s="10">
        <v>0</v>
      </c>
      <c r="D94" s="10">
        <v>0</v>
      </c>
      <c r="E94" s="307">
        <f>(B94+C94+D94)/2</f>
        <v>0</v>
      </c>
      <c r="F94" s="87"/>
      <c r="G94" s="87"/>
      <c r="H94" s="23"/>
      <c r="I94" s="23"/>
      <c r="J94" s="88"/>
      <c r="K94" s="88"/>
      <c r="L94" s="89"/>
      <c r="M94" s="90"/>
      <c r="N94" s="112">
        <f>SQRT(E94*(E94-B94)*(E94-C94)*(E94-D94))</f>
        <v>0</v>
      </c>
      <c r="O94" s="4"/>
      <c r="P94" s="3"/>
    </row>
    <row r="95" spans="1:26" s="7" customFormat="1" ht="13.8" x14ac:dyDescent="0.3">
      <c r="A95" s="209" t="s">
        <v>6</v>
      </c>
      <c r="B95" s="386" t="e">
        <f>DEGREES(ASIN(2*$N94/B94/C94))</f>
        <v>#DIV/0!</v>
      </c>
      <c r="C95" s="386" t="e">
        <f>180-B95-D95</f>
        <v>#DIV/0!</v>
      </c>
      <c r="D95" s="386" t="e">
        <f>DEGREES(ASIN(2*$N94/D94/B94))</f>
        <v>#DIV/0!</v>
      </c>
      <c r="E95" s="87" t="e">
        <f>(B95+C95+D95)/2</f>
        <v>#DIV/0!</v>
      </c>
      <c r="F95" s="87"/>
      <c r="G95" s="87"/>
      <c r="H95" s="23"/>
      <c r="I95" s="23"/>
      <c r="J95" s="88"/>
      <c r="K95" s="88"/>
      <c r="L95" s="89"/>
      <c r="M95" s="90"/>
      <c r="N95" s="43"/>
      <c r="O95" s="44"/>
      <c r="P95" s="132"/>
      <c r="U95" s="133"/>
      <c r="V95" s="134"/>
      <c r="W95" s="135"/>
      <c r="X95"/>
    </row>
    <row r="96" spans="1:26" s="7" customFormat="1" x14ac:dyDescent="0.25">
      <c r="A96" s="69" t="s">
        <v>9</v>
      </c>
      <c r="B96" s="300">
        <v>-0.02</v>
      </c>
      <c r="C96" s="69" t="s">
        <v>7</v>
      </c>
      <c r="D96" s="164">
        <f>B96*C94*100</f>
        <v>0</v>
      </c>
      <c r="E96" s="87"/>
      <c r="F96" s="87"/>
      <c r="G96" s="87"/>
      <c r="H96" s="23"/>
      <c r="I96" s="23"/>
      <c r="J96" s="88"/>
      <c r="K96" s="88"/>
      <c r="L96" s="89"/>
      <c r="M96" s="90"/>
      <c r="N96" s="112">
        <f>(C94^2*B96*0.65)</f>
        <v>0</v>
      </c>
      <c r="O96" s="4"/>
      <c r="P96" s="3"/>
    </row>
    <row r="97" spans="1:24" s="7" customFormat="1" x14ac:dyDescent="0.25">
      <c r="A97" s="69" t="s">
        <v>88</v>
      </c>
      <c r="B97" s="300">
        <v>-0.02</v>
      </c>
      <c r="C97" s="69" t="s">
        <v>7</v>
      </c>
      <c r="D97" s="164">
        <f>B97*D94*100</f>
        <v>0</v>
      </c>
      <c r="E97" s="87"/>
      <c r="F97" s="87"/>
      <c r="G97" s="87"/>
      <c r="H97" s="23"/>
      <c r="I97" s="23"/>
      <c r="J97" s="88"/>
      <c r="K97" s="88"/>
      <c r="L97" s="89"/>
      <c r="M97" s="90"/>
      <c r="N97" s="112">
        <f>(D94^2*B97*0.65)</f>
        <v>0</v>
      </c>
      <c r="O97" s="4"/>
      <c r="P97" s="3"/>
    </row>
    <row r="98" spans="1:24" s="7" customFormat="1" x14ac:dyDescent="0.25">
      <c r="A98" s="124" t="s">
        <v>60</v>
      </c>
      <c r="B98" s="300">
        <v>0.03</v>
      </c>
      <c r="C98" s="69" t="s">
        <v>7</v>
      </c>
      <c r="D98" s="164">
        <f>B98*B94*100</f>
        <v>0</v>
      </c>
      <c r="E98" s="87"/>
      <c r="F98" s="87"/>
      <c r="G98" s="87"/>
      <c r="H98" s="23"/>
      <c r="I98" s="23"/>
      <c r="J98" s="88"/>
      <c r="K98" s="88"/>
      <c r="L98" s="89"/>
      <c r="M98" s="90"/>
      <c r="N98" s="112">
        <f>(B94^2*B98*0.65)</f>
        <v>0</v>
      </c>
      <c r="O98" s="4"/>
      <c r="P98" s="3"/>
    </row>
    <row r="99" spans="1:24" s="7" customFormat="1" ht="14.4" thickBot="1" x14ac:dyDescent="0.3">
      <c r="A99" s="200" t="s">
        <v>79</v>
      </c>
      <c r="B99" s="30" t="e">
        <f>N94/B94*2</f>
        <v>#DIV/0!</v>
      </c>
      <c r="C99" s="96"/>
      <c r="D99" s="165" t="str">
        <f>A94</f>
        <v>Toppseil m stang</v>
      </c>
      <c r="E99" s="20"/>
      <c r="F99" s="20"/>
      <c r="G99" s="20"/>
      <c r="H99" s="23"/>
      <c r="I99" s="23"/>
      <c r="J99" s="88"/>
      <c r="K99" s="89"/>
      <c r="L99" s="89"/>
      <c r="M99" s="90"/>
      <c r="N99" s="213">
        <f>SUM(N94:N98)</f>
        <v>0</v>
      </c>
      <c r="O99" s="384">
        <v>0</v>
      </c>
      <c r="P99" s="385" t="s">
        <v>80</v>
      </c>
    </row>
    <row r="100" spans="1:24" s="75" customFormat="1" ht="12.6" thickTop="1" x14ac:dyDescent="0.25">
      <c r="A100" s="214" t="s">
        <v>61</v>
      </c>
      <c r="B100" s="171" t="s">
        <v>13</v>
      </c>
      <c r="C100" s="390">
        <f>B94+C94*7/100</f>
        <v>0</v>
      </c>
      <c r="E100" s="173"/>
      <c r="F100" s="173"/>
      <c r="G100" s="173"/>
      <c r="H100" s="169"/>
      <c r="I100" s="169"/>
      <c r="J100" s="201"/>
      <c r="K100" s="201"/>
      <c r="L100" s="202"/>
      <c r="M100" s="215"/>
      <c r="O100" s="174"/>
      <c r="P100" s="55"/>
    </row>
    <row r="101" spans="1:24" s="75" customFormat="1" ht="11.4" x14ac:dyDescent="0.2">
      <c r="A101" s="76"/>
      <c r="B101" s="175" t="s">
        <v>62</v>
      </c>
      <c r="C101" s="179">
        <f>B94-C100+(C100*4/100)</f>
        <v>0</v>
      </c>
      <c r="D101" s="175"/>
      <c r="E101" s="176"/>
      <c r="F101" s="176"/>
      <c r="G101" s="176"/>
      <c r="H101" s="170"/>
      <c r="I101" s="170"/>
      <c r="J101" s="216"/>
      <c r="K101" s="216"/>
      <c r="L101" s="217"/>
      <c r="M101" s="131"/>
      <c r="N101" s="218"/>
      <c r="O101" s="174"/>
      <c r="P101" s="55"/>
    </row>
    <row r="102" spans="1:24" s="75" customFormat="1" ht="11.4" x14ac:dyDescent="0.2">
      <c r="A102" s="219"/>
      <c r="B102" s="171" t="s">
        <v>68</v>
      </c>
      <c r="C102" s="172">
        <v>0</v>
      </c>
      <c r="D102" s="175"/>
      <c r="E102" s="176"/>
      <c r="F102" s="176"/>
      <c r="G102" s="176"/>
      <c r="H102" s="170"/>
      <c r="I102" s="170"/>
      <c r="J102" s="216"/>
      <c r="K102" s="216"/>
      <c r="L102" s="217"/>
      <c r="M102" s="131"/>
      <c r="N102" s="175"/>
      <c r="O102" s="174"/>
      <c r="P102" s="55"/>
    </row>
    <row r="103" spans="1:24" ht="17.399999999999999" x14ac:dyDescent="0.3">
      <c r="A103" s="304"/>
      <c r="B103" s="68" t="s">
        <v>38</v>
      </c>
      <c r="C103" s="68" t="s">
        <v>1</v>
      </c>
      <c r="D103" s="68" t="s">
        <v>2</v>
      </c>
      <c r="E103" s="286" t="s">
        <v>0</v>
      </c>
      <c r="F103" s="286"/>
      <c r="G103" s="286"/>
      <c r="H103" s="287"/>
      <c r="I103" s="287"/>
      <c r="J103" s="288"/>
      <c r="K103" s="289"/>
      <c r="L103" s="289"/>
      <c r="M103" s="290"/>
      <c r="N103" s="302" t="s">
        <v>10</v>
      </c>
      <c r="O103" s="85"/>
      <c r="P103" s="36"/>
      <c r="Q103" s="36"/>
      <c r="T103" s="126"/>
      <c r="U103" s="126"/>
      <c r="V103" s="126"/>
      <c r="W103" s="126"/>
      <c r="X103" s="126"/>
    </row>
    <row r="104" spans="1:24" s="7" customFormat="1" ht="17.399999999999999" x14ac:dyDescent="0.25">
      <c r="A104" s="211" t="s">
        <v>87</v>
      </c>
      <c r="B104" s="10">
        <v>0</v>
      </c>
      <c r="C104" s="10">
        <v>0</v>
      </c>
      <c r="D104" s="10">
        <v>0</v>
      </c>
      <c r="E104" s="87">
        <f>(B104+C104+D104)/2</f>
        <v>0</v>
      </c>
      <c r="F104" s="87"/>
      <c r="G104" s="87"/>
      <c r="H104" s="23"/>
      <c r="I104" s="23"/>
      <c r="J104" s="88"/>
      <c r="K104" s="88"/>
      <c r="L104" s="89"/>
      <c r="M104" s="90"/>
      <c r="N104" s="112">
        <f>SQRT(E104*(E104-B104)*(E104-C104)*(E104-D104))</f>
        <v>0</v>
      </c>
      <c r="O104" s="4"/>
      <c r="P104" s="3"/>
    </row>
    <row r="105" spans="1:24" s="7" customFormat="1" ht="13.8" x14ac:dyDescent="0.3">
      <c r="A105" s="209" t="s">
        <v>6</v>
      </c>
      <c r="B105" s="386" t="e">
        <f>DEGREES(ASIN(2*$N104/B104/C104))</f>
        <v>#DIV/0!</v>
      </c>
      <c r="C105" s="386" t="e">
        <f>180-B105-D105</f>
        <v>#DIV/0!</v>
      </c>
      <c r="D105" s="386" t="e">
        <f>DEGREES(ASIN(2*$N104/D104/B104))</f>
        <v>#DIV/0!</v>
      </c>
      <c r="E105" s="87" t="e">
        <f>(B105+C105+D105)/2</f>
        <v>#DIV/0!</v>
      </c>
      <c r="F105" s="87"/>
      <c r="G105" s="87"/>
      <c r="H105" s="23"/>
      <c r="I105" s="23"/>
      <c r="J105" s="88"/>
      <c r="K105" s="88"/>
      <c r="L105" s="89"/>
      <c r="M105" s="90"/>
      <c r="N105" s="43"/>
      <c r="O105" s="44"/>
      <c r="P105" s="132"/>
      <c r="U105" s="133"/>
      <c r="V105" s="134"/>
      <c r="W105" s="135"/>
      <c r="X105"/>
    </row>
    <row r="106" spans="1:24" s="7" customFormat="1" x14ac:dyDescent="0.25">
      <c r="A106" s="69" t="s">
        <v>9</v>
      </c>
      <c r="B106" s="300">
        <v>-0.02</v>
      </c>
      <c r="C106" s="69" t="s">
        <v>7</v>
      </c>
      <c r="D106" s="164">
        <f>B106*C104*100</f>
        <v>0</v>
      </c>
      <c r="E106" s="87"/>
      <c r="F106" s="87"/>
      <c r="G106" s="87"/>
      <c r="H106" s="23"/>
      <c r="I106" s="23"/>
      <c r="J106" s="88"/>
      <c r="K106" s="88"/>
      <c r="L106" s="89"/>
      <c r="M106" s="90"/>
      <c r="N106" s="112">
        <f>(C104^2*B106*0.65)</f>
        <v>0</v>
      </c>
      <c r="O106" s="4"/>
      <c r="P106" s="3"/>
    </row>
    <row r="107" spans="1:24" s="7" customFormat="1" x14ac:dyDescent="0.25">
      <c r="A107" s="69" t="s">
        <v>88</v>
      </c>
      <c r="B107" s="300">
        <v>-0.02</v>
      </c>
      <c r="C107" s="69" t="s">
        <v>7</v>
      </c>
      <c r="D107" s="164">
        <f>B107*D104*100</f>
        <v>0</v>
      </c>
      <c r="E107" s="87"/>
      <c r="F107" s="87"/>
      <c r="G107" s="87"/>
      <c r="H107" s="23"/>
      <c r="I107" s="23"/>
      <c r="J107" s="88"/>
      <c r="K107" s="88"/>
      <c r="L107" s="89"/>
      <c r="M107" s="90"/>
      <c r="N107" s="112">
        <f>(D104^2*B107*0.65)</f>
        <v>0</v>
      </c>
      <c r="O107" s="4"/>
      <c r="P107" s="3"/>
    </row>
    <row r="108" spans="1:24" s="7" customFormat="1" x14ac:dyDescent="0.25">
      <c r="A108" s="209" t="s">
        <v>89</v>
      </c>
      <c r="B108" s="300">
        <v>0.02</v>
      </c>
      <c r="C108" s="69" t="s">
        <v>7</v>
      </c>
      <c r="D108" s="164">
        <f>B108*B104*100</f>
        <v>0</v>
      </c>
      <c r="E108" s="87"/>
      <c r="F108" s="87"/>
      <c r="G108" s="87"/>
      <c r="H108" s="23"/>
      <c r="I108" s="23"/>
      <c r="J108" s="88"/>
      <c r="K108" s="88"/>
      <c r="L108" s="89"/>
      <c r="M108" s="90"/>
      <c r="N108" s="112">
        <f>(B104^2*B108*0.4)</f>
        <v>0</v>
      </c>
      <c r="O108" s="4"/>
      <c r="P108" s="3"/>
    </row>
    <row r="109" spans="1:24" s="7" customFormat="1" ht="14.4" thickBot="1" x14ac:dyDescent="0.3">
      <c r="A109" s="306" t="s">
        <v>79</v>
      </c>
      <c r="B109" s="383" t="e">
        <f>N104/B104*2</f>
        <v>#DIV/0!</v>
      </c>
      <c r="C109" s="220"/>
      <c r="D109" s="165" t="str">
        <f>A104</f>
        <v>Toppseil u stang</v>
      </c>
      <c r="E109" s="20"/>
      <c r="F109" s="20"/>
      <c r="G109" s="20"/>
      <c r="H109" s="23"/>
      <c r="I109" s="23"/>
      <c r="J109" s="88"/>
      <c r="K109" s="89"/>
      <c r="L109" s="89"/>
      <c r="M109" s="90"/>
      <c r="N109" s="213">
        <f>SUM(N104:N108)</f>
        <v>0</v>
      </c>
      <c r="O109" s="384">
        <v>0</v>
      </c>
      <c r="P109" s="385" t="s">
        <v>80</v>
      </c>
    </row>
    <row r="110" spans="1:24" s="7" customFormat="1" ht="13.8" thickTop="1" x14ac:dyDescent="0.25">
      <c r="A110" s="285" t="s">
        <v>72</v>
      </c>
      <c r="B110" s="10">
        <v>2.5</v>
      </c>
      <c r="C110" s="2"/>
      <c r="D110" s="277"/>
      <c r="E110" s="278"/>
      <c r="F110" s="278"/>
      <c r="G110" s="278"/>
      <c r="H110" s="167"/>
      <c r="I110" s="167"/>
      <c r="J110" s="18"/>
      <c r="K110" s="18"/>
      <c r="L110" s="19"/>
      <c r="M110"/>
      <c r="N110" s="279"/>
      <c r="O110" s="4"/>
      <c r="P110" s="3"/>
    </row>
    <row r="111" spans="1:24" x14ac:dyDescent="0.25">
      <c r="A111" s="285" t="s">
        <v>16</v>
      </c>
      <c r="B111" s="10">
        <v>0</v>
      </c>
      <c r="C111" s="2"/>
      <c r="D111" s="277"/>
      <c r="E111" s="278"/>
      <c r="F111" s="278"/>
      <c r="G111" s="278"/>
      <c r="H111" s="167"/>
      <c r="I111" s="167"/>
      <c r="N111" s="279"/>
      <c r="O111" s="4"/>
      <c r="P111" s="3"/>
    </row>
    <row r="112" spans="1:24" ht="17.399999999999999" x14ac:dyDescent="0.3">
      <c r="A112" s="304"/>
      <c r="B112" s="68" t="s">
        <v>38</v>
      </c>
      <c r="C112" s="68" t="s">
        <v>1</v>
      </c>
      <c r="D112" s="68" t="s">
        <v>2</v>
      </c>
      <c r="E112" s="286" t="s">
        <v>0</v>
      </c>
      <c r="F112" s="286"/>
      <c r="G112" s="286"/>
      <c r="H112" s="287"/>
      <c r="I112" s="287"/>
      <c r="J112" s="288"/>
      <c r="K112" s="289"/>
      <c r="L112" s="289"/>
      <c r="M112" s="290"/>
      <c r="N112" s="302" t="s">
        <v>10</v>
      </c>
      <c r="O112" s="85"/>
      <c r="P112" s="36"/>
      <c r="Q112" s="36"/>
      <c r="T112" s="126"/>
      <c r="U112" s="126"/>
      <c r="V112" s="126"/>
      <c r="W112" s="126"/>
      <c r="X112" s="126"/>
    </row>
    <row r="113" spans="1:29" s="7" customFormat="1" ht="17.399999999999999" x14ac:dyDescent="0.25">
      <c r="A113" s="211" t="s">
        <v>87</v>
      </c>
      <c r="B113" s="10">
        <v>0</v>
      </c>
      <c r="C113" s="10">
        <v>0</v>
      </c>
      <c r="D113" s="10">
        <v>0</v>
      </c>
      <c r="E113" s="87">
        <f>(B113+C113+D113)/2</f>
        <v>0</v>
      </c>
      <c r="F113" s="87"/>
      <c r="G113" s="87"/>
      <c r="H113" s="23"/>
      <c r="I113" s="23"/>
      <c r="J113" s="88"/>
      <c r="K113" s="88"/>
      <c r="L113" s="89"/>
      <c r="M113" s="90"/>
      <c r="N113" s="112">
        <f>SQRT(E113*(E113-B113)*(E113-C113)*(E113-D113))</f>
        <v>0</v>
      </c>
      <c r="O113" s="4"/>
      <c r="P113" s="3"/>
    </row>
    <row r="114" spans="1:29" s="7" customFormat="1" ht="13.8" x14ac:dyDescent="0.3">
      <c r="A114" s="209" t="s">
        <v>6</v>
      </c>
      <c r="B114" s="386" t="e">
        <f>DEGREES(ASIN(2*$N113/B113/C113))</f>
        <v>#DIV/0!</v>
      </c>
      <c r="C114" s="386" t="e">
        <f>180-B114-D114</f>
        <v>#DIV/0!</v>
      </c>
      <c r="D114" s="386" t="e">
        <f>DEGREES(ASIN(2*$N113/D113/B113))</f>
        <v>#DIV/0!</v>
      </c>
      <c r="E114" s="87" t="e">
        <f>(B114+C114+D114)/2</f>
        <v>#DIV/0!</v>
      </c>
      <c r="F114" s="87"/>
      <c r="G114" s="87"/>
      <c r="H114" s="23"/>
      <c r="I114" s="23"/>
      <c r="J114" s="88"/>
      <c r="K114" s="88"/>
      <c r="L114" s="89"/>
      <c r="M114" s="90"/>
      <c r="N114" s="43"/>
      <c r="O114" s="44"/>
      <c r="P114" s="132"/>
      <c r="U114" s="133"/>
      <c r="V114" s="134"/>
      <c r="W114" s="135"/>
      <c r="X114"/>
    </row>
    <row r="115" spans="1:29" s="7" customFormat="1" x14ac:dyDescent="0.25">
      <c r="A115" s="69" t="s">
        <v>9</v>
      </c>
      <c r="B115" s="300">
        <v>-0.02</v>
      </c>
      <c r="C115" s="69" t="s">
        <v>7</v>
      </c>
      <c r="D115" s="164">
        <f>B115*C113*100</f>
        <v>0</v>
      </c>
      <c r="E115" s="87"/>
      <c r="F115" s="87"/>
      <c r="G115" s="87"/>
      <c r="H115" s="23"/>
      <c r="I115" s="23"/>
      <c r="J115" s="88"/>
      <c r="K115" s="88"/>
      <c r="L115" s="89"/>
      <c r="M115" s="90"/>
      <c r="N115" s="112">
        <f>(C113^2*B115*0.65)</f>
        <v>0</v>
      </c>
      <c r="O115" s="4"/>
      <c r="P115" s="3"/>
    </row>
    <row r="116" spans="1:29" s="7" customFormat="1" x14ac:dyDescent="0.25">
      <c r="A116" s="69" t="s">
        <v>88</v>
      </c>
      <c r="B116" s="300">
        <v>-0.02</v>
      </c>
      <c r="C116" s="69" t="s">
        <v>7</v>
      </c>
      <c r="D116" s="164">
        <f>B116*D113*100</f>
        <v>0</v>
      </c>
      <c r="E116" s="87"/>
      <c r="F116" s="87"/>
      <c r="G116" s="87"/>
      <c r="H116" s="23"/>
      <c r="I116" s="23"/>
      <c r="J116" s="88"/>
      <c r="K116" s="88"/>
      <c r="L116" s="89"/>
      <c r="M116" s="90"/>
      <c r="N116" s="112">
        <f>(D113^2*B116*0.65)</f>
        <v>0</v>
      </c>
      <c r="O116" s="4"/>
      <c r="P116" s="3"/>
    </row>
    <row r="117" spans="1:29" s="7" customFormat="1" x14ac:dyDescent="0.25">
      <c r="A117" s="209" t="s">
        <v>63</v>
      </c>
      <c r="B117" s="300">
        <v>0.02</v>
      </c>
      <c r="C117" s="69" t="s">
        <v>7</v>
      </c>
      <c r="D117" s="164">
        <f>B117*B113*100</f>
        <v>0</v>
      </c>
      <c r="E117" s="87"/>
      <c r="F117" s="87"/>
      <c r="G117" s="87"/>
      <c r="H117" s="23"/>
      <c r="I117" s="23"/>
      <c r="J117" s="88"/>
      <c r="K117" s="88"/>
      <c r="L117" s="89"/>
      <c r="M117" s="90"/>
      <c r="N117" s="112">
        <f>(B113^2*B117*0.4)</f>
        <v>0</v>
      </c>
      <c r="O117" s="4"/>
      <c r="P117" s="3"/>
    </row>
    <row r="118" spans="1:29" s="7" customFormat="1" ht="14.4" thickBot="1" x14ac:dyDescent="0.3">
      <c r="A118" s="200" t="s">
        <v>79</v>
      </c>
      <c r="B118" s="30" t="e">
        <f>N113/B113*2</f>
        <v>#DIV/0!</v>
      </c>
      <c r="C118" s="220"/>
      <c r="D118" s="165" t="str">
        <f>A113</f>
        <v>Toppseil u stang</v>
      </c>
      <c r="E118" s="20"/>
      <c r="F118" s="20"/>
      <c r="G118" s="20"/>
      <c r="H118" s="23"/>
      <c r="I118" s="23"/>
      <c r="J118" s="88"/>
      <c r="K118" s="89"/>
      <c r="L118" s="89"/>
      <c r="M118" s="90"/>
      <c r="N118" s="213">
        <f>SUM(N113:N117)</f>
        <v>0</v>
      </c>
      <c r="O118" s="384">
        <v>0</v>
      </c>
      <c r="P118" s="385" t="s">
        <v>80</v>
      </c>
    </row>
    <row r="119" spans="1:29" s="7" customFormat="1" ht="13.8" thickTop="1" x14ac:dyDescent="0.25">
      <c r="A119" s="285" t="s">
        <v>72</v>
      </c>
      <c r="B119" s="10">
        <f>B113*0.7</f>
        <v>0</v>
      </c>
      <c r="C119" s="2"/>
      <c r="D119" s="277"/>
      <c r="E119" s="278"/>
      <c r="F119" s="278"/>
      <c r="G119" s="278"/>
      <c r="H119" s="167"/>
      <c r="I119" s="167"/>
      <c r="J119" s="18"/>
      <c r="K119" s="18"/>
      <c r="L119" s="19"/>
      <c r="M119"/>
      <c r="N119" s="279"/>
      <c r="O119" s="4"/>
      <c r="P119" s="3"/>
    </row>
    <row r="120" spans="1:29" x14ac:dyDescent="0.25">
      <c r="A120" s="285" t="s">
        <v>16</v>
      </c>
      <c r="B120" s="10">
        <v>0</v>
      </c>
      <c r="C120" s="2"/>
      <c r="D120" s="277"/>
      <c r="E120" s="278"/>
      <c r="F120" s="278"/>
      <c r="G120" s="278"/>
      <c r="H120" s="167"/>
      <c r="I120" s="167"/>
      <c r="N120" s="279"/>
      <c r="O120" s="4"/>
      <c r="P120" s="3"/>
    </row>
    <row r="121" spans="1:29" s="1" customFormat="1" ht="27.6" x14ac:dyDescent="0.45">
      <c r="A121" s="272" t="str">
        <f>A$2</f>
        <v>NN</v>
      </c>
      <c r="B121" s="273"/>
      <c r="C121" s="274"/>
      <c r="D121" s="274"/>
      <c r="E121" s="275"/>
      <c r="F121" s="275"/>
      <c r="G121" s="275"/>
      <c r="H121" s="253"/>
      <c r="I121" s="253"/>
      <c r="J121" s="254"/>
      <c r="K121" s="254"/>
      <c r="L121" s="255"/>
      <c r="M121" s="256"/>
      <c r="N121" s="276"/>
      <c r="O121" s="121"/>
      <c r="P121" s="121"/>
    </row>
    <row r="122" spans="1:29" ht="25.2" x14ac:dyDescent="0.45">
      <c r="A122" s="308" t="s">
        <v>77</v>
      </c>
      <c r="B122" s="181"/>
      <c r="C122" s="29"/>
      <c r="D122" s="29"/>
      <c r="E122" s="29"/>
      <c r="F122" s="29"/>
      <c r="G122" s="29"/>
      <c r="H122" s="183"/>
      <c r="I122" s="183"/>
      <c r="N122" s="184"/>
      <c r="O122" s="122"/>
    </row>
    <row r="123" spans="1:29" x14ac:dyDescent="0.25">
      <c r="A123" s="314" t="s">
        <v>46</v>
      </c>
      <c r="B123" s="315">
        <v>1.5</v>
      </c>
      <c r="C123" s="316" t="s">
        <v>14</v>
      </c>
      <c r="D123" s="317"/>
      <c r="E123" s="108"/>
      <c r="F123" s="108"/>
      <c r="G123" s="108"/>
      <c r="H123" s="82"/>
      <c r="I123" s="82"/>
      <c r="J123" s="82"/>
      <c r="K123" s="83"/>
      <c r="L123" s="82"/>
      <c r="M123" s="84"/>
      <c r="N123" s="118"/>
    </row>
    <row r="124" spans="1:29" x14ac:dyDescent="0.25">
      <c r="A124" s="318" t="s">
        <v>24</v>
      </c>
      <c r="B124" s="98">
        <v>8</v>
      </c>
      <c r="C124" s="45" t="s">
        <v>71</v>
      </c>
      <c r="D124" s="319"/>
      <c r="E124" s="108"/>
      <c r="F124" s="108"/>
      <c r="G124" s="108"/>
      <c r="H124" s="82"/>
      <c r="I124" s="82"/>
      <c r="J124" s="82"/>
      <c r="K124" s="83"/>
      <c r="L124" s="82"/>
      <c r="M124" s="84"/>
      <c r="N124" s="118"/>
    </row>
    <row r="125" spans="1:29" x14ac:dyDescent="0.25">
      <c r="A125" s="320" t="s">
        <v>15</v>
      </c>
      <c r="B125" s="99">
        <v>2</v>
      </c>
      <c r="C125" s="321">
        <f>-ABS(B129*(SIN(RADIANS(B125)))*100)</f>
        <v>0</v>
      </c>
      <c r="D125" s="322"/>
      <c r="E125" s="106"/>
      <c r="F125" s="106"/>
      <c r="G125" s="106"/>
      <c r="H125" s="106"/>
      <c r="I125" s="106"/>
      <c r="J125" s="106"/>
      <c r="K125" s="106"/>
      <c r="L125" s="106"/>
      <c r="M125" s="106"/>
      <c r="N125" s="118"/>
    </row>
    <row r="126" spans="1:29" s="27" customFormat="1" ht="20.399999999999999" x14ac:dyDescent="0.25">
      <c r="A126" s="323" t="s">
        <v>17</v>
      </c>
      <c r="B126" s="324">
        <f>90-ABS(B123)-ABS(B124)+ABS(B125)</f>
        <v>82.5</v>
      </c>
      <c r="C126" s="395" t="s">
        <v>75</v>
      </c>
      <c r="D126" s="396"/>
      <c r="E126" s="107"/>
      <c r="F126" s="107"/>
      <c r="G126" s="107"/>
      <c r="H126" s="107"/>
      <c r="I126" s="107"/>
      <c r="J126" s="107"/>
      <c r="K126" s="107"/>
      <c r="L126" s="107"/>
      <c r="M126" s="107"/>
      <c r="N126" s="119"/>
      <c r="O126" s="46"/>
      <c r="P126" s="47"/>
      <c r="Q126" s="48"/>
      <c r="R126" s="49"/>
      <c r="S126" s="123"/>
      <c r="U126" s="138"/>
      <c r="V126" s="48"/>
      <c r="W126" s="139"/>
      <c r="X126" s="139"/>
      <c r="Y126" s="140"/>
      <c r="Z126" s="141"/>
      <c r="AA126" s="140"/>
      <c r="AB126" s="124"/>
      <c r="AC126" s="123"/>
    </row>
    <row r="127" spans="1:29" s="27" customFormat="1" ht="26.4" x14ac:dyDescent="0.25">
      <c r="A127" s="325" t="s">
        <v>73</v>
      </c>
      <c r="B127" s="326">
        <v>42</v>
      </c>
      <c r="C127" s="393" t="s">
        <v>76</v>
      </c>
      <c r="D127" s="394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26"/>
      <c r="Q127" s="142"/>
      <c r="R127" s="49"/>
      <c r="T127" s="123"/>
      <c r="U127" s="50"/>
      <c r="V127" s="48"/>
      <c r="W127" s="139"/>
      <c r="X127" s="139"/>
      <c r="Y127" s="140"/>
      <c r="Z127" s="141"/>
      <c r="AA127" s="140"/>
      <c r="AB127" s="124"/>
      <c r="AC127" s="123"/>
    </row>
    <row r="128" spans="1:29" x14ac:dyDescent="0.25">
      <c r="A128" s="331"/>
      <c r="B128" s="332" t="s">
        <v>5</v>
      </c>
      <c r="C128" s="332" t="s">
        <v>4</v>
      </c>
      <c r="D128" s="333" t="s">
        <v>29</v>
      </c>
      <c r="E128" s="334" t="s">
        <v>0</v>
      </c>
      <c r="F128" s="334"/>
      <c r="G128" s="334"/>
      <c r="H128" s="335"/>
      <c r="I128" s="335"/>
      <c r="J128" s="335"/>
      <c r="K128" s="336"/>
      <c r="L128" s="335"/>
      <c r="M128" s="337"/>
      <c r="N128" s="338" t="s">
        <v>10</v>
      </c>
      <c r="O128" s="155" t="s">
        <v>58</v>
      </c>
      <c r="P128" s="156"/>
      <c r="Q128" s="152"/>
      <c r="R128" s="153"/>
      <c r="S128" s="153"/>
    </row>
    <row r="129" spans="1:26" x14ac:dyDescent="0.25">
      <c r="A129" s="339"/>
      <c r="B129" s="53">
        <v>0</v>
      </c>
      <c r="C129" s="54">
        <v>0</v>
      </c>
      <c r="D129" s="309">
        <f>SQRT(C129^2+B129^2-2*B129*C129*COS(RADIANS(B126)))</f>
        <v>0</v>
      </c>
      <c r="E129" s="310">
        <f>(D129+B129+C129)/2</f>
        <v>0</v>
      </c>
      <c r="F129" s="108"/>
      <c r="G129" s="108"/>
      <c r="H129" s="82"/>
      <c r="I129" s="82"/>
      <c r="J129" s="82"/>
      <c r="K129" s="83"/>
      <c r="L129" s="82"/>
      <c r="M129" s="84"/>
      <c r="N129" s="340">
        <f>SQRT(s*(s-D129)*(s-B129)*(s-C129))</f>
        <v>0</v>
      </c>
      <c r="O129" s="155" t="s">
        <v>93</v>
      </c>
      <c r="P129" s="156"/>
      <c r="Q129" s="154"/>
      <c r="R129" s="153"/>
      <c r="S129" s="153"/>
    </row>
    <row r="130" spans="1:26" x14ac:dyDescent="0.25">
      <c r="A130" s="341"/>
      <c r="B130" s="248" t="s">
        <v>3</v>
      </c>
      <c r="C130" s="282" t="s">
        <v>47</v>
      </c>
      <c r="D130" s="311" t="s">
        <v>29</v>
      </c>
      <c r="E130" s="17"/>
      <c r="F130" s="17"/>
      <c r="G130" s="17"/>
      <c r="H130" s="82"/>
      <c r="I130" s="82"/>
      <c r="J130" s="82"/>
      <c r="K130" s="83"/>
      <c r="L130" s="82"/>
      <c r="M130" s="84"/>
      <c r="N130" s="340"/>
      <c r="O130" s="155" t="s">
        <v>92</v>
      </c>
      <c r="P130" s="156"/>
      <c r="Q130" s="154"/>
      <c r="R130" s="153"/>
      <c r="S130" s="153"/>
    </row>
    <row r="131" spans="1:26" x14ac:dyDescent="0.25">
      <c r="A131" s="339"/>
      <c r="B131" s="54">
        <v>0</v>
      </c>
      <c r="C131" s="284" t="e">
        <f>SQRT(D129^2+B131^2-2*D129*B131*COS(RADIANS(B138)))</f>
        <v>#DIV/0!</v>
      </c>
      <c r="D131" s="309">
        <f>D129</f>
        <v>0</v>
      </c>
      <c r="E131" s="310" t="e">
        <f>(D131+B131+C131)/2</f>
        <v>#DIV/0!</v>
      </c>
      <c r="F131" s="17"/>
      <c r="G131" s="108"/>
      <c r="H131" s="82"/>
      <c r="I131" s="82"/>
      <c r="J131" s="82"/>
      <c r="K131" s="83"/>
      <c r="L131" s="82"/>
      <c r="M131" s="84"/>
      <c r="N131" s="340" t="e">
        <f>SQRT(s*(s-D131)*(s-B131)*(s-C131))</f>
        <v>#DIV/0!</v>
      </c>
      <c r="O131" s="4"/>
      <c r="P131" s="52"/>
      <c r="Q131" s="144"/>
    </row>
    <row r="132" spans="1:26" s="7" customFormat="1" x14ac:dyDescent="0.25">
      <c r="A132" s="342"/>
      <c r="B132" s="56"/>
      <c r="C132" s="282" t="s">
        <v>97</v>
      </c>
      <c r="D132" s="312" t="s">
        <v>32</v>
      </c>
      <c r="E132" s="87"/>
      <c r="F132" s="87"/>
      <c r="G132" s="87"/>
      <c r="H132" s="23"/>
      <c r="I132" s="23"/>
      <c r="J132" s="88"/>
      <c r="K132" s="88"/>
      <c r="L132" s="89"/>
      <c r="M132" s="90"/>
      <c r="N132" s="301"/>
      <c r="O132" s="4"/>
      <c r="P132" s="52"/>
      <c r="Q132" s="143"/>
      <c r="R132" s="2"/>
      <c r="T132" s="2"/>
      <c r="U132" s="2"/>
      <c r="V132" s="2"/>
    </row>
    <row r="133" spans="1:26" s="7" customFormat="1" x14ac:dyDescent="0.25">
      <c r="A133" s="342"/>
      <c r="B133" s="56"/>
      <c r="C133" s="313">
        <f>C129+COS(RADIANS(B127))*B131</f>
        <v>0</v>
      </c>
      <c r="D133" s="47" t="e">
        <f>SQRT(B131^2+C129^2-2*B131*C129*COS(RADIANS(D138)))</f>
        <v>#DIV/0!</v>
      </c>
      <c r="E133" s="87"/>
      <c r="F133" s="87"/>
      <c r="G133" s="87"/>
      <c r="H133" s="23"/>
      <c r="I133" s="23"/>
      <c r="J133" s="88"/>
      <c r="K133" s="88"/>
      <c r="L133" s="89"/>
      <c r="M133" s="90"/>
      <c r="N133" s="301"/>
      <c r="O133" s="4"/>
      <c r="P133" s="3"/>
    </row>
    <row r="134" spans="1:26" x14ac:dyDescent="0.25">
      <c r="A134" s="339" t="s">
        <v>31</v>
      </c>
      <c r="B134" s="101">
        <v>0.05</v>
      </c>
      <c r="C134" s="102">
        <f>B129*B134*100</f>
        <v>0</v>
      </c>
      <c r="D134" s="34" t="s">
        <v>48</v>
      </c>
      <c r="E134" s="17"/>
      <c r="F134" s="17"/>
      <c r="G134" s="17"/>
      <c r="H134" s="83"/>
      <c r="I134" s="83"/>
      <c r="J134" s="82"/>
      <c r="K134" s="83"/>
      <c r="L134" s="82"/>
      <c r="M134" s="84"/>
      <c r="N134" s="340">
        <f>C134*B129*0.65/100</f>
        <v>0</v>
      </c>
      <c r="O134" s="4"/>
      <c r="P134" s="52"/>
      <c r="Q134" s="143"/>
      <c r="R134" s="143"/>
      <c r="S134" s="145"/>
    </row>
    <row r="135" spans="1:26" s="7" customFormat="1" ht="26.4" x14ac:dyDescent="0.25">
      <c r="A135" s="343" t="s">
        <v>37</v>
      </c>
      <c r="B135" s="100">
        <v>-0.02</v>
      </c>
      <c r="C135" s="281" t="e">
        <f>C131*B135*100</f>
        <v>#DIV/0!</v>
      </c>
      <c r="D135" s="280" t="s">
        <v>48</v>
      </c>
      <c r="E135" s="344"/>
      <c r="F135" s="344"/>
      <c r="G135" s="344"/>
      <c r="H135" s="345"/>
      <c r="I135" s="345"/>
      <c r="J135" s="346"/>
      <c r="K135" s="346"/>
      <c r="L135" s="345"/>
      <c r="M135" s="347"/>
      <c r="N135" s="348" t="e">
        <f>C135*C131*0.65/100</f>
        <v>#DIV/0!</v>
      </c>
      <c r="O135" s="4"/>
      <c r="P135" s="3"/>
    </row>
    <row r="136" spans="1:26" ht="16.2" thickBot="1" x14ac:dyDescent="0.35">
      <c r="A136" s="57" t="s">
        <v>49</v>
      </c>
      <c r="B136" s="58" t="e">
        <f>F136+H136</f>
        <v>#DIV/0!</v>
      </c>
      <c r="C136" s="327"/>
      <c r="D136" s="72" t="str">
        <f>A122</f>
        <v>Mesan</v>
      </c>
      <c r="E136" s="328" t="s">
        <v>33</v>
      </c>
      <c r="F136" s="329" t="e">
        <f>DEGREES(ACOS((D129^2+C131^2-B131^2)/(2*D129*C131)))</f>
        <v>#DIV/0!</v>
      </c>
      <c r="G136" s="328" t="s">
        <v>34</v>
      </c>
      <c r="H136" s="329" t="e">
        <f>DEGREES(ACOS((B129^2+D129^2-C129^2)/(2*B129*D129)))</f>
        <v>#DIV/0!</v>
      </c>
      <c r="I136" s="328" t="s">
        <v>25</v>
      </c>
      <c r="J136" s="329" t="e">
        <f>180-B126-H136</f>
        <v>#DIV/0!</v>
      </c>
      <c r="K136" s="328"/>
      <c r="L136" s="329"/>
      <c r="M136" s="330"/>
      <c r="N136" s="116" t="e">
        <f>SUM(N129:N135)</f>
        <v>#DIV/0!</v>
      </c>
      <c r="O136" s="384">
        <v>0</v>
      </c>
      <c r="P136" s="385" t="s">
        <v>80</v>
      </c>
      <c r="Q136" s="7"/>
      <c r="R136" s="7"/>
      <c r="Y136" s="7"/>
      <c r="Z136" s="127"/>
    </row>
    <row r="137" spans="1:26" ht="14.4" thickTop="1" thickBot="1" x14ac:dyDescent="0.3">
      <c r="A137" s="57" t="s">
        <v>50</v>
      </c>
      <c r="B137" s="58" t="e">
        <f>B136-(90-B126)</f>
        <v>#DIV/0!</v>
      </c>
      <c r="C137" s="57" t="s">
        <v>26</v>
      </c>
      <c r="D137" s="58" t="e">
        <f>DEGREES(ACOS((C131^2+B131^2-D129^2)/(2*C131*B131)))</f>
        <v>#DIV/0!</v>
      </c>
      <c r="E137" s="60"/>
      <c r="F137" s="59" t="e">
        <f>DEGREES(ACOS((D129^2+C131^2-B131^2)/(2*D129*C131)))</f>
        <v>#DIV/0!</v>
      </c>
      <c r="G137" s="63"/>
      <c r="H137" s="59" t="e">
        <f>DEGREES(ACOS((B129^2+D129^2-C129^2)/(2*B129*D129)))</f>
        <v>#DIV/0!</v>
      </c>
      <c r="I137" s="60" t="s">
        <v>74</v>
      </c>
      <c r="J137" s="59" t="e">
        <f>B136+B126+D138+D137</f>
        <v>#DIV/0!</v>
      </c>
      <c r="K137" s="60"/>
      <c r="L137" s="58"/>
      <c r="M137" s="61"/>
      <c r="N137" s="182"/>
      <c r="O137" s="42"/>
      <c r="P137" s="42"/>
      <c r="Q137" s="62"/>
      <c r="Y137" s="7"/>
      <c r="Z137" s="127"/>
    </row>
    <row r="138" spans="1:26" ht="13.8" thickTop="1" x14ac:dyDescent="0.25">
      <c r="A138" s="57" t="s">
        <v>36</v>
      </c>
      <c r="B138" s="58" t="e">
        <f>180-B127-J136</f>
        <v>#DIV/0!</v>
      </c>
      <c r="C138" s="57" t="s">
        <v>27</v>
      </c>
      <c r="D138" s="58" t="e">
        <f>J136+B138</f>
        <v>#DIV/0!</v>
      </c>
      <c r="E138" s="63"/>
      <c r="F138" s="349" t="e">
        <f>DEGREES(ASIN(2*N131/C131/D129))</f>
        <v>#DIV/0!</v>
      </c>
      <c r="G138" s="61"/>
      <c r="H138" s="349" t="e">
        <f>(180-DEGREES(ASIN(2*N131/D129/C129))-B126)</f>
        <v>#DIV/0!</v>
      </c>
      <c r="I138" s="63"/>
      <c r="J138" s="63"/>
      <c r="K138" s="63"/>
      <c r="L138" s="63"/>
      <c r="M138" s="63"/>
      <c r="N138" s="117"/>
      <c r="O138" s="2"/>
      <c r="P138" s="2"/>
      <c r="Q138" s="64"/>
    </row>
    <row r="139" spans="1:26" s="65" customFormat="1" x14ac:dyDescent="0.25">
      <c r="A139" s="222" t="s">
        <v>70</v>
      </c>
      <c r="B139" s="399" t="e">
        <f>C131/5</f>
        <v>#DIV/0!</v>
      </c>
      <c r="C139" s="32" t="e">
        <f>ROUND(B139,1)</f>
        <v>#DIV/0!</v>
      </c>
      <c r="D139" s="358" t="e">
        <f>E139</f>
        <v>#DIV/0!</v>
      </c>
      <c r="E139" s="359" t="e">
        <f>0.5*(B129+F139)*G139</f>
        <v>#DIV/0!</v>
      </c>
      <c r="F139" s="360" t="e">
        <f>SQRT(AD^2+AC^2-2*AD*AC*K139)</f>
        <v>#DIV/0!</v>
      </c>
      <c r="G139" s="361" t="e">
        <f>C139</f>
        <v>#DIV/0!</v>
      </c>
      <c r="H139" s="362" t="e">
        <f>C131-G139</f>
        <v>#DIV/0!</v>
      </c>
      <c r="I139" s="362" t="e">
        <f>C129-G139</f>
        <v>#DIV/0!</v>
      </c>
      <c r="J139" s="362" t="e">
        <f>SQRT((B131)^2+(C129-G139)^2-2*B131*(C129-G139)*COS(RADIANS(180-B127)))</f>
        <v>#DIV/0!</v>
      </c>
      <c r="K139" s="363" t="e">
        <f>COS(RADIANS(M139))</f>
        <v>#DIV/0!</v>
      </c>
      <c r="L139" s="364" t="e">
        <f>BC*SIN(RADIANS(180-B127))/AC</f>
        <v>#DIV/0!</v>
      </c>
      <c r="M139" s="363" t="e">
        <f>D137-DEGREES(ASIN(L139))</f>
        <v>#DIV/0!</v>
      </c>
      <c r="N139" s="365" t="e">
        <f>N136-E139</f>
        <v>#DIV/0!</v>
      </c>
      <c r="O139" s="125"/>
      <c r="P139" s="146"/>
      <c r="Q139" s="66"/>
    </row>
    <row r="140" spans="1:26" s="65" customFormat="1" x14ac:dyDescent="0.25">
      <c r="A140" s="77" t="s">
        <v>43</v>
      </c>
      <c r="B140" s="78" t="e">
        <f>C131/7</f>
        <v>#DIV/0!</v>
      </c>
      <c r="C140" s="32" t="e">
        <f>ROUND(B140,1)</f>
        <v>#DIV/0!</v>
      </c>
      <c r="D140" s="350" t="e">
        <f>E140-E139</f>
        <v>#DIV/0!</v>
      </c>
      <c r="E140" s="351" t="e">
        <f>0.5*(B129+F140)*G140</f>
        <v>#DIV/0!</v>
      </c>
      <c r="F140" s="352" t="e">
        <f>SQRT(AD^2+AC^2-2*AD*AC*K140)</f>
        <v>#DIV/0!</v>
      </c>
      <c r="G140" s="353" t="e">
        <f>SUM(C139:C140)</f>
        <v>#DIV/0!</v>
      </c>
      <c r="H140" s="354" t="e">
        <f>C131-G140</f>
        <v>#DIV/0!</v>
      </c>
      <c r="I140" s="354" t="e">
        <f>C129-G140*0.98</f>
        <v>#DIV/0!</v>
      </c>
      <c r="J140" s="354" t="e">
        <f>SQRT((B131)^2+(C129-G140)^2-2*B131*(C129-G140)*COS(RADIANS(180-B127)))</f>
        <v>#DIV/0!</v>
      </c>
      <c r="K140" s="355" t="e">
        <f>COS(RADIANS(M140))</f>
        <v>#DIV/0!</v>
      </c>
      <c r="L140" s="356" t="e">
        <f>BC*SIN(RADIANS(180-B127))/AC</f>
        <v>#DIV/0!</v>
      </c>
      <c r="M140" s="355" t="e">
        <f>D137-DEGREES(ASIN(L140))</f>
        <v>#DIV/0!</v>
      </c>
      <c r="N140" s="367" t="e">
        <f>N136-E140</f>
        <v>#DIV/0!</v>
      </c>
      <c r="O140" s="125"/>
      <c r="P140" s="146"/>
      <c r="Q140" s="66"/>
    </row>
    <row r="141" spans="1:26" s="65" customFormat="1" x14ac:dyDescent="0.25">
      <c r="A141" s="222"/>
      <c r="B141" s="389" t="s">
        <v>90</v>
      </c>
      <c r="C141" s="67" t="e">
        <f>C140</f>
        <v>#DIV/0!</v>
      </c>
      <c r="D141" s="370" t="e">
        <f>E141-E140</f>
        <v>#DIV/0!</v>
      </c>
      <c r="E141" s="371" t="e">
        <f>0.5*(B129+F141)*G141</f>
        <v>#DIV/0!</v>
      </c>
      <c r="F141" s="372" t="e">
        <f>SQRT(AD^2+AC^2-2*AD*AC*K141)</f>
        <v>#DIV/0!</v>
      </c>
      <c r="G141" s="373" t="e">
        <f>SUM(C139:C141)</f>
        <v>#DIV/0!</v>
      </c>
      <c r="H141" s="374" t="e">
        <f>C131-G141</f>
        <v>#DIV/0!</v>
      </c>
      <c r="I141" s="374" t="e">
        <f>C129-G141*0.98</f>
        <v>#DIV/0!</v>
      </c>
      <c r="J141" s="374" t="e">
        <f>SQRT((B131)^2+(C129-G141)^2-2*B131*(C129-G141)*COS(RADIANS(180-B127)))</f>
        <v>#DIV/0!</v>
      </c>
      <c r="K141" s="375" t="e">
        <f>COS(RADIANS(M141))</f>
        <v>#DIV/0!</v>
      </c>
      <c r="L141" s="376" t="e">
        <f>BC*SIN(RADIANS(180-B127))/AC</f>
        <v>#DIV/0!</v>
      </c>
      <c r="M141" s="375" t="e">
        <f>D137-DEGREES(ASIN(L141))</f>
        <v>#DIV/0!</v>
      </c>
      <c r="N141" s="377" t="e">
        <f>N136-E141</f>
        <v>#DIV/0!</v>
      </c>
      <c r="O141" s="125"/>
      <c r="P141" s="146"/>
      <c r="Q141" s="66"/>
    </row>
    <row r="142" spans="1:26" ht="17.399999999999999" x14ac:dyDescent="0.3">
      <c r="A142" s="247" t="s">
        <v>64</v>
      </c>
      <c r="B142" s="15" t="s">
        <v>38</v>
      </c>
      <c r="C142" s="15" t="s">
        <v>1</v>
      </c>
      <c r="D142" s="15" t="s">
        <v>2</v>
      </c>
      <c r="E142" s="13" t="s">
        <v>0</v>
      </c>
      <c r="F142" s="13"/>
      <c r="G142" s="13"/>
      <c r="H142" s="243"/>
      <c r="I142" s="243"/>
      <c r="J142" s="244"/>
      <c r="K142" s="245"/>
      <c r="L142" s="245"/>
      <c r="M142" s="246"/>
      <c r="N142" s="114" t="s">
        <v>10</v>
      </c>
      <c r="O142" s="85"/>
      <c r="P142" s="36"/>
      <c r="Q142" s="36"/>
      <c r="T142" s="126"/>
      <c r="U142" s="126"/>
      <c r="V142" s="126"/>
      <c r="W142" s="126"/>
      <c r="X142" s="126"/>
    </row>
    <row r="143" spans="1:26" s="7" customFormat="1" ht="17.399999999999999" x14ac:dyDescent="0.25">
      <c r="A143" s="211" t="s">
        <v>65</v>
      </c>
      <c r="B143" s="10">
        <v>0</v>
      </c>
      <c r="C143" s="10">
        <v>0</v>
      </c>
      <c r="D143" s="10">
        <v>0</v>
      </c>
      <c r="E143" s="87">
        <f>(B143+C143+D143)/2</f>
        <v>0</v>
      </c>
      <c r="F143" s="87"/>
      <c r="G143" s="87"/>
      <c r="H143" s="23"/>
      <c r="I143" s="23"/>
      <c r="J143" s="88"/>
      <c r="K143" s="88"/>
      <c r="L143" s="89"/>
      <c r="M143" s="90"/>
      <c r="N143" s="112">
        <f>SQRT(E143*(E143-B143)*(E143-C143)*(E143-D143))</f>
        <v>0</v>
      </c>
      <c r="O143" s="4"/>
      <c r="P143" s="3"/>
    </row>
    <row r="144" spans="1:26" s="292" customFormat="1" x14ac:dyDescent="0.25">
      <c r="A144" s="209" t="s">
        <v>6</v>
      </c>
      <c r="B144" s="386" t="e">
        <f>DEGREES(ASIN(2*$N143/B143/C143))</f>
        <v>#DIV/0!</v>
      </c>
      <c r="C144" s="382" t="e">
        <f>180-B144-D144</f>
        <v>#DIV/0!</v>
      </c>
      <c r="D144" s="293" t="e">
        <f>DEGREES(ASIN(2*$N143/D143/B143))</f>
        <v>#DIV/0!</v>
      </c>
      <c r="E144" s="294" t="e">
        <f>(B144+C144+D144)/2</f>
        <v>#DIV/0!</v>
      </c>
      <c r="F144" s="294"/>
      <c r="G144" s="294"/>
      <c r="H144" s="295"/>
      <c r="I144" s="295"/>
      <c r="J144" s="296"/>
      <c r="K144" s="296"/>
      <c r="L144" s="297"/>
      <c r="M144" s="298"/>
      <c r="N144" s="299"/>
      <c r="O144" s="4"/>
      <c r="P144" s="3"/>
    </row>
    <row r="145" spans="1:24" s="7" customFormat="1" x14ac:dyDescent="0.25">
      <c r="A145" s="69" t="s">
        <v>9</v>
      </c>
      <c r="B145" s="163">
        <v>-0.02</v>
      </c>
      <c r="C145" s="69" t="s">
        <v>7</v>
      </c>
      <c r="D145" s="164">
        <f>B145*C143*100</f>
        <v>0</v>
      </c>
      <c r="E145" s="87"/>
      <c r="F145" s="87"/>
      <c r="G145" s="87"/>
      <c r="H145" s="23"/>
      <c r="I145" s="23"/>
      <c r="J145" s="88"/>
      <c r="K145" s="88"/>
      <c r="L145" s="89"/>
      <c r="M145" s="90"/>
      <c r="N145" s="112">
        <f>(C143^2*B145*0.65)</f>
        <v>0</v>
      </c>
      <c r="O145" s="4"/>
      <c r="P145" s="3"/>
    </row>
    <row r="146" spans="1:24" s="7" customFormat="1" x14ac:dyDescent="0.25">
      <c r="A146" s="69" t="s">
        <v>88</v>
      </c>
      <c r="B146" s="163">
        <v>-0.02</v>
      </c>
      <c r="C146" s="69" t="s">
        <v>7</v>
      </c>
      <c r="D146" s="164">
        <f>B146*D143*100</f>
        <v>0</v>
      </c>
      <c r="E146" s="87"/>
      <c r="F146" s="87"/>
      <c r="G146" s="87"/>
      <c r="H146" s="23"/>
      <c r="I146" s="23"/>
      <c r="J146" s="88"/>
      <c r="K146" s="88"/>
      <c r="L146" s="89"/>
      <c r="M146" s="90"/>
      <c r="N146" s="112">
        <f>(D143^2*B146*0.65)</f>
        <v>0</v>
      </c>
      <c r="O146" s="4"/>
      <c r="P146" s="3"/>
    </row>
    <row r="147" spans="1:24" s="7" customFormat="1" x14ac:dyDescent="0.25">
      <c r="A147" s="124" t="s">
        <v>60</v>
      </c>
      <c r="B147" s="163">
        <v>0.03</v>
      </c>
      <c r="C147" s="69" t="s">
        <v>7</v>
      </c>
      <c r="D147" s="164">
        <f>B147*B143*100</f>
        <v>0</v>
      </c>
      <c r="E147" s="87"/>
      <c r="F147" s="87"/>
      <c r="G147" s="87"/>
      <c r="H147" s="23"/>
      <c r="I147" s="23"/>
      <c r="J147" s="88"/>
      <c r="K147" s="88"/>
      <c r="L147" s="89"/>
      <c r="M147" s="90"/>
      <c r="N147" s="112">
        <f>(B143^2*B147*0.65)</f>
        <v>0</v>
      </c>
      <c r="O147" s="4"/>
      <c r="P147" s="3"/>
    </row>
    <row r="148" spans="1:24" s="7" customFormat="1" x14ac:dyDescent="0.25">
      <c r="A148" s="209" t="s">
        <v>6</v>
      </c>
      <c r="B148" s="104" t="e">
        <f>DEGREES(ASIN(2*$N143/B143/C143))</f>
        <v>#DIV/0!</v>
      </c>
      <c r="C148" s="81" t="e">
        <f>180-B148-D148</f>
        <v>#DIV/0!</v>
      </c>
      <c r="D148" s="105" t="e">
        <f>DEGREES(ASIN(2*$N143/D143/B143))</f>
        <v>#DIV/0!</v>
      </c>
      <c r="E148" s="87" t="e">
        <f>(B148+C148+D148)/2</f>
        <v>#DIV/0!</v>
      </c>
      <c r="F148" s="87"/>
      <c r="G148" s="87"/>
      <c r="H148" s="23"/>
      <c r="I148" s="23"/>
      <c r="J148" s="88"/>
      <c r="K148" s="88"/>
      <c r="L148" s="89"/>
      <c r="M148" s="90"/>
      <c r="N148" s="212"/>
      <c r="O148" s="4"/>
      <c r="P148" s="3"/>
    </row>
    <row r="149" spans="1:24" s="7" customFormat="1" ht="14.4" thickBot="1" x14ac:dyDescent="0.3">
      <c r="A149" s="200" t="s">
        <v>11</v>
      </c>
      <c r="B149" s="74" t="e">
        <f>N143/B143*2</f>
        <v>#DIV/0!</v>
      </c>
      <c r="C149" s="96"/>
      <c r="D149" s="165" t="str">
        <f>A143</f>
        <v>Mesan toppseil m stang</v>
      </c>
      <c r="E149" s="20"/>
      <c r="F149" s="20"/>
      <c r="G149" s="20"/>
      <c r="H149" s="23"/>
      <c r="I149" s="23"/>
      <c r="J149" s="88"/>
      <c r="K149" s="89"/>
      <c r="L149" s="89"/>
      <c r="M149" s="90"/>
      <c r="N149" s="213">
        <f>SUM(N143:N147)</f>
        <v>0</v>
      </c>
      <c r="O149" s="384">
        <v>0</v>
      </c>
      <c r="P149" s="385" t="s">
        <v>80</v>
      </c>
    </row>
    <row r="150" spans="1:24" s="75" customFormat="1" ht="12.6" thickTop="1" x14ac:dyDescent="0.25">
      <c r="A150" s="214" t="s">
        <v>61</v>
      </c>
      <c r="B150" s="171" t="s">
        <v>13</v>
      </c>
      <c r="C150" s="390">
        <f>B143+C143*7/100</f>
        <v>0</v>
      </c>
      <c r="E150" s="173"/>
      <c r="F150" s="173"/>
      <c r="G150" s="173"/>
      <c r="H150" s="169"/>
      <c r="I150" s="169"/>
      <c r="J150" s="201"/>
      <c r="K150" s="201"/>
      <c r="L150" s="202"/>
      <c r="M150" s="215"/>
      <c r="O150" s="174"/>
      <c r="P150" s="55"/>
    </row>
    <row r="151" spans="1:24" s="75" customFormat="1" ht="11.4" x14ac:dyDescent="0.2">
      <c r="A151" s="76"/>
      <c r="B151" s="175" t="s">
        <v>62</v>
      </c>
      <c r="C151" s="179">
        <f>B143-C150+(C150*4/100)</f>
        <v>0</v>
      </c>
      <c r="D151" s="175"/>
      <c r="E151" s="176"/>
      <c r="F151" s="176"/>
      <c r="G151" s="176"/>
      <c r="H151" s="170"/>
      <c r="I151" s="170"/>
      <c r="J151" s="216"/>
      <c r="K151" s="216"/>
      <c r="L151" s="217"/>
      <c r="M151" s="131"/>
      <c r="N151" s="218"/>
      <c r="O151" s="174"/>
      <c r="P151" s="55"/>
    </row>
    <row r="152" spans="1:24" s="75" customFormat="1" ht="11.4" x14ac:dyDescent="0.2">
      <c r="A152" s="219"/>
      <c r="B152" s="71" t="s">
        <v>68</v>
      </c>
      <c r="C152" s="70">
        <v>0</v>
      </c>
      <c r="D152" s="177"/>
      <c r="E152" s="178"/>
      <c r="F152" s="178"/>
      <c r="G152" s="178"/>
      <c r="H152" s="170"/>
      <c r="I152" s="170"/>
      <c r="J152" s="216"/>
      <c r="K152" s="216"/>
      <c r="L152" s="217"/>
      <c r="M152" s="131"/>
      <c r="N152" s="177"/>
      <c r="O152" s="174"/>
      <c r="P152" s="55"/>
    </row>
    <row r="153" spans="1:24" ht="17.399999999999999" x14ac:dyDescent="0.3">
      <c r="A153" s="304"/>
      <c r="B153" s="68" t="s">
        <v>38</v>
      </c>
      <c r="C153" s="68" t="s">
        <v>1</v>
      </c>
      <c r="D153" s="68" t="s">
        <v>2</v>
      </c>
      <c r="E153" s="286" t="s">
        <v>0</v>
      </c>
      <c r="F153" s="286"/>
      <c r="G153" s="286"/>
      <c r="H153" s="287"/>
      <c r="I153" s="287"/>
      <c r="J153" s="288"/>
      <c r="K153" s="289"/>
      <c r="L153" s="289"/>
      <c r="M153" s="290"/>
      <c r="N153" s="302" t="s">
        <v>10</v>
      </c>
      <c r="O153" s="85"/>
      <c r="P153" s="36"/>
      <c r="Q153" s="36"/>
      <c r="T153" s="126"/>
      <c r="U153" s="126"/>
      <c r="V153" s="126"/>
      <c r="W153" s="126"/>
      <c r="X153" s="126"/>
    </row>
    <row r="154" spans="1:24" s="7" customFormat="1" ht="17.399999999999999" x14ac:dyDescent="0.25">
      <c r="A154" s="211" t="s">
        <v>66</v>
      </c>
      <c r="B154" s="10">
        <v>0</v>
      </c>
      <c r="C154" s="10">
        <v>0</v>
      </c>
      <c r="D154" s="10">
        <v>0</v>
      </c>
      <c r="E154" s="87">
        <f>(B154+C154+D154)/2</f>
        <v>0</v>
      </c>
      <c r="F154" s="87"/>
      <c r="G154" s="87"/>
      <c r="H154" s="23"/>
      <c r="I154" s="23"/>
      <c r="J154" s="88"/>
      <c r="K154" s="88"/>
      <c r="L154" s="89"/>
      <c r="M154" s="90"/>
      <c r="N154" s="112">
        <f>SQRT(E154*(E154-B154)*(E154-C154)*(E154-D154))</f>
        <v>0</v>
      </c>
      <c r="O154" s="4"/>
      <c r="P154" s="3"/>
    </row>
    <row r="155" spans="1:24" s="292" customFormat="1" x14ac:dyDescent="0.25">
      <c r="A155" s="209" t="s">
        <v>6</v>
      </c>
      <c r="B155" s="386" t="e">
        <f>DEGREES(ASIN(2*$N154/B154/C154))</f>
        <v>#DIV/0!</v>
      </c>
      <c r="C155" s="382" t="e">
        <f>180-B155-D155</f>
        <v>#DIV/0!</v>
      </c>
      <c r="D155" s="293" t="e">
        <f>DEGREES(ASIN(2*$N154/D154/B154))</f>
        <v>#DIV/0!</v>
      </c>
      <c r="E155" s="294" t="e">
        <f>(B155+C155+D155)/2</f>
        <v>#DIV/0!</v>
      </c>
      <c r="F155" s="294"/>
      <c r="G155" s="294"/>
      <c r="H155" s="295"/>
      <c r="I155" s="295"/>
      <c r="J155" s="296"/>
      <c r="K155" s="296"/>
      <c r="L155" s="297"/>
      <c r="M155" s="298"/>
      <c r="N155" s="299"/>
      <c r="O155" s="4"/>
      <c r="P155" s="3"/>
    </row>
    <row r="156" spans="1:24" s="7" customFormat="1" x14ac:dyDescent="0.25">
      <c r="A156" s="69" t="s">
        <v>9</v>
      </c>
      <c r="B156" s="163">
        <v>-0.02</v>
      </c>
      <c r="C156" s="69" t="s">
        <v>7</v>
      </c>
      <c r="D156" s="164">
        <f>B156*C154*100</f>
        <v>0</v>
      </c>
      <c r="E156" s="87"/>
      <c r="F156" s="87"/>
      <c r="G156" s="87"/>
      <c r="H156" s="23"/>
      <c r="I156" s="23"/>
      <c r="J156" s="88"/>
      <c r="K156" s="88"/>
      <c r="L156" s="89"/>
      <c r="M156" s="90"/>
      <c r="N156" s="112">
        <f>(C154^2*B156*0.65)</f>
        <v>0</v>
      </c>
      <c r="O156" s="4"/>
      <c r="P156" s="3"/>
    </row>
    <row r="157" spans="1:24" s="7" customFormat="1" x14ac:dyDescent="0.25">
      <c r="A157" s="69" t="s">
        <v>88</v>
      </c>
      <c r="B157" s="163">
        <v>-0.02</v>
      </c>
      <c r="C157" s="69" t="s">
        <v>7</v>
      </c>
      <c r="D157" s="164">
        <f>B157*D154*100</f>
        <v>0</v>
      </c>
      <c r="E157" s="87"/>
      <c r="F157" s="87"/>
      <c r="G157" s="87"/>
      <c r="H157" s="23"/>
      <c r="I157" s="23"/>
      <c r="J157" s="88"/>
      <c r="K157" s="88"/>
      <c r="L157" s="89"/>
      <c r="M157" s="90"/>
      <c r="N157" s="112">
        <f>(D154^2*B157*0.65)</f>
        <v>0</v>
      </c>
      <c r="O157" s="4"/>
      <c r="P157" s="3"/>
    </row>
    <row r="158" spans="1:24" s="7" customFormat="1" x14ac:dyDescent="0.25">
      <c r="A158" s="209" t="s">
        <v>89</v>
      </c>
      <c r="B158" s="163">
        <v>0.01</v>
      </c>
      <c r="C158" s="69" t="s">
        <v>7</v>
      </c>
      <c r="D158" s="164">
        <f>B158*B154*100</f>
        <v>0</v>
      </c>
      <c r="E158" s="87"/>
      <c r="F158" s="87"/>
      <c r="G158" s="87"/>
      <c r="H158" s="23"/>
      <c r="I158" s="23"/>
      <c r="J158" s="88"/>
      <c r="K158" s="88"/>
      <c r="L158" s="89"/>
      <c r="M158" s="90"/>
      <c r="N158" s="112">
        <f>(B154^2*B158*0.4)</f>
        <v>0</v>
      </c>
      <c r="O158" s="4"/>
      <c r="P158" s="3"/>
    </row>
    <row r="159" spans="1:24" s="7" customFormat="1" ht="14.4" thickBot="1" x14ac:dyDescent="0.3">
      <c r="A159" s="200" t="s">
        <v>11</v>
      </c>
      <c r="B159" s="74" t="e">
        <f>N154/B154*2</f>
        <v>#DIV/0!</v>
      </c>
      <c r="C159" s="220"/>
      <c r="D159" s="165" t="str">
        <f>A154</f>
        <v>Mesan toppseil uten stang</v>
      </c>
      <c r="E159" s="20"/>
      <c r="F159" s="20"/>
      <c r="G159" s="20"/>
      <c r="H159" s="23"/>
      <c r="I159" s="23"/>
      <c r="J159" s="88"/>
      <c r="K159" s="89"/>
      <c r="L159" s="89"/>
      <c r="M159" s="90"/>
      <c r="N159" s="213">
        <f>SUM(N154:N158)</f>
        <v>0</v>
      </c>
      <c r="O159" s="384">
        <v>0</v>
      </c>
      <c r="P159" s="385" t="s">
        <v>80</v>
      </c>
    </row>
    <row r="160" spans="1:24" ht="13.8" thickTop="1" x14ac:dyDescent="0.25">
      <c r="A160" s="33"/>
      <c r="B160" s="180" t="s">
        <v>67</v>
      </c>
      <c r="C160" s="223">
        <v>0</v>
      </c>
      <c r="D160" s="168"/>
      <c r="E160" s="166"/>
      <c r="F160" s="166"/>
      <c r="G160" s="166"/>
      <c r="H160" s="167"/>
      <c r="I160" s="167"/>
      <c r="N160" s="221"/>
      <c r="O160" s="4"/>
      <c r="P160" s="3"/>
    </row>
  </sheetData>
  <mergeCells count="6">
    <mergeCell ref="C127:D127"/>
    <mergeCell ref="C77:D77"/>
    <mergeCell ref="C78:D78"/>
    <mergeCell ref="C56:D56"/>
    <mergeCell ref="C57:D57"/>
    <mergeCell ref="C126:D126"/>
  </mergeCells>
  <phoneticPr fontId="4" type="noConversion"/>
  <printOptions horizontalCentered="1"/>
  <pageMargins left="0.39370078740157483" right="0.31496062992125984" top="0.47244094488188981" bottom="0.59055118110236227" header="0.23622047244094491" footer="0.27559055118110237"/>
  <pageSetup paperSize="9" orientation="portrait" horizontalDpi="300" verticalDpi="300" r:id="rId1"/>
  <headerFooter alignWithMargins="0">
    <oddHeader>&amp;C&amp;F</oddHeader>
    <oddFooter>&amp;C&amp;"Times New Roman,Normal"Jeppe Jul Nielsen  - Side &amp;P av &amp;N - &amp;8&amp;F - &amp;D</oddFooter>
  </headerFooter>
  <rowBreaks count="3" manualBreakCount="3">
    <brk id="50" max="16383" man="1"/>
    <brk id="92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9</vt:i4>
      </vt:variant>
    </vt:vector>
  </HeadingPairs>
  <TitlesOfParts>
    <vt:vector size="10" baseType="lpstr">
      <vt:lpstr>Gaffelrigg</vt:lpstr>
      <vt:lpstr>AC</vt:lpstr>
      <vt:lpstr>AD</vt:lpstr>
      <vt:lpstr>BC</vt:lpstr>
      <vt:lpstr>Bredde</vt:lpstr>
      <vt:lpstr>Depl</vt:lpstr>
      <vt:lpstr>Loa</vt:lpstr>
      <vt:lpstr>Lwl</vt:lpstr>
      <vt:lpstr>s</vt:lpstr>
      <vt:lpstr>Gaffelrigg!Utskriftsområde</vt:lpstr>
    </vt:vector>
  </TitlesOfParts>
  <Company>Jul-Nielsen Trebåtservice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Seilareal beregninger</dc:title>
  <dc:creator>Jeppe Jul Nielsen</dc:creator>
  <cp:lastModifiedBy>Jeppe Jul Nielsen</cp:lastModifiedBy>
  <cp:lastPrinted>2023-05-01T21:30:08Z</cp:lastPrinted>
  <dcterms:created xsi:type="dcterms:W3CDTF">1997-01-16T18:32:43Z</dcterms:created>
  <dcterms:modified xsi:type="dcterms:W3CDTF">2023-05-03T21:45:32Z</dcterms:modified>
</cp:coreProperties>
</file>