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 C\Måltall\TBF måltall 2024\"/>
    </mc:Choice>
  </mc:AlternateContent>
  <xr:revisionPtr revIDLastSave="0" documentId="8_{09A19652-FDD5-4F2E-8E30-AC7C106D5BA9}" xr6:coauthVersionLast="47" xr6:coauthVersionMax="47" xr10:uidLastSave="{00000000-0000-0000-0000-000000000000}"/>
  <bookViews>
    <workbookView xWindow="-108" yWindow="-108" windowWidth="30936" windowHeight="16896" xr2:uid="{32775C3E-6897-4764-80C8-B72C358F73A2}"/>
  </bookViews>
  <sheets>
    <sheet name="Database" sheetId="1" r:id="rId1"/>
    <sheet name="Påmelding Gaffel" sheetId="4" r:id="rId2"/>
    <sheet name="Speaker Skøyter" sheetId="8" r:id="rId3"/>
    <sheet name="Påm Bermuda" sheetId="5" r:id="rId4"/>
    <sheet name="Speaker Bm" sheetId="7" r:id="rId5"/>
    <sheet name="Skrogform" sheetId="2" r:id="rId6"/>
    <sheet name="Båtdata" sheetId="3" r:id="rId7"/>
    <sheet name="KLR" sheetId="6" r:id="rId8"/>
  </sheets>
  <definedNames>
    <definedName name="Ballast">Database!$AW:$AW</definedName>
    <definedName name="BmStor">Database!$AE:$AE</definedName>
    <definedName name="Bredde">Database!$AR:$AR</definedName>
    <definedName name="Depl">Database!$AU:$AU</definedName>
    <definedName name="DeplRegatta">Database!$BC:$BC</definedName>
    <definedName name="DeplTillegg">Database!$CV$7</definedName>
    <definedName name="Diesel">Database!$BB:$BB</definedName>
    <definedName name="Dyp_F">Database!$DK:$DK</definedName>
    <definedName name="Dypg">Database!$AS:$AS</definedName>
    <definedName name="DypLoa">Database!$DI:$DI</definedName>
    <definedName name="ErfaringsF">Database!$BO:$BO</definedName>
    <definedName name="Kjøl">Database!$AV:$AV</definedName>
    <definedName name="LBf">Database!$CW:$CW</definedName>
    <definedName name="Lf">Database!$CX:$CX</definedName>
    <definedName name="Loa">Database!$AP:$AP</definedName>
    <definedName name="Lwl">Database!$AQ:$AQ</definedName>
    <definedName name="Mast">Database!$AM:$AM</definedName>
    <definedName name="PropF">Database!$BN:$BN</definedName>
    <definedName name="Rigg">Database!$C:$C</definedName>
    <definedName name="RiggF">Database!$CO:$CO</definedName>
    <definedName name="RS1valgt">Database!$H$10</definedName>
    <definedName name="SaDeplf">Database!$CV:$CV</definedName>
    <definedName name="SAf">Database!$CV$4</definedName>
    <definedName name="SApRS1">Database!$L$7</definedName>
    <definedName name="Seil_1">Database!$CN:$CN</definedName>
    <definedName name="Seilareal">Database!$J:$J</definedName>
    <definedName name="SeilBeregnet">Database!$CL:$CL</definedName>
    <definedName name="Skaleringsfaktor">Database!$CU$7</definedName>
    <definedName name="Skrogfaktor">Database!$AO:$AO</definedName>
    <definedName name="StH">Database!$AI:$AI</definedName>
    <definedName name="StHfaktor">Database!$CY:$CY</definedName>
    <definedName name="StorS">Database!$X:$X</definedName>
    <definedName name="Strikkf1">Database!$CU$5</definedName>
    <definedName name="Strikkf2">Database!$CU$6</definedName>
    <definedName name="TBF">Database!$CU:$CU</definedName>
    <definedName name="TBFavrundet">Database!$CT:$CT</definedName>
    <definedName name="_xlnm.Print_Area" localSheetId="0">Database!$A$2:$BC$312</definedName>
    <definedName name="_xlnm.Print_Area" localSheetId="3">'Påm Bermuda'!$A$1:$Q$85</definedName>
    <definedName name="_xlnm.Print_Area" localSheetId="1">'Påmelding Gaffel'!$A$1:$Q$90</definedName>
    <definedName name="_xlnm.Print_Area" localSheetId="4">'Speaker Bm'!$A$1:$Q$48</definedName>
    <definedName name="_xlnm.Print_Titles" localSheetId="0">Database!$8:$8</definedName>
    <definedName name="Vann">Database!$BA:$BA</definedName>
    <definedName name="VektAnnet">Database!$AX:$AX</definedName>
    <definedName name="VektMotor">Database!$AZ:$AZ</definedName>
    <definedName name="Versjon">Database!$A$3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K9" i="1" l="1"/>
  <c r="Y71" i="1"/>
  <c r="Z71" i="1"/>
  <c r="FS75" i="1" l="1"/>
  <c r="FL75" i="1"/>
  <c r="FF75" i="1"/>
  <c r="EC75" i="1"/>
  <c r="EA75" i="1"/>
  <c r="DN75" i="1"/>
  <c r="DB75" i="1"/>
  <c r="CZ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J75" i="1"/>
  <c r="I75" i="1"/>
  <c r="FS38" i="1"/>
  <c r="FL38" i="1"/>
  <c r="FF38" i="1"/>
  <c r="EC38" i="1"/>
  <c r="EA38" i="1"/>
  <c r="DN38" i="1"/>
  <c r="DB38" i="1"/>
  <c r="CZ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J38" i="1"/>
  <c r="CN38" i="1" s="1"/>
  <c r="I38" i="1"/>
  <c r="C38" i="1"/>
  <c r="FS144" i="1"/>
  <c r="FL144" i="1"/>
  <c r="FF144" i="1"/>
  <c r="EC144" i="1"/>
  <c r="EA144" i="1"/>
  <c r="DN144" i="1"/>
  <c r="DC144" i="1"/>
  <c r="DA144" i="1"/>
  <c r="CZ144" i="1" s="1"/>
  <c r="CK144" i="1"/>
  <c r="CJ144" i="1"/>
  <c r="CI144" i="1"/>
  <c r="CH144" i="1"/>
  <c r="CG144" i="1"/>
  <c r="CF144" i="1"/>
  <c r="CE144" i="1"/>
  <c r="CD144" i="1"/>
  <c r="CC144" i="1"/>
  <c r="CB144" i="1"/>
  <c r="CA144" i="1"/>
  <c r="BZ144" i="1"/>
  <c r="BY144" i="1"/>
  <c r="BX144" i="1"/>
  <c r="BW144" i="1"/>
  <c r="BV144" i="1"/>
  <c r="BU144" i="1"/>
  <c r="BT144" i="1"/>
  <c r="BS144" i="1"/>
  <c r="BR144" i="1"/>
  <c r="BM144" i="1"/>
  <c r="BL144" i="1"/>
  <c r="BK144" i="1"/>
  <c r="BN144" i="1" s="1"/>
  <c r="BB144" i="1"/>
  <c r="BA144" i="1"/>
  <c r="AY144" i="1"/>
  <c r="AX144" i="1"/>
  <c r="AW144" i="1"/>
  <c r="AV144" i="1"/>
  <c r="AU144" i="1"/>
  <c r="AT144" i="1"/>
  <c r="AS144" i="1"/>
  <c r="AR144" i="1"/>
  <c r="AQ144" i="1"/>
  <c r="CP144" i="1" s="1"/>
  <c r="AP144" i="1"/>
  <c r="AN144" i="1"/>
  <c r="AO144" i="1" s="1"/>
  <c r="AL144" i="1"/>
  <c r="AJ144" i="1"/>
  <c r="AI144" i="1"/>
  <c r="H144" i="1" s="1"/>
  <c r="I143" i="1" s="1"/>
  <c r="AH144" i="1"/>
  <c r="J144" i="1"/>
  <c r="CN144" i="1" s="1"/>
  <c r="I144" i="1"/>
  <c r="C144" i="1"/>
  <c r="GB143" i="1"/>
  <c r="GA143" i="1"/>
  <c r="FZ143" i="1"/>
  <c r="FS143" i="1"/>
  <c r="FR143" i="1"/>
  <c r="FL143" i="1"/>
  <c r="FK143" i="1"/>
  <c r="FF143" i="1"/>
  <c r="FE143" i="1"/>
  <c r="EY143" i="1"/>
  <c r="ES143" i="1"/>
  <c r="EM143" i="1"/>
  <c r="EH143" i="1"/>
  <c r="EC143" i="1"/>
  <c r="EB143" i="1"/>
  <c r="EA143" i="1"/>
  <c r="DZ143" i="1"/>
  <c r="DX143" i="1"/>
  <c r="DW143" i="1"/>
  <c r="DN143" i="1"/>
  <c r="DM143" i="1"/>
  <c r="DJ143" i="1"/>
  <c r="DK143" i="1" s="1"/>
  <c r="DI143" i="1"/>
  <c r="DB143" i="1"/>
  <c r="CZ143" i="1"/>
  <c r="CY143" i="1"/>
  <c r="CX143" i="1"/>
  <c r="CW143" i="1"/>
  <c r="CV143" i="1"/>
  <c r="CU143" i="1"/>
  <c r="CN143" i="1"/>
  <c r="CB143" i="1"/>
  <c r="BT143" i="1"/>
  <c r="BN143" i="1"/>
  <c r="BE143" i="1"/>
  <c r="BD143" i="1"/>
  <c r="BC143" i="1"/>
  <c r="AZ143" i="1"/>
  <c r="AZ144" i="1" s="1"/>
  <c r="AO143" i="1"/>
  <c r="K143" i="1"/>
  <c r="B143" i="1"/>
  <c r="Y76" i="1" l="1"/>
  <c r="CL75" i="1"/>
  <c r="CL38" i="1"/>
  <c r="CO38" i="1" s="1"/>
  <c r="M38" i="1" s="1"/>
  <c r="CN75" i="1"/>
  <c r="CL144" i="1"/>
  <c r="CO144" i="1" s="1"/>
  <c r="M144" i="1" s="1"/>
  <c r="H143" i="1"/>
  <c r="J143" i="1"/>
  <c r="DJ144" i="1"/>
  <c r="DK144" i="1" s="1"/>
  <c r="GA144" i="1"/>
  <c r="CO75" i="1" l="1"/>
  <c r="M75" i="1" s="1"/>
  <c r="CX144" i="1"/>
  <c r="FZ144" i="1"/>
  <c r="CY144" i="1"/>
  <c r="N144" i="1" s="1"/>
  <c r="CW144" i="1"/>
  <c r="FS142" i="1"/>
  <c r="FL142" i="1"/>
  <c r="FF142" i="1"/>
  <c r="EC142" i="1"/>
  <c r="EA142" i="1"/>
  <c r="DN142" i="1"/>
  <c r="DC142" i="1"/>
  <c r="J141" i="1" s="1"/>
  <c r="DA142" i="1"/>
  <c r="CZ142" i="1" s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M142" i="1"/>
  <c r="BL142" i="1"/>
  <c r="BK142" i="1"/>
  <c r="BN142" i="1" s="1"/>
  <c r="BB142" i="1"/>
  <c r="BA142" i="1"/>
  <c r="AY142" i="1"/>
  <c r="AX142" i="1"/>
  <c r="AW142" i="1"/>
  <c r="AV142" i="1"/>
  <c r="AU142" i="1"/>
  <c r="AT142" i="1"/>
  <c r="AS142" i="1"/>
  <c r="AR142" i="1"/>
  <c r="AQ142" i="1"/>
  <c r="CP142" i="1" s="1"/>
  <c r="AP142" i="1"/>
  <c r="AN142" i="1"/>
  <c r="AO142" i="1" s="1"/>
  <c r="AL142" i="1"/>
  <c r="AJ142" i="1"/>
  <c r="AI142" i="1"/>
  <c r="AH142" i="1"/>
  <c r="J142" i="1"/>
  <c r="CN142" i="1" s="1"/>
  <c r="I142" i="1"/>
  <c r="H142" i="1"/>
  <c r="I141" i="1" s="1"/>
  <c r="C142" i="1"/>
  <c r="GB141" i="1"/>
  <c r="GA141" i="1"/>
  <c r="FZ141" i="1"/>
  <c r="FS141" i="1"/>
  <c r="FR141" i="1"/>
  <c r="FL141" i="1"/>
  <c r="FK141" i="1"/>
  <c r="FF141" i="1"/>
  <c r="FE141" i="1"/>
  <c r="EY141" i="1"/>
  <c r="ES141" i="1"/>
  <c r="EM141" i="1"/>
  <c r="EH141" i="1"/>
  <c r="EC141" i="1"/>
  <c r="EB141" i="1"/>
  <c r="EA141" i="1"/>
  <c r="DZ141" i="1"/>
  <c r="DX141" i="1"/>
  <c r="DW141" i="1"/>
  <c r="DN141" i="1"/>
  <c r="DM141" i="1"/>
  <c r="DJ141" i="1"/>
  <c r="DK141" i="1" s="1"/>
  <c r="DI141" i="1"/>
  <c r="DB141" i="1"/>
  <c r="CZ141" i="1"/>
  <c r="CY141" i="1"/>
  <c r="CX141" i="1"/>
  <c r="CW141" i="1"/>
  <c r="CV141" i="1"/>
  <c r="CU141" i="1"/>
  <c r="CN141" i="1"/>
  <c r="CB141" i="1"/>
  <c r="BT141" i="1"/>
  <c r="BN141" i="1"/>
  <c r="BE141" i="1"/>
  <c r="BD141" i="1"/>
  <c r="BC141" i="1"/>
  <c r="AZ142" i="1"/>
  <c r="AO141" i="1"/>
  <c r="K141" i="1"/>
  <c r="H141" i="1"/>
  <c r="B141" i="1"/>
  <c r="AI161" i="1"/>
  <c r="CI161" i="1"/>
  <c r="M80" i="7"/>
  <c r="G48" i="7"/>
  <c r="AA26" i="7"/>
  <c r="T20" i="7"/>
  <c r="AH154" i="1"/>
  <c r="FS154" i="1"/>
  <c r="FL154" i="1"/>
  <c r="FF154" i="1"/>
  <c r="EC154" i="1"/>
  <c r="EA154" i="1"/>
  <c r="DN154" i="1"/>
  <c r="DC154" i="1"/>
  <c r="J153" i="1" s="1"/>
  <c r="DA154" i="1"/>
  <c r="CZ154" i="1"/>
  <c r="CK154" i="1"/>
  <c r="CJ154" i="1"/>
  <c r="CI154" i="1"/>
  <c r="CH154" i="1"/>
  <c r="CG154" i="1"/>
  <c r="CF154" i="1"/>
  <c r="CE154" i="1"/>
  <c r="CD154" i="1"/>
  <c r="CC154" i="1"/>
  <c r="CB154" i="1"/>
  <c r="CA154" i="1"/>
  <c r="BZ154" i="1"/>
  <c r="BY154" i="1"/>
  <c r="BX154" i="1"/>
  <c r="BW154" i="1"/>
  <c r="BV154" i="1"/>
  <c r="BU154" i="1"/>
  <c r="BT154" i="1"/>
  <c r="BS154" i="1"/>
  <c r="BR154" i="1"/>
  <c r="BM154" i="1"/>
  <c r="BL154" i="1"/>
  <c r="BK154" i="1"/>
  <c r="BN154" i="1" s="1"/>
  <c r="BB154" i="1"/>
  <c r="BA154" i="1"/>
  <c r="AY154" i="1"/>
  <c r="AX154" i="1"/>
  <c r="AW154" i="1"/>
  <c r="AV154" i="1"/>
  <c r="AU154" i="1"/>
  <c r="AT154" i="1"/>
  <c r="AS154" i="1"/>
  <c r="AR154" i="1"/>
  <c r="AQ154" i="1"/>
  <c r="AP154" i="1"/>
  <c r="AN154" i="1"/>
  <c r="AO154" i="1" s="1"/>
  <c r="AL154" i="1"/>
  <c r="AJ154" i="1"/>
  <c r="AI154" i="1"/>
  <c r="H154" i="1" s="1"/>
  <c r="I153" i="1" s="1"/>
  <c r="J154" i="1"/>
  <c r="CN154" i="1" s="1"/>
  <c r="I154" i="1"/>
  <c r="C154" i="1"/>
  <c r="GB153" i="1"/>
  <c r="GA153" i="1"/>
  <c r="FZ153" i="1"/>
  <c r="FS153" i="1"/>
  <c r="FR153" i="1"/>
  <c r="FL153" i="1"/>
  <c r="FK153" i="1"/>
  <c r="FF153" i="1"/>
  <c r="FE153" i="1"/>
  <c r="EY153" i="1"/>
  <c r="ES153" i="1"/>
  <c r="EM153" i="1"/>
  <c r="EH153" i="1"/>
  <c r="EC153" i="1"/>
  <c r="EB153" i="1"/>
  <c r="EA153" i="1"/>
  <c r="DZ153" i="1"/>
  <c r="DX153" i="1"/>
  <c r="DW153" i="1"/>
  <c r="DN153" i="1"/>
  <c r="DM153" i="1"/>
  <c r="DJ153" i="1"/>
  <c r="DK153" i="1" s="1"/>
  <c r="DI153" i="1"/>
  <c r="DB153" i="1"/>
  <c r="CZ153" i="1"/>
  <c r="CY153" i="1"/>
  <c r="CX153" i="1"/>
  <c r="CW153" i="1"/>
  <c r="CV153" i="1"/>
  <c r="CU153" i="1"/>
  <c r="CN153" i="1"/>
  <c r="CB153" i="1"/>
  <c r="BT153" i="1"/>
  <c r="BN153" i="1"/>
  <c r="BE153" i="1"/>
  <c r="BD153" i="1"/>
  <c r="BC153" i="1"/>
  <c r="AZ153" i="1"/>
  <c r="AZ154" i="1" s="1"/>
  <c r="AO153" i="1"/>
  <c r="K153" i="1"/>
  <c r="H153" i="1"/>
  <c r="B153" i="1"/>
  <c r="FS148" i="1"/>
  <c r="FL148" i="1"/>
  <c r="FF148" i="1"/>
  <c r="EC148" i="1"/>
  <c r="EA148" i="1"/>
  <c r="DN148" i="1"/>
  <c r="DC148" i="1"/>
  <c r="J147" i="1" s="1"/>
  <c r="DA148" i="1"/>
  <c r="CZ148" i="1" s="1"/>
  <c r="CK148" i="1"/>
  <c r="CJ148" i="1"/>
  <c r="CI148" i="1"/>
  <c r="CH148" i="1"/>
  <c r="CG148" i="1"/>
  <c r="CF148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M148" i="1"/>
  <c r="BL148" i="1"/>
  <c r="BK148" i="1"/>
  <c r="BB148" i="1"/>
  <c r="BA148" i="1"/>
  <c r="AY148" i="1"/>
  <c r="AX148" i="1"/>
  <c r="AW148" i="1"/>
  <c r="AV148" i="1"/>
  <c r="AU148" i="1"/>
  <c r="AT148" i="1"/>
  <c r="AS148" i="1"/>
  <c r="AR148" i="1"/>
  <c r="AQ148" i="1"/>
  <c r="AP148" i="1"/>
  <c r="AN148" i="1"/>
  <c r="AO148" i="1" s="1"/>
  <c r="AL148" i="1"/>
  <c r="AJ148" i="1"/>
  <c r="AI148" i="1"/>
  <c r="H148" i="1" s="1"/>
  <c r="I147" i="1" s="1"/>
  <c r="AH148" i="1"/>
  <c r="J148" i="1"/>
  <c r="H147" i="1" s="1"/>
  <c r="I148" i="1"/>
  <c r="C148" i="1"/>
  <c r="GB147" i="1"/>
  <c r="GA147" i="1"/>
  <c r="FZ147" i="1"/>
  <c r="FS147" i="1"/>
  <c r="FR147" i="1"/>
  <c r="FL147" i="1"/>
  <c r="FK147" i="1"/>
  <c r="FF147" i="1"/>
  <c r="FE147" i="1"/>
  <c r="EY147" i="1"/>
  <c r="ES147" i="1"/>
  <c r="EM147" i="1"/>
  <c r="EH147" i="1"/>
  <c r="EC147" i="1"/>
  <c r="EB147" i="1"/>
  <c r="EA147" i="1"/>
  <c r="DZ147" i="1"/>
  <c r="DX147" i="1"/>
  <c r="DW147" i="1"/>
  <c r="DN147" i="1"/>
  <c r="DM147" i="1"/>
  <c r="DJ147" i="1"/>
  <c r="DK147" i="1" s="1"/>
  <c r="DI147" i="1"/>
  <c r="DB147" i="1"/>
  <c r="CZ147" i="1"/>
  <c r="CY147" i="1"/>
  <c r="CX147" i="1"/>
  <c r="CW147" i="1"/>
  <c r="CV147" i="1"/>
  <c r="CU147" i="1"/>
  <c r="CN147" i="1"/>
  <c r="CB147" i="1"/>
  <c r="BT147" i="1"/>
  <c r="BN147" i="1"/>
  <c r="BE147" i="1"/>
  <c r="BD147" i="1"/>
  <c r="BC147" i="1"/>
  <c r="AZ147" i="1"/>
  <c r="AZ148" i="1" s="1"/>
  <c r="AO147" i="1"/>
  <c r="K147" i="1"/>
  <c r="B147" i="1"/>
  <c r="FS150" i="1"/>
  <c r="FL150" i="1"/>
  <c r="FF150" i="1"/>
  <c r="EC150" i="1"/>
  <c r="EA150" i="1"/>
  <c r="DN150" i="1"/>
  <c r="DC150" i="1"/>
  <c r="DA150" i="1"/>
  <c r="CZ150" i="1" s="1"/>
  <c r="CK150" i="1"/>
  <c r="CJ150" i="1"/>
  <c r="CI150" i="1"/>
  <c r="CH150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M150" i="1"/>
  <c r="BL150" i="1"/>
  <c r="BK150" i="1"/>
  <c r="BN150" i="1" s="1"/>
  <c r="BB150" i="1"/>
  <c r="BA150" i="1"/>
  <c r="AY150" i="1"/>
  <c r="AX150" i="1"/>
  <c r="AW150" i="1"/>
  <c r="AV150" i="1"/>
  <c r="AU150" i="1"/>
  <c r="AT150" i="1"/>
  <c r="AS150" i="1"/>
  <c r="AR150" i="1"/>
  <c r="AQ150" i="1"/>
  <c r="AP150" i="1"/>
  <c r="AN150" i="1"/>
  <c r="AO150" i="1" s="1"/>
  <c r="AL150" i="1"/>
  <c r="AJ150" i="1"/>
  <c r="AI150" i="1"/>
  <c r="H150" i="1" s="1"/>
  <c r="I149" i="1" s="1"/>
  <c r="AH150" i="1"/>
  <c r="J150" i="1"/>
  <c r="CN150" i="1" s="1"/>
  <c r="I150" i="1"/>
  <c r="C150" i="1"/>
  <c r="GB149" i="1"/>
  <c r="GA149" i="1"/>
  <c r="FZ149" i="1"/>
  <c r="FS149" i="1"/>
  <c r="FR149" i="1"/>
  <c r="FL149" i="1"/>
  <c r="FK149" i="1"/>
  <c r="FF149" i="1"/>
  <c r="FE149" i="1"/>
  <c r="EY149" i="1"/>
  <c r="ES149" i="1"/>
  <c r="EM149" i="1"/>
  <c r="EH149" i="1"/>
  <c r="EC149" i="1"/>
  <c r="EB149" i="1"/>
  <c r="EA149" i="1"/>
  <c r="DZ149" i="1"/>
  <c r="DX149" i="1"/>
  <c r="DW149" i="1"/>
  <c r="DN149" i="1"/>
  <c r="DM149" i="1"/>
  <c r="DJ149" i="1"/>
  <c r="DK149" i="1" s="1"/>
  <c r="DI149" i="1"/>
  <c r="DB149" i="1"/>
  <c r="CZ149" i="1"/>
  <c r="CY149" i="1"/>
  <c r="CX149" i="1"/>
  <c r="CW149" i="1"/>
  <c r="CV149" i="1"/>
  <c r="CU149" i="1"/>
  <c r="CN149" i="1"/>
  <c r="CB149" i="1"/>
  <c r="BT149" i="1"/>
  <c r="BN149" i="1"/>
  <c r="BE149" i="1"/>
  <c r="BD149" i="1"/>
  <c r="BC149" i="1"/>
  <c r="AZ149" i="1"/>
  <c r="AZ150" i="1" s="1"/>
  <c r="AO149" i="1"/>
  <c r="K149" i="1"/>
  <c r="B149" i="1"/>
  <c r="AF178" i="1"/>
  <c r="J180" i="1"/>
  <c r="Z249" i="1"/>
  <c r="Y249" i="1"/>
  <c r="Z281" i="1"/>
  <c r="Y281" i="1"/>
  <c r="AI178" i="1"/>
  <c r="AI179" i="1" s="1"/>
  <c r="AH178" i="1"/>
  <c r="AH179" i="1" s="1"/>
  <c r="AH180" i="1" s="1"/>
  <c r="FS180" i="1"/>
  <c r="FL180" i="1"/>
  <c r="FF180" i="1"/>
  <c r="EC180" i="1"/>
  <c r="EA180" i="1"/>
  <c r="DN180" i="1"/>
  <c r="DB180" i="1"/>
  <c r="CZ180" i="1"/>
  <c r="CK180" i="1"/>
  <c r="CI180" i="1"/>
  <c r="CH180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FS179" i="1"/>
  <c r="FL179" i="1"/>
  <c r="FF179" i="1"/>
  <c r="EC179" i="1"/>
  <c r="EA179" i="1"/>
  <c r="DN179" i="1"/>
  <c r="DC179" i="1"/>
  <c r="J178" i="1" s="1"/>
  <c r="DA179" i="1"/>
  <c r="CZ179" i="1" s="1"/>
  <c r="CK179" i="1"/>
  <c r="CJ179" i="1"/>
  <c r="CI179" i="1"/>
  <c r="CH179" i="1"/>
  <c r="CG179" i="1"/>
  <c r="CF179" i="1"/>
  <c r="CE179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BM179" i="1"/>
  <c r="BM180" i="1" s="1"/>
  <c r="BL179" i="1"/>
  <c r="BL180" i="1" s="1"/>
  <c r="BK179" i="1"/>
  <c r="BK180" i="1" s="1"/>
  <c r="BN180" i="1" s="1"/>
  <c r="BB179" i="1"/>
  <c r="BB180" i="1" s="1"/>
  <c r="BA179" i="1"/>
  <c r="BA180" i="1" s="1"/>
  <c r="AY179" i="1"/>
  <c r="AY180" i="1" s="1"/>
  <c r="AX179" i="1"/>
  <c r="AX180" i="1" s="1"/>
  <c r="AW179" i="1"/>
  <c r="AW180" i="1" s="1"/>
  <c r="AV179" i="1"/>
  <c r="AV180" i="1" s="1"/>
  <c r="AU179" i="1"/>
  <c r="AU180" i="1" s="1"/>
  <c r="AT179" i="1"/>
  <c r="AT180" i="1" s="1"/>
  <c r="AS179" i="1"/>
  <c r="AS180" i="1" s="1"/>
  <c r="AR179" i="1"/>
  <c r="AR180" i="1" s="1"/>
  <c r="AQ179" i="1"/>
  <c r="AP179" i="1"/>
  <c r="AP180" i="1" s="1"/>
  <c r="AN179" i="1"/>
  <c r="AO179" i="1" s="1"/>
  <c r="AL179" i="1"/>
  <c r="AL180" i="1" s="1"/>
  <c r="AJ179" i="1"/>
  <c r="AJ180" i="1" s="1"/>
  <c r="J179" i="1"/>
  <c r="CN179" i="1" s="1"/>
  <c r="I179" i="1"/>
  <c r="C179" i="1"/>
  <c r="C180" i="1" s="1"/>
  <c r="GB178" i="1"/>
  <c r="GA178" i="1"/>
  <c r="FZ178" i="1"/>
  <c r="FS178" i="1"/>
  <c r="FR178" i="1"/>
  <c r="FL178" i="1"/>
  <c r="FK178" i="1"/>
  <c r="FF178" i="1"/>
  <c r="FE178" i="1"/>
  <c r="EY178" i="1"/>
  <c r="ES178" i="1"/>
  <c r="EM178" i="1"/>
  <c r="EH178" i="1"/>
  <c r="EC178" i="1"/>
  <c r="EB178" i="1"/>
  <c r="EA178" i="1"/>
  <c r="DZ178" i="1"/>
  <c r="DX178" i="1"/>
  <c r="DW178" i="1"/>
  <c r="DN178" i="1"/>
  <c r="DM178" i="1"/>
  <c r="DJ178" i="1"/>
  <c r="DK178" i="1" s="1"/>
  <c r="DI178" i="1"/>
  <c r="DB178" i="1"/>
  <c r="CZ178" i="1"/>
  <c r="CY178" i="1"/>
  <c r="CX178" i="1"/>
  <c r="CW178" i="1"/>
  <c r="CV178" i="1"/>
  <c r="CU178" i="1"/>
  <c r="CN178" i="1"/>
  <c r="CB178" i="1"/>
  <c r="BT178" i="1"/>
  <c r="BN178" i="1"/>
  <c r="BE178" i="1"/>
  <c r="BD178" i="1"/>
  <c r="BC178" i="1"/>
  <c r="AZ178" i="1"/>
  <c r="AZ179" i="1" s="1"/>
  <c r="AZ180" i="1" s="1"/>
  <c r="AO178" i="1"/>
  <c r="K178" i="1"/>
  <c r="B178" i="1"/>
  <c r="GA15" i="1"/>
  <c r="GA20" i="1"/>
  <c r="GA24" i="1"/>
  <c r="GA28" i="1"/>
  <c r="GA31" i="1"/>
  <c r="GA35" i="1"/>
  <c r="GA40" i="1"/>
  <c r="GA44" i="1"/>
  <c r="GA48" i="1"/>
  <c r="GA54" i="1"/>
  <c r="GA58" i="1"/>
  <c r="GA62" i="1"/>
  <c r="GA66" i="1"/>
  <c r="GA71" i="1"/>
  <c r="GA77" i="1"/>
  <c r="GA81" i="1"/>
  <c r="GA87" i="1"/>
  <c r="GA91" i="1"/>
  <c r="GA97" i="1"/>
  <c r="GA101" i="1"/>
  <c r="GA110" i="1"/>
  <c r="GA114" i="1"/>
  <c r="GA122" i="1"/>
  <c r="GA127" i="1"/>
  <c r="GA132" i="1"/>
  <c r="GA137" i="1"/>
  <c r="GA138" i="1"/>
  <c r="GA155" i="1"/>
  <c r="GA158" i="1"/>
  <c r="GA161" i="1"/>
  <c r="GA164" i="1"/>
  <c r="GA151" i="1"/>
  <c r="GA167" i="1"/>
  <c r="GA169" i="1"/>
  <c r="GA172" i="1"/>
  <c r="GA175" i="1"/>
  <c r="GA181" i="1"/>
  <c r="GA187" i="1"/>
  <c r="GA188" i="1"/>
  <c r="GA192" i="1"/>
  <c r="GA198" i="1"/>
  <c r="GA202" i="1"/>
  <c r="GA213" i="1"/>
  <c r="GA214" i="1"/>
  <c r="GA219" i="1"/>
  <c r="GA223" i="1"/>
  <c r="GA230" i="1"/>
  <c r="GA236" i="1"/>
  <c r="GA243" i="1"/>
  <c r="GA248" i="1"/>
  <c r="GA249" i="1"/>
  <c r="GA250" i="1"/>
  <c r="GA254" i="1"/>
  <c r="GA257" i="1"/>
  <c r="GA264" i="1"/>
  <c r="GA268" i="1"/>
  <c r="GA273" i="1"/>
  <c r="GA276" i="1"/>
  <c r="GA281" i="1"/>
  <c r="GA282" i="1"/>
  <c r="GA285" i="1"/>
  <c r="GA288" i="1"/>
  <c r="GA291" i="1"/>
  <c r="GA294" i="1"/>
  <c r="GA145" i="1"/>
  <c r="GA296" i="1"/>
  <c r="GA299" i="1"/>
  <c r="GA184" i="1"/>
  <c r="GA303" i="1"/>
  <c r="GA306" i="1"/>
  <c r="FZ15" i="1"/>
  <c r="FZ20" i="1"/>
  <c r="FZ24" i="1"/>
  <c r="FZ28" i="1"/>
  <c r="FZ31" i="1"/>
  <c r="FZ35" i="1"/>
  <c r="FZ40" i="1"/>
  <c r="FZ44" i="1"/>
  <c r="FZ48" i="1"/>
  <c r="FZ54" i="1"/>
  <c r="FZ58" i="1"/>
  <c r="FZ62" i="1"/>
  <c r="FZ66" i="1"/>
  <c r="FZ71" i="1"/>
  <c r="FZ77" i="1"/>
  <c r="FZ81" i="1"/>
  <c r="FZ87" i="1"/>
  <c r="FZ91" i="1"/>
  <c r="FZ97" i="1"/>
  <c r="FZ101" i="1"/>
  <c r="FZ110" i="1"/>
  <c r="FZ114" i="1"/>
  <c r="FZ122" i="1"/>
  <c r="FZ127" i="1"/>
  <c r="FZ132" i="1"/>
  <c r="FZ137" i="1"/>
  <c r="FZ138" i="1"/>
  <c r="FZ155" i="1"/>
  <c r="FZ158" i="1"/>
  <c r="FZ161" i="1"/>
  <c r="FZ164" i="1"/>
  <c r="FZ151" i="1"/>
  <c r="FZ167" i="1"/>
  <c r="FZ169" i="1"/>
  <c r="FZ172" i="1"/>
  <c r="FZ175" i="1"/>
  <c r="FZ181" i="1"/>
  <c r="FZ187" i="1"/>
  <c r="FZ188" i="1"/>
  <c r="FZ192" i="1"/>
  <c r="FZ198" i="1"/>
  <c r="FZ202" i="1"/>
  <c r="FZ213" i="1"/>
  <c r="FZ214" i="1"/>
  <c r="FZ219" i="1"/>
  <c r="FZ223" i="1"/>
  <c r="FZ230" i="1"/>
  <c r="FZ236" i="1"/>
  <c r="FZ243" i="1"/>
  <c r="FZ248" i="1"/>
  <c r="FZ249" i="1"/>
  <c r="FZ250" i="1"/>
  <c r="FZ254" i="1"/>
  <c r="FZ257" i="1"/>
  <c r="FZ264" i="1"/>
  <c r="FZ268" i="1"/>
  <c r="FZ273" i="1"/>
  <c r="FZ276" i="1"/>
  <c r="FZ281" i="1"/>
  <c r="FZ282" i="1"/>
  <c r="FZ285" i="1"/>
  <c r="FZ288" i="1"/>
  <c r="FZ291" i="1"/>
  <c r="FZ294" i="1"/>
  <c r="FZ145" i="1"/>
  <c r="FZ296" i="1"/>
  <c r="FZ299" i="1"/>
  <c r="FZ184" i="1"/>
  <c r="FZ303" i="1"/>
  <c r="FZ306" i="1"/>
  <c r="X25" i="1"/>
  <c r="X26" i="1" s="1"/>
  <c r="X27" i="1" s="1"/>
  <c r="AI44" i="1"/>
  <c r="CV144" i="1" l="1"/>
  <c r="CL142" i="1"/>
  <c r="EH142" i="1" s="1"/>
  <c r="DJ154" i="1"/>
  <c r="DK154" i="1" s="1"/>
  <c r="DJ142" i="1"/>
  <c r="DK142" i="1" s="1"/>
  <c r="GA142" i="1"/>
  <c r="BN148" i="1"/>
  <c r="CP148" i="1"/>
  <c r="CL154" i="1"/>
  <c r="CW154" i="1" s="1"/>
  <c r="CP154" i="1"/>
  <c r="GA154" i="1"/>
  <c r="CL148" i="1"/>
  <c r="EH148" i="1" s="1"/>
  <c r="CN148" i="1"/>
  <c r="DJ148" i="1"/>
  <c r="DK148" i="1" s="1"/>
  <c r="DJ150" i="1"/>
  <c r="DK150" i="1" s="1"/>
  <c r="GA148" i="1"/>
  <c r="BN179" i="1"/>
  <c r="CL150" i="1"/>
  <c r="EH150" i="1" s="1"/>
  <c r="CP150" i="1"/>
  <c r="GA150" i="1"/>
  <c r="J149" i="1"/>
  <c r="H149" i="1"/>
  <c r="GA179" i="1"/>
  <c r="CJ180" i="1"/>
  <c r="CL180" i="1" s="1"/>
  <c r="I180" i="1"/>
  <c r="CP179" i="1"/>
  <c r="H178" i="1"/>
  <c r="CL179" i="1"/>
  <c r="AI180" i="1"/>
  <c r="AQ180" i="1"/>
  <c r="DJ180" i="1" s="1"/>
  <c r="DK180" i="1" s="1"/>
  <c r="DB179" i="1"/>
  <c r="DJ179" i="1"/>
  <c r="DK179" i="1" s="1"/>
  <c r="AN180" i="1"/>
  <c r="AO180" i="1" s="1"/>
  <c r="CN180" i="1"/>
  <c r="GA180" i="1"/>
  <c r="AU11" i="1"/>
  <c r="BN24" i="1"/>
  <c r="FR148" i="1" l="1"/>
  <c r="FR142" i="1"/>
  <c r="CY142" i="1"/>
  <c r="N142" i="1" s="1"/>
  <c r="DM148" i="1"/>
  <c r="DW142" i="1"/>
  <c r="CX142" i="1"/>
  <c r="FK142" i="1"/>
  <c r="FZ142" i="1"/>
  <c r="EB142" i="1"/>
  <c r="CW142" i="1"/>
  <c r="EM142" i="1"/>
  <c r="ES148" i="1"/>
  <c r="DM142" i="1"/>
  <c r="FZ148" i="1"/>
  <c r="DI148" i="1"/>
  <c r="CV150" i="1"/>
  <c r="EY148" i="1"/>
  <c r="CV148" i="1"/>
  <c r="GB148" i="1"/>
  <c r="DZ148" i="1"/>
  <c r="EM148" i="1"/>
  <c r="CO148" i="1"/>
  <c r="M148" i="1" s="1"/>
  <c r="DZ142" i="1"/>
  <c r="CV142" i="1"/>
  <c r="FE142" i="1"/>
  <c r="CU142" i="1"/>
  <c r="CT142" i="1" s="1"/>
  <c r="DB142" i="1" s="1"/>
  <c r="DX142" i="1"/>
  <c r="GB142" i="1"/>
  <c r="ES142" i="1"/>
  <c r="DI142" i="1"/>
  <c r="CO142" i="1"/>
  <c r="M142" i="1" s="1"/>
  <c r="EY142" i="1"/>
  <c r="DW148" i="1"/>
  <c r="CX148" i="1"/>
  <c r="EB148" i="1"/>
  <c r="FK148" i="1"/>
  <c r="FE148" i="1"/>
  <c r="CU148" i="1"/>
  <c r="CT148" i="1" s="1"/>
  <c r="DB148" i="1" s="1"/>
  <c r="CW148" i="1"/>
  <c r="CY148" i="1"/>
  <c r="N148" i="1" s="1"/>
  <c r="DX148" i="1"/>
  <c r="EM150" i="1"/>
  <c r="FZ150" i="1"/>
  <c r="CY154" i="1"/>
  <c r="N154" i="1" s="1"/>
  <c r="CO154" i="1"/>
  <c r="M154" i="1" s="1"/>
  <c r="FZ154" i="1"/>
  <c r="CX154" i="1"/>
  <c r="CO150" i="1"/>
  <c r="M150" i="1" s="1"/>
  <c r="DI150" i="1"/>
  <c r="FR150" i="1"/>
  <c r="ES150" i="1"/>
  <c r="FE150" i="1"/>
  <c r="FK150" i="1"/>
  <c r="CW150" i="1"/>
  <c r="CW180" i="1"/>
  <c r="CP180" i="1"/>
  <c r="CU150" i="1"/>
  <c r="CT150" i="1" s="1"/>
  <c r="DB150" i="1" s="1"/>
  <c r="CX150" i="1"/>
  <c r="CY150" i="1"/>
  <c r="N150" i="1" s="1"/>
  <c r="DW150" i="1"/>
  <c r="DX150" i="1"/>
  <c r="GB150" i="1"/>
  <c r="DM150" i="1"/>
  <c r="DZ150" i="1"/>
  <c r="EY150" i="1"/>
  <c r="EB150" i="1"/>
  <c r="FZ180" i="1"/>
  <c r="CX180" i="1"/>
  <c r="CO180" i="1"/>
  <c r="M180" i="1" s="1"/>
  <c r="CY180" i="1"/>
  <c r="CV180" i="1" s="1"/>
  <c r="CW179" i="1"/>
  <c r="CO179" i="1"/>
  <c r="M179" i="1" s="1"/>
  <c r="CX179" i="1"/>
  <c r="CY179" i="1"/>
  <c r="N179" i="1" s="1"/>
  <c r="FZ179" i="1"/>
  <c r="AI145" i="1"/>
  <c r="AH145" i="1"/>
  <c r="AI296" i="1"/>
  <c r="AH296" i="1"/>
  <c r="AH299" i="1"/>
  <c r="AI299" i="1"/>
  <c r="AI303" i="1"/>
  <c r="AH303" i="1"/>
  <c r="AI184" i="1"/>
  <c r="AH184" i="1"/>
  <c r="AU151" i="1"/>
  <c r="BC151" i="1" s="1"/>
  <c r="Y127" i="1"/>
  <c r="Y131" i="1" s="1"/>
  <c r="I279" i="1"/>
  <c r="J279" i="1"/>
  <c r="I280" i="1"/>
  <c r="J280" i="1"/>
  <c r="J308" i="1"/>
  <c r="I308" i="1"/>
  <c r="J307" i="1"/>
  <c r="H306" i="1" s="1"/>
  <c r="I307" i="1"/>
  <c r="K306" i="1"/>
  <c r="J305" i="1"/>
  <c r="I305" i="1"/>
  <c r="J304" i="1"/>
  <c r="I304" i="1"/>
  <c r="K303" i="1"/>
  <c r="J186" i="1"/>
  <c r="I186" i="1"/>
  <c r="J185" i="1"/>
  <c r="H184" i="1" s="1"/>
  <c r="I185" i="1"/>
  <c r="K184" i="1"/>
  <c r="J301" i="1"/>
  <c r="I301" i="1"/>
  <c r="J300" i="1"/>
  <c r="I300" i="1"/>
  <c r="K299" i="1"/>
  <c r="J298" i="1"/>
  <c r="I298" i="1"/>
  <c r="J297" i="1"/>
  <c r="H296" i="1" s="1"/>
  <c r="I297" i="1"/>
  <c r="K296" i="1"/>
  <c r="J146" i="1"/>
  <c r="H145" i="1" s="1"/>
  <c r="I146" i="1"/>
  <c r="K145" i="1"/>
  <c r="J295" i="1"/>
  <c r="I295" i="1"/>
  <c r="K294" i="1"/>
  <c r="J292" i="1"/>
  <c r="I292" i="1"/>
  <c r="K291" i="1"/>
  <c r="J289" i="1"/>
  <c r="I289" i="1"/>
  <c r="K288" i="1"/>
  <c r="J286" i="1"/>
  <c r="H285" i="1" s="1"/>
  <c r="I286" i="1"/>
  <c r="K285" i="1"/>
  <c r="J285" i="1"/>
  <c r="J283" i="1"/>
  <c r="H282" i="1" s="1"/>
  <c r="I283" i="1"/>
  <c r="K282" i="1"/>
  <c r="J275" i="1"/>
  <c r="I275" i="1"/>
  <c r="J274" i="1"/>
  <c r="H273" i="1" s="1"/>
  <c r="I274" i="1"/>
  <c r="K273" i="1"/>
  <c r="J278" i="1"/>
  <c r="I278" i="1"/>
  <c r="J277" i="1"/>
  <c r="H276" i="1" s="1"/>
  <c r="I277" i="1"/>
  <c r="K276" i="1"/>
  <c r="J270" i="1"/>
  <c r="I270" i="1"/>
  <c r="J269" i="1"/>
  <c r="H268" i="1" s="1"/>
  <c r="I269" i="1"/>
  <c r="K268" i="1"/>
  <c r="J266" i="1"/>
  <c r="I266" i="1"/>
  <c r="J265" i="1"/>
  <c r="I265" i="1"/>
  <c r="K264" i="1"/>
  <c r="J259" i="1"/>
  <c r="I259" i="1"/>
  <c r="J258" i="1"/>
  <c r="I258" i="1"/>
  <c r="K257" i="1"/>
  <c r="J256" i="1"/>
  <c r="I256" i="1"/>
  <c r="J255" i="1"/>
  <c r="H254" i="1" s="1"/>
  <c r="I255" i="1"/>
  <c r="K254" i="1"/>
  <c r="J252" i="1"/>
  <c r="I252" i="1"/>
  <c r="J251" i="1"/>
  <c r="H250" i="1" s="1"/>
  <c r="I251" i="1"/>
  <c r="K250" i="1"/>
  <c r="J246" i="1"/>
  <c r="I246" i="1"/>
  <c r="J245" i="1"/>
  <c r="I245" i="1"/>
  <c r="J244" i="1"/>
  <c r="H243" i="1" s="1"/>
  <c r="I244" i="1"/>
  <c r="K243" i="1"/>
  <c r="J239" i="1"/>
  <c r="I239" i="1"/>
  <c r="J238" i="1"/>
  <c r="I238" i="1"/>
  <c r="J237" i="1"/>
  <c r="H236" i="1" s="1"/>
  <c r="I237" i="1"/>
  <c r="K236" i="1"/>
  <c r="J236" i="1"/>
  <c r="J233" i="1"/>
  <c r="I233" i="1"/>
  <c r="J232" i="1"/>
  <c r="I232" i="1"/>
  <c r="J231" i="1"/>
  <c r="H230" i="1" s="1"/>
  <c r="I231" i="1"/>
  <c r="K230" i="1"/>
  <c r="J226" i="1"/>
  <c r="I226" i="1"/>
  <c r="J225" i="1"/>
  <c r="I225" i="1"/>
  <c r="J224" i="1"/>
  <c r="I224" i="1"/>
  <c r="K223" i="1"/>
  <c r="K219" i="1"/>
  <c r="K214" i="1"/>
  <c r="J214" i="1"/>
  <c r="J205" i="1"/>
  <c r="I205" i="1"/>
  <c r="J204" i="1"/>
  <c r="I204" i="1"/>
  <c r="J203" i="1"/>
  <c r="H202" i="1" s="1"/>
  <c r="I203" i="1"/>
  <c r="K202" i="1"/>
  <c r="J202" i="1"/>
  <c r="Y198" i="1"/>
  <c r="Y201" i="1" s="1"/>
  <c r="J201" i="1" s="1"/>
  <c r="J200" i="1"/>
  <c r="I200" i="1"/>
  <c r="J199" i="1"/>
  <c r="H198" i="1" s="1"/>
  <c r="I199" i="1"/>
  <c r="K198" i="1"/>
  <c r="J195" i="1"/>
  <c r="I195" i="1"/>
  <c r="J194" i="1"/>
  <c r="I194" i="1"/>
  <c r="J193" i="1"/>
  <c r="I193" i="1"/>
  <c r="K192" i="1"/>
  <c r="J65" i="1"/>
  <c r="I65" i="1"/>
  <c r="J64" i="1"/>
  <c r="I64" i="1"/>
  <c r="J63" i="1"/>
  <c r="H62" i="1" s="1"/>
  <c r="I63" i="1"/>
  <c r="K62" i="1"/>
  <c r="J191" i="1"/>
  <c r="I191" i="1"/>
  <c r="J190" i="1"/>
  <c r="I190" i="1"/>
  <c r="J189" i="1"/>
  <c r="H188" i="1" s="1"/>
  <c r="I189" i="1"/>
  <c r="K188" i="1"/>
  <c r="K181" i="1"/>
  <c r="J177" i="1"/>
  <c r="I177" i="1"/>
  <c r="J176" i="1"/>
  <c r="H175" i="1" s="1"/>
  <c r="I176" i="1"/>
  <c r="K175" i="1"/>
  <c r="J174" i="1"/>
  <c r="I174" i="1"/>
  <c r="J173" i="1"/>
  <c r="H172" i="1" s="1"/>
  <c r="I173" i="1"/>
  <c r="K172" i="1"/>
  <c r="J171" i="1"/>
  <c r="I171" i="1"/>
  <c r="J170" i="1"/>
  <c r="I170" i="1"/>
  <c r="K169" i="1"/>
  <c r="J168" i="1"/>
  <c r="H167" i="1" s="1"/>
  <c r="I168" i="1"/>
  <c r="K167" i="1"/>
  <c r="I152" i="1"/>
  <c r="J152" i="1"/>
  <c r="AI151" i="1"/>
  <c r="AH151" i="1"/>
  <c r="AQ172" i="1"/>
  <c r="AQ151" i="1"/>
  <c r="K151" i="1"/>
  <c r="J166" i="1"/>
  <c r="I166" i="1"/>
  <c r="J165" i="1"/>
  <c r="H164" i="1" s="1"/>
  <c r="I165" i="1"/>
  <c r="J163" i="1"/>
  <c r="I163" i="1"/>
  <c r="J162" i="1"/>
  <c r="H161" i="1" s="1"/>
  <c r="I162" i="1"/>
  <c r="K164" i="1"/>
  <c r="J159" i="1"/>
  <c r="H158" i="1" s="1"/>
  <c r="I159" i="1"/>
  <c r="K158" i="1"/>
  <c r="K161" i="1"/>
  <c r="K155" i="1"/>
  <c r="K138" i="1"/>
  <c r="K132" i="1"/>
  <c r="K127" i="1"/>
  <c r="K122" i="1"/>
  <c r="K114" i="1"/>
  <c r="K110" i="1"/>
  <c r="K101" i="1"/>
  <c r="K97" i="1"/>
  <c r="K91" i="1"/>
  <c r="K87" i="1"/>
  <c r="K81" i="1"/>
  <c r="J81" i="1"/>
  <c r="K77" i="1"/>
  <c r="J77" i="1"/>
  <c r="K71" i="1"/>
  <c r="K66" i="1"/>
  <c r="K58" i="1"/>
  <c r="K54" i="1"/>
  <c r="K48" i="1"/>
  <c r="K44" i="1"/>
  <c r="K40" i="1"/>
  <c r="K35" i="1"/>
  <c r="K31" i="1"/>
  <c r="K28" i="1"/>
  <c r="K24" i="1"/>
  <c r="K20" i="1"/>
  <c r="K15" i="1"/>
  <c r="K11" i="1"/>
  <c r="BF10" i="1"/>
  <c r="AP11" i="1"/>
  <c r="AA29" i="1"/>
  <c r="R29" i="1"/>
  <c r="R30" i="1" s="1"/>
  <c r="U29" i="1"/>
  <c r="U30" i="1" s="1"/>
  <c r="X29" i="1"/>
  <c r="X30" i="1" s="1"/>
  <c r="AC29" i="1"/>
  <c r="AC30" i="1" s="1"/>
  <c r="BV40" i="1"/>
  <c r="FS43" i="1"/>
  <c r="FL43" i="1"/>
  <c r="FF43" i="1"/>
  <c r="EC43" i="1"/>
  <c r="EA43" i="1"/>
  <c r="DN43" i="1"/>
  <c r="DB43" i="1"/>
  <c r="CZ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J43" i="1"/>
  <c r="CN43" i="1" s="1"/>
  <c r="I43" i="1"/>
  <c r="FS42" i="1"/>
  <c r="FL42" i="1"/>
  <c r="FF42" i="1"/>
  <c r="EC42" i="1"/>
  <c r="EA42" i="1"/>
  <c r="DN42" i="1"/>
  <c r="DB42" i="1"/>
  <c r="CZ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J42" i="1"/>
  <c r="CN42" i="1" s="1"/>
  <c r="I42" i="1"/>
  <c r="C42" i="1"/>
  <c r="DC41" i="1"/>
  <c r="J40" i="1" s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M41" i="1"/>
  <c r="BM42" i="1" s="1"/>
  <c r="BM43" i="1" s="1"/>
  <c r="BL41" i="1"/>
  <c r="BL42" i="1" s="1"/>
  <c r="BL43" i="1" s="1"/>
  <c r="BK41" i="1"/>
  <c r="BK42" i="1" s="1"/>
  <c r="BB41" i="1"/>
  <c r="BB42" i="1" s="1"/>
  <c r="BB43" i="1" s="1"/>
  <c r="BA41" i="1"/>
  <c r="BA42" i="1" s="1"/>
  <c r="BA43" i="1" s="1"/>
  <c r="AY41" i="1"/>
  <c r="AY42" i="1" s="1"/>
  <c r="AY43" i="1" s="1"/>
  <c r="AX41" i="1"/>
  <c r="AX42" i="1" s="1"/>
  <c r="AX43" i="1" s="1"/>
  <c r="AW41" i="1"/>
  <c r="AW42" i="1" s="1"/>
  <c r="AW43" i="1" s="1"/>
  <c r="AV41" i="1"/>
  <c r="AV42" i="1" s="1"/>
  <c r="AV43" i="1" s="1"/>
  <c r="AU41" i="1"/>
  <c r="AU42" i="1" s="1"/>
  <c r="AU43" i="1" s="1"/>
  <c r="AS41" i="1"/>
  <c r="AR41" i="1"/>
  <c r="AR42" i="1" s="1"/>
  <c r="AR43" i="1" s="1"/>
  <c r="AQ41" i="1"/>
  <c r="AQ42" i="1" s="1"/>
  <c r="AP41" i="1"/>
  <c r="AP42" i="1" s="1"/>
  <c r="AP43" i="1" s="1"/>
  <c r="AN41" i="1"/>
  <c r="AN42" i="1" s="1"/>
  <c r="AL41" i="1"/>
  <c r="AL42" i="1" s="1"/>
  <c r="AL43" i="1" s="1"/>
  <c r="AJ41" i="1"/>
  <c r="AJ42" i="1" s="1"/>
  <c r="AJ43" i="1" s="1"/>
  <c r="AI41" i="1"/>
  <c r="AI42" i="1" s="1"/>
  <c r="AI43" i="1" s="1"/>
  <c r="J41" i="1"/>
  <c r="CN41" i="1" s="1"/>
  <c r="I41" i="1"/>
  <c r="C41" i="1"/>
  <c r="C43" i="1" s="1"/>
  <c r="GB40" i="1"/>
  <c r="FS40" i="1"/>
  <c r="FR40" i="1"/>
  <c r="FL40" i="1"/>
  <c r="FK40" i="1"/>
  <c r="FF40" i="1"/>
  <c r="FE40" i="1"/>
  <c r="EY40" i="1"/>
  <c r="ES40" i="1"/>
  <c r="EM40" i="1"/>
  <c r="EH40" i="1"/>
  <c r="EB40" i="1"/>
  <c r="DZ40" i="1"/>
  <c r="DX40" i="1"/>
  <c r="DW40" i="1"/>
  <c r="DU40" i="1"/>
  <c r="DT40" i="1"/>
  <c r="DS40" i="1"/>
  <c r="DR40" i="1"/>
  <c r="DQ40" i="1"/>
  <c r="DP40" i="1"/>
  <c r="DO40" i="1" s="1"/>
  <c r="DN40" i="1"/>
  <c r="DM40" i="1"/>
  <c r="DJ40" i="1"/>
  <c r="DK40" i="1" s="1"/>
  <c r="DI40" i="1"/>
  <c r="CY40" i="1"/>
  <c r="CX40" i="1"/>
  <c r="CW40" i="1"/>
  <c r="CV40" i="1"/>
  <c r="CU40" i="1"/>
  <c r="CN40" i="1"/>
  <c r="CB40" i="1"/>
  <c r="BT40" i="1"/>
  <c r="BN40" i="1"/>
  <c r="BE40" i="1"/>
  <c r="BD40" i="1"/>
  <c r="BC40" i="1"/>
  <c r="AZ40" i="1"/>
  <c r="AZ41" i="1" s="1"/>
  <c r="AZ42" i="1" s="1"/>
  <c r="AZ43" i="1" s="1"/>
  <c r="AO40" i="1"/>
  <c r="B40" i="1"/>
  <c r="AH134" i="1"/>
  <c r="AH133" i="1"/>
  <c r="AH135" i="1" s="1"/>
  <c r="AH136" i="1" s="1"/>
  <c r="BO128" i="1"/>
  <c r="BO129" i="1" s="1"/>
  <c r="BO130" i="1" s="1"/>
  <c r="BO131" i="1" s="1"/>
  <c r="CV154" i="1" l="1"/>
  <c r="CV179" i="1"/>
  <c r="N180" i="1"/>
  <c r="AS42" i="1"/>
  <c r="GA42" i="1" s="1"/>
  <c r="GA41" i="1"/>
  <c r="H223" i="1"/>
  <c r="H192" i="1"/>
  <c r="H264" i="1"/>
  <c r="H303" i="1"/>
  <c r="H169" i="1"/>
  <c r="H299" i="1"/>
  <c r="H294" i="1"/>
  <c r="H291" i="1"/>
  <c r="H288" i="1"/>
  <c r="H257" i="1"/>
  <c r="I201" i="1"/>
  <c r="H151" i="1"/>
  <c r="BK43" i="1"/>
  <c r="BN43" i="1" s="1"/>
  <c r="BN42" i="1"/>
  <c r="BN41" i="1"/>
  <c r="H40" i="1"/>
  <c r="CP41" i="1"/>
  <c r="CL41" i="1"/>
  <c r="CL42" i="1"/>
  <c r="CL43" i="1"/>
  <c r="AN43" i="1"/>
  <c r="AO43" i="1" s="1"/>
  <c r="AO42" i="1"/>
  <c r="CP42" i="1"/>
  <c r="AQ43" i="1"/>
  <c r="CP43" i="1" s="1"/>
  <c r="AO41" i="1"/>
  <c r="DJ41" i="1"/>
  <c r="DK41" i="1" s="1"/>
  <c r="DJ42" i="1" l="1"/>
  <c r="DK42" i="1" s="1"/>
  <c r="AS43" i="1"/>
  <c r="GA43" i="1" s="1"/>
  <c r="FZ43" i="1" s="1"/>
  <c r="DS43" i="1"/>
  <c r="FC42" i="1"/>
  <c r="FZ42" i="1"/>
  <c r="DR41" i="1"/>
  <c r="FZ41" i="1"/>
  <c r="FN41" i="1"/>
  <c r="FB41" i="1"/>
  <c r="DP41" i="1"/>
  <c r="DQ41" i="1"/>
  <c r="EV41" i="1"/>
  <c r="FU42" i="1"/>
  <c r="FB42" i="1"/>
  <c r="FO42" i="1"/>
  <c r="DU41" i="1"/>
  <c r="EQ41" i="1"/>
  <c r="FQ41" i="1"/>
  <c r="EF41" i="1"/>
  <c r="DP42" i="1"/>
  <c r="EP42" i="1"/>
  <c r="DT41" i="1"/>
  <c r="FO43" i="1"/>
  <c r="FJ41" i="1"/>
  <c r="FD41" i="1"/>
  <c r="CX41" i="1"/>
  <c r="DQ42" i="1"/>
  <c r="DT42" i="1"/>
  <c r="EK42" i="1"/>
  <c r="FH41" i="1"/>
  <c r="FV41" i="1"/>
  <c r="FP41" i="1"/>
  <c r="ER41" i="1"/>
  <c r="EE41" i="1"/>
  <c r="CY41" i="1"/>
  <c r="N41" i="1" s="1"/>
  <c r="EP41" i="1"/>
  <c r="ED42" i="1"/>
  <c r="DR42" i="1"/>
  <c r="EE42" i="1"/>
  <c r="EL41" i="1"/>
  <c r="EX41" i="1"/>
  <c r="EF42" i="1"/>
  <c r="FH42" i="1"/>
  <c r="EJ41" i="1"/>
  <c r="FC41" i="1"/>
  <c r="DS41" i="1"/>
  <c r="FO41" i="1"/>
  <c r="EW41" i="1"/>
  <c r="FI42" i="1"/>
  <c r="EL42" i="1"/>
  <c r="EK41" i="1"/>
  <c r="CW41" i="1"/>
  <c r="FI41" i="1"/>
  <c r="CY42" i="1"/>
  <c r="N42" i="1" s="1"/>
  <c r="FD42" i="1"/>
  <c r="FU41" i="1"/>
  <c r="FW41" i="1"/>
  <c r="ED41" i="1"/>
  <c r="CW42" i="1"/>
  <c r="FP42" i="1"/>
  <c r="CO41" i="1"/>
  <c r="M41" i="1" s="1"/>
  <c r="DR43" i="1"/>
  <c r="EJ43" i="1"/>
  <c r="EW43" i="1"/>
  <c r="FN42" i="1"/>
  <c r="DS42" i="1"/>
  <c r="EJ42" i="1"/>
  <c r="EQ42" i="1"/>
  <c r="ED43" i="1"/>
  <c r="FQ42" i="1"/>
  <c r="EW42" i="1"/>
  <c r="EX42" i="1"/>
  <c r="ER42" i="1"/>
  <c r="FJ42" i="1"/>
  <c r="FW42" i="1"/>
  <c r="FU43" i="1"/>
  <c r="CX42" i="1"/>
  <c r="FV42" i="1"/>
  <c r="CO42" i="1"/>
  <c r="M42" i="1" s="1"/>
  <c r="EQ43" i="1"/>
  <c r="EV42" i="1"/>
  <c r="DU42" i="1"/>
  <c r="FD43" i="1"/>
  <c r="EL43" i="1"/>
  <c r="CW43" i="1"/>
  <c r="EE43" i="1"/>
  <c r="EK43" i="1"/>
  <c r="CY43" i="1"/>
  <c r="N43" i="1" s="1"/>
  <c r="FH43" i="1"/>
  <c r="CO43" i="1"/>
  <c r="M43" i="1" s="1"/>
  <c r="FB43" i="1"/>
  <c r="FC43" i="1"/>
  <c r="FN43" i="1"/>
  <c r="DP43" i="1"/>
  <c r="FP43" i="1"/>
  <c r="EV43" i="1"/>
  <c r="EP43" i="1"/>
  <c r="FV43" i="1"/>
  <c r="ER43" i="1"/>
  <c r="FQ43" i="1"/>
  <c r="EF43" i="1"/>
  <c r="CX43" i="1"/>
  <c r="EX43" i="1"/>
  <c r="DQ43" i="1"/>
  <c r="FI43" i="1"/>
  <c r="FJ43" i="1"/>
  <c r="FW43" i="1"/>
  <c r="DT43" i="1"/>
  <c r="AU12" i="1"/>
  <c r="AU13" i="1" s="1"/>
  <c r="AU14" i="1" s="1"/>
  <c r="AU16" i="1"/>
  <c r="AU17" i="1" s="1"/>
  <c r="AU18" i="1" s="1"/>
  <c r="AU19" i="1" s="1"/>
  <c r="AH307" i="1"/>
  <c r="AH308" i="1" s="1"/>
  <c r="AH309" i="1" s="1"/>
  <c r="AH310" i="1" s="1"/>
  <c r="AH311" i="1" s="1"/>
  <c r="AH304" i="1"/>
  <c r="AH305" i="1" s="1"/>
  <c r="AH185" i="1"/>
  <c r="AH186" i="1" s="1"/>
  <c r="AH300" i="1"/>
  <c r="AH301" i="1" s="1"/>
  <c r="AH302" i="1" s="1"/>
  <c r="AH297" i="1"/>
  <c r="AH298" i="1" s="1"/>
  <c r="AH146" i="1"/>
  <c r="AH295" i="1"/>
  <c r="AH292" i="1"/>
  <c r="AH293" i="1" s="1"/>
  <c r="AH289" i="1"/>
  <c r="AH290" i="1" s="1"/>
  <c r="AH286" i="1"/>
  <c r="AH287" i="1" s="1"/>
  <c r="AH283" i="1"/>
  <c r="AH284" i="1" s="1"/>
  <c r="AH277" i="1"/>
  <c r="AH278" i="1" s="1"/>
  <c r="AH279" i="1" s="1"/>
  <c r="AH280" i="1" s="1"/>
  <c r="AH274" i="1"/>
  <c r="AH275" i="1" s="1"/>
  <c r="AH269" i="1"/>
  <c r="AH270" i="1" s="1"/>
  <c r="AH272" i="1" s="1"/>
  <c r="AH265" i="1"/>
  <c r="AH266" i="1" s="1"/>
  <c r="AH267" i="1" s="1"/>
  <c r="AH258" i="1"/>
  <c r="AH259" i="1" s="1"/>
  <c r="AH260" i="1" s="1"/>
  <c r="AH261" i="1" s="1"/>
  <c r="AH262" i="1" s="1"/>
  <c r="AH263" i="1" s="1"/>
  <c r="AH255" i="1"/>
  <c r="AH256" i="1" s="1"/>
  <c r="AH251" i="1"/>
  <c r="AH252" i="1" s="1"/>
  <c r="AH253" i="1" s="1"/>
  <c r="AH244" i="1"/>
  <c r="AH245" i="1" s="1"/>
  <c r="AH246" i="1" s="1"/>
  <c r="AH247" i="1" s="1"/>
  <c r="AH29" i="1"/>
  <c r="AH30" i="1" s="1"/>
  <c r="AH237" i="1"/>
  <c r="AH238" i="1" s="1"/>
  <c r="AH239" i="1" s="1"/>
  <c r="AH240" i="1" s="1"/>
  <c r="AH241" i="1" s="1"/>
  <c r="AH242" i="1" s="1"/>
  <c r="AH231" i="1"/>
  <c r="AH232" i="1" s="1"/>
  <c r="AH233" i="1" s="1"/>
  <c r="AH234" i="1" s="1"/>
  <c r="AH235" i="1" s="1"/>
  <c r="AH224" i="1"/>
  <c r="AH225" i="1" s="1"/>
  <c r="AH226" i="1" s="1"/>
  <c r="AH227" i="1" s="1"/>
  <c r="AH228" i="1" s="1"/>
  <c r="AH229" i="1" s="1"/>
  <c r="AH220" i="1"/>
  <c r="AH221" i="1" s="1"/>
  <c r="AH222" i="1" s="1"/>
  <c r="AH215" i="1"/>
  <c r="AH216" i="1" s="1"/>
  <c r="AH217" i="1" s="1"/>
  <c r="AH218" i="1" s="1"/>
  <c r="AH203" i="1"/>
  <c r="AH204" i="1" s="1"/>
  <c r="AH205" i="1" s="1"/>
  <c r="AH206" i="1" s="1"/>
  <c r="AH207" i="1" s="1"/>
  <c r="AH208" i="1" s="1"/>
  <c r="AH209" i="1" s="1"/>
  <c r="AH210" i="1" s="1"/>
  <c r="AH211" i="1" s="1"/>
  <c r="AH212" i="1" s="1"/>
  <c r="AH199" i="1"/>
  <c r="AH200" i="1" s="1"/>
  <c r="AH201" i="1" s="1"/>
  <c r="AH193" i="1"/>
  <c r="AH194" i="1" s="1"/>
  <c r="AH195" i="1" s="1"/>
  <c r="AH196" i="1" s="1"/>
  <c r="AH197" i="1" s="1"/>
  <c r="AH189" i="1"/>
  <c r="AH190" i="1" s="1"/>
  <c r="AH191" i="1" s="1"/>
  <c r="AH181" i="1"/>
  <c r="AH182" i="1" s="1"/>
  <c r="AH183" i="1" s="1"/>
  <c r="AH176" i="1"/>
  <c r="AH177" i="1" s="1"/>
  <c r="AH173" i="1"/>
  <c r="AH174" i="1" s="1"/>
  <c r="AH169" i="1"/>
  <c r="AH170" i="1" s="1"/>
  <c r="AH171" i="1" s="1"/>
  <c r="AH168" i="1"/>
  <c r="AH152" i="1"/>
  <c r="AH165" i="1"/>
  <c r="AH166" i="1" s="1"/>
  <c r="AH162" i="1"/>
  <c r="AH163" i="1" s="1"/>
  <c r="AH159" i="1"/>
  <c r="AH160" i="1" s="1"/>
  <c r="AH156" i="1"/>
  <c r="AH157" i="1" s="1"/>
  <c r="AH138" i="1"/>
  <c r="AH139" i="1" s="1"/>
  <c r="AH140" i="1" s="1"/>
  <c r="DJ43" i="1" l="1"/>
  <c r="DK43" i="1" s="1"/>
  <c r="DU43" i="1"/>
  <c r="DO41" i="1"/>
  <c r="FA42" i="1"/>
  <c r="FA41" i="1"/>
  <c r="EU41" i="1"/>
  <c r="FG42" i="1"/>
  <c r="FT42" i="1"/>
  <c r="DO42" i="1"/>
  <c r="EO41" i="1"/>
  <c r="CV41" i="1"/>
  <c r="EO42" i="1"/>
  <c r="FM42" i="1"/>
  <c r="FM43" i="1"/>
  <c r="EU42" i="1"/>
  <c r="EO43" i="1"/>
  <c r="EU43" i="1"/>
  <c r="FM41" i="1"/>
  <c r="FT41" i="1"/>
  <c r="FG41" i="1"/>
  <c r="CV42" i="1"/>
  <c r="FA43" i="1"/>
  <c r="CV43" i="1"/>
  <c r="FT43" i="1"/>
  <c r="FG43" i="1"/>
  <c r="DO43" i="1"/>
  <c r="AH271" i="1"/>
  <c r="I73" i="1"/>
  <c r="J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I74" i="1"/>
  <c r="J74" i="1"/>
  <c r="CN74" i="1" s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Z74" i="1"/>
  <c r="DB74" i="1"/>
  <c r="DN74" i="1"/>
  <c r="EA74" i="1"/>
  <c r="EC74" i="1"/>
  <c r="FF74" i="1"/>
  <c r="FL74" i="1"/>
  <c r="FS74" i="1"/>
  <c r="I76" i="1"/>
  <c r="J76" i="1"/>
  <c r="CN76" i="1" s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Z76" i="1"/>
  <c r="DB76" i="1"/>
  <c r="DN76" i="1"/>
  <c r="EA76" i="1"/>
  <c r="EC76" i="1"/>
  <c r="FF76" i="1"/>
  <c r="FL76" i="1"/>
  <c r="FS76" i="1"/>
  <c r="AT306" i="1"/>
  <c r="AT307" i="1" s="1"/>
  <c r="AT308" i="1" s="1"/>
  <c r="AT309" i="1" s="1"/>
  <c r="AT310" i="1" s="1"/>
  <c r="AT311" i="1" s="1"/>
  <c r="AT303" i="1"/>
  <c r="AT304" i="1" s="1"/>
  <c r="AT305" i="1" s="1"/>
  <c r="AT184" i="1"/>
  <c r="AT185" i="1" s="1"/>
  <c r="AT186" i="1" s="1"/>
  <c r="AT299" i="1"/>
  <c r="AT300" i="1" s="1"/>
  <c r="AT301" i="1" s="1"/>
  <c r="AT302" i="1" s="1"/>
  <c r="AT296" i="1"/>
  <c r="AT297" i="1" s="1"/>
  <c r="AT298" i="1" s="1"/>
  <c r="AT145" i="1"/>
  <c r="AT146" i="1" s="1"/>
  <c r="AT294" i="1"/>
  <c r="AT295" i="1" s="1"/>
  <c r="AT291" i="1"/>
  <c r="AT292" i="1" s="1"/>
  <c r="AT293" i="1" s="1"/>
  <c r="AT288" i="1"/>
  <c r="AT289" i="1" s="1"/>
  <c r="AT290" i="1" s="1"/>
  <c r="AT285" i="1"/>
  <c r="AT286" i="1" s="1"/>
  <c r="AT287" i="1" s="1"/>
  <c r="AT282" i="1"/>
  <c r="AT283" i="1" s="1"/>
  <c r="AT284" i="1" s="1"/>
  <c r="AT268" i="1"/>
  <c r="AT269" i="1" s="1"/>
  <c r="AT270" i="1" s="1"/>
  <c r="AT271" i="1" s="1"/>
  <c r="AT272" i="1" s="1"/>
  <c r="AT264" i="1"/>
  <c r="AT265" i="1" s="1"/>
  <c r="AT266" i="1" s="1"/>
  <c r="AT267" i="1" s="1"/>
  <c r="AT257" i="1"/>
  <c r="AT258" i="1" s="1"/>
  <c r="AT259" i="1" s="1"/>
  <c r="AT260" i="1" s="1"/>
  <c r="AT261" i="1" s="1"/>
  <c r="AT262" i="1" s="1"/>
  <c r="AT263" i="1" s="1"/>
  <c r="AT254" i="1"/>
  <c r="AT255" i="1" s="1"/>
  <c r="AT256" i="1" s="1"/>
  <c r="AT250" i="1"/>
  <c r="AT251" i="1" s="1"/>
  <c r="AT252" i="1" s="1"/>
  <c r="AT253" i="1" s="1"/>
  <c r="AT243" i="1"/>
  <c r="AT244" i="1" s="1"/>
  <c r="AT245" i="1" s="1"/>
  <c r="AT246" i="1" s="1"/>
  <c r="AT247" i="1" s="1"/>
  <c r="AT231" i="1"/>
  <c r="AT232" i="1" s="1"/>
  <c r="AT233" i="1" s="1"/>
  <c r="AT234" i="1" s="1"/>
  <c r="AT235" i="1" s="1"/>
  <c r="AT224" i="1"/>
  <c r="AT225" i="1" s="1"/>
  <c r="AT226" i="1" s="1"/>
  <c r="AT227" i="1" s="1"/>
  <c r="AT228" i="1" s="1"/>
  <c r="AT229" i="1" s="1"/>
  <c r="AT220" i="1"/>
  <c r="AT221" i="1" s="1"/>
  <c r="AT222" i="1" s="1"/>
  <c r="AT198" i="1"/>
  <c r="AT199" i="1" s="1"/>
  <c r="AT200" i="1" s="1"/>
  <c r="AT201" i="1" s="1"/>
  <c r="AT192" i="1"/>
  <c r="AT193" i="1" s="1"/>
  <c r="AT194" i="1" s="1"/>
  <c r="AT195" i="1" s="1"/>
  <c r="AT196" i="1" s="1"/>
  <c r="AT197" i="1" s="1"/>
  <c r="AT62" i="1"/>
  <c r="AT63" i="1" s="1"/>
  <c r="AT64" i="1" s="1"/>
  <c r="AT65" i="1" s="1"/>
  <c r="AT188" i="1"/>
  <c r="AT189" i="1" s="1"/>
  <c r="AT190" i="1" s="1"/>
  <c r="AT191" i="1" s="1"/>
  <c r="AT181" i="1"/>
  <c r="AT182" i="1" s="1"/>
  <c r="AT183" i="1" s="1"/>
  <c r="AT175" i="1"/>
  <c r="AT176" i="1" s="1"/>
  <c r="AT177" i="1" s="1"/>
  <c r="AT172" i="1"/>
  <c r="AT173" i="1" s="1"/>
  <c r="AT174" i="1" s="1"/>
  <c r="AT169" i="1"/>
  <c r="AT170" i="1" s="1"/>
  <c r="AT171" i="1" s="1"/>
  <c r="AT167" i="1"/>
  <c r="AT168" i="1" s="1"/>
  <c r="AT152" i="1"/>
  <c r="AT164" i="1"/>
  <c r="AT165" i="1" s="1"/>
  <c r="AT166" i="1" s="1"/>
  <c r="AT158" i="1"/>
  <c r="AT159" i="1" s="1"/>
  <c r="AT160" i="1" s="1"/>
  <c r="AT156" i="1"/>
  <c r="AT157" i="1" s="1"/>
  <c r="AT139" i="1"/>
  <c r="AT140" i="1" s="1"/>
  <c r="AT133" i="1"/>
  <c r="AT135" i="1" s="1"/>
  <c r="AT136" i="1" s="1"/>
  <c r="AT277" i="1"/>
  <c r="AT278" i="1" s="1"/>
  <c r="AT279" i="1" s="1"/>
  <c r="AT280" i="1" s="1"/>
  <c r="AT274" i="1"/>
  <c r="AT275" i="1" s="1"/>
  <c r="AT237" i="1"/>
  <c r="AT238" i="1" s="1"/>
  <c r="AT239" i="1" s="1"/>
  <c r="AT240" i="1" s="1"/>
  <c r="AT241" i="1" s="1"/>
  <c r="AT242" i="1" s="1"/>
  <c r="AT215" i="1"/>
  <c r="AT216" i="1" s="1"/>
  <c r="AT217" i="1" s="1"/>
  <c r="AT218" i="1" s="1"/>
  <c r="AT203" i="1"/>
  <c r="AT204" i="1" s="1"/>
  <c r="AT205" i="1" s="1"/>
  <c r="AT206" i="1" s="1"/>
  <c r="AT207" i="1" s="1"/>
  <c r="AT208" i="1" s="1"/>
  <c r="AT162" i="1"/>
  <c r="AT163" i="1" s="1"/>
  <c r="AT128" i="1"/>
  <c r="AT129" i="1" s="1"/>
  <c r="AT130" i="1" s="1"/>
  <c r="AT131" i="1" s="1"/>
  <c r="AT123" i="1"/>
  <c r="AT124" i="1" s="1"/>
  <c r="AT125" i="1" s="1"/>
  <c r="AT126" i="1" s="1"/>
  <c r="AT115" i="1"/>
  <c r="AT116" i="1" s="1"/>
  <c r="AT117" i="1" s="1"/>
  <c r="AT118" i="1" s="1"/>
  <c r="AT119" i="1" s="1"/>
  <c r="AT120" i="1" s="1"/>
  <c r="AT121" i="1" s="1"/>
  <c r="AT111" i="1"/>
  <c r="AT112" i="1" s="1"/>
  <c r="AT113" i="1" s="1"/>
  <c r="AT102" i="1"/>
  <c r="AT103" i="1" s="1"/>
  <c r="AT104" i="1" s="1"/>
  <c r="AT105" i="1" s="1"/>
  <c r="AT106" i="1" s="1"/>
  <c r="AT107" i="1" s="1"/>
  <c r="AT108" i="1" s="1"/>
  <c r="AT109" i="1" s="1"/>
  <c r="AT98" i="1"/>
  <c r="AT99" i="1" s="1"/>
  <c r="AT100" i="1" s="1"/>
  <c r="AT92" i="1"/>
  <c r="AT93" i="1" s="1"/>
  <c r="AT94" i="1" s="1"/>
  <c r="AT95" i="1" s="1"/>
  <c r="AT96" i="1" s="1"/>
  <c r="AT88" i="1"/>
  <c r="AT89" i="1" s="1"/>
  <c r="AT90" i="1" s="1"/>
  <c r="AT82" i="1"/>
  <c r="AT83" i="1" s="1"/>
  <c r="AT84" i="1" s="1"/>
  <c r="AT85" i="1" s="1"/>
  <c r="AT86" i="1" s="1"/>
  <c r="AT78" i="1"/>
  <c r="AT79" i="1" s="1"/>
  <c r="AT80" i="1" s="1"/>
  <c r="AT72" i="1"/>
  <c r="AT73" i="1" s="1"/>
  <c r="AT67" i="1"/>
  <c r="AT68" i="1" s="1"/>
  <c r="AT70" i="1" s="1"/>
  <c r="B114" i="1"/>
  <c r="Y114" i="1"/>
  <c r="Z114" i="1"/>
  <c r="Z121" i="1" s="1"/>
  <c r="I121" i="1" s="1"/>
  <c r="AO114" i="1"/>
  <c r="AZ114" i="1"/>
  <c r="AZ115" i="1" s="1"/>
  <c r="AZ116" i="1" s="1"/>
  <c r="AZ117" i="1" s="1"/>
  <c r="AZ118" i="1" s="1"/>
  <c r="AZ119" i="1" s="1"/>
  <c r="AZ120" i="1" s="1"/>
  <c r="AZ121" i="1" s="1"/>
  <c r="BC114" i="1"/>
  <c r="C115" i="1"/>
  <c r="C117" i="1" s="1"/>
  <c r="C121" i="1" s="1"/>
  <c r="I115" i="1"/>
  <c r="J115" i="1"/>
  <c r="H114" i="1" s="1"/>
  <c r="AI115" i="1"/>
  <c r="AI116" i="1" s="1"/>
  <c r="AI117" i="1" s="1"/>
  <c r="AI118" i="1" s="1"/>
  <c r="AI119" i="1" s="1"/>
  <c r="AI120" i="1" s="1"/>
  <c r="AI121" i="1" s="1"/>
  <c r="AJ115" i="1"/>
  <c r="AJ116" i="1" s="1"/>
  <c r="AJ117" i="1" s="1"/>
  <c r="AJ118" i="1" s="1"/>
  <c r="AJ119" i="1" s="1"/>
  <c r="AJ120" i="1" s="1"/>
  <c r="AJ121" i="1" s="1"/>
  <c r="AL115" i="1"/>
  <c r="AL116" i="1" s="1"/>
  <c r="AL117" i="1" s="1"/>
  <c r="AL118" i="1" s="1"/>
  <c r="AL119" i="1" s="1"/>
  <c r="AL120" i="1" s="1"/>
  <c r="AL121" i="1" s="1"/>
  <c r="AN115" i="1"/>
  <c r="AO115" i="1" s="1"/>
  <c r="AP115" i="1"/>
  <c r="AP116" i="1" s="1"/>
  <c r="AP117" i="1" s="1"/>
  <c r="AP118" i="1" s="1"/>
  <c r="AP119" i="1" s="1"/>
  <c r="AP120" i="1" s="1"/>
  <c r="AP121" i="1" s="1"/>
  <c r="AQ115" i="1"/>
  <c r="AQ116" i="1" s="1"/>
  <c r="AQ117" i="1" s="1"/>
  <c r="AQ118" i="1" s="1"/>
  <c r="AQ119" i="1" s="1"/>
  <c r="AR115" i="1"/>
  <c r="AR116" i="1" s="1"/>
  <c r="AR117" i="1" s="1"/>
  <c r="AR118" i="1" s="1"/>
  <c r="AR119" i="1" s="1"/>
  <c r="AR120" i="1" s="1"/>
  <c r="AR121" i="1" s="1"/>
  <c r="AS115" i="1"/>
  <c r="AU115" i="1"/>
  <c r="AU116" i="1" s="1"/>
  <c r="AU117" i="1" s="1"/>
  <c r="AV115" i="1"/>
  <c r="AV116" i="1" s="1"/>
  <c r="AV117" i="1" s="1"/>
  <c r="AV118" i="1" s="1"/>
  <c r="AV119" i="1" s="1"/>
  <c r="AV120" i="1" s="1"/>
  <c r="AV121" i="1" s="1"/>
  <c r="AW115" i="1"/>
  <c r="AW116" i="1" s="1"/>
  <c r="AW117" i="1" s="1"/>
  <c r="AW118" i="1" s="1"/>
  <c r="AW119" i="1" s="1"/>
  <c r="AW120" i="1" s="1"/>
  <c r="AW121" i="1" s="1"/>
  <c r="AX115" i="1"/>
  <c r="AX116" i="1" s="1"/>
  <c r="AX117" i="1" s="1"/>
  <c r="AX118" i="1" s="1"/>
  <c r="AX119" i="1" s="1"/>
  <c r="AX120" i="1" s="1"/>
  <c r="AX121" i="1" s="1"/>
  <c r="AY115" i="1"/>
  <c r="AY116" i="1" s="1"/>
  <c r="AY117" i="1" s="1"/>
  <c r="AY118" i="1" s="1"/>
  <c r="AY119" i="1" s="1"/>
  <c r="AY120" i="1" s="1"/>
  <c r="AY121" i="1" s="1"/>
  <c r="BA115" i="1"/>
  <c r="BA116" i="1" s="1"/>
  <c r="BA117" i="1" s="1"/>
  <c r="BA118" i="1" s="1"/>
  <c r="BA119" i="1" s="1"/>
  <c r="BA120" i="1" s="1"/>
  <c r="BA121" i="1" s="1"/>
  <c r="BB115" i="1"/>
  <c r="BB116" i="1" s="1"/>
  <c r="BB117" i="1" s="1"/>
  <c r="BB118" i="1" s="1"/>
  <c r="BB119" i="1" s="1"/>
  <c r="BB120" i="1" s="1"/>
  <c r="BB121" i="1" s="1"/>
  <c r="C116" i="1"/>
  <c r="C120" i="1" s="1"/>
  <c r="I116" i="1"/>
  <c r="J116" i="1"/>
  <c r="I117" i="1"/>
  <c r="J117" i="1"/>
  <c r="C118" i="1"/>
  <c r="I118" i="1"/>
  <c r="J118" i="1"/>
  <c r="B122" i="1"/>
  <c r="Z122" i="1"/>
  <c r="AO122" i="1"/>
  <c r="BC122" i="1"/>
  <c r="C123" i="1"/>
  <c r="C125" i="1" s="1"/>
  <c r="I123" i="1"/>
  <c r="J123" i="1"/>
  <c r="AI123" i="1"/>
  <c r="AI124" i="1" s="1"/>
  <c r="AI125" i="1" s="1"/>
  <c r="AI126" i="1" s="1"/>
  <c r="AJ123" i="1"/>
  <c r="AJ124" i="1" s="1"/>
  <c r="AJ125" i="1" s="1"/>
  <c r="AJ126" i="1" s="1"/>
  <c r="AL123" i="1"/>
  <c r="AL124" i="1" s="1"/>
  <c r="AL125" i="1" s="1"/>
  <c r="AL126" i="1" s="1"/>
  <c r="AN123" i="1"/>
  <c r="AP123" i="1"/>
  <c r="AP124" i="1" s="1"/>
  <c r="AP125" i="1" s="1"/>
  <c r="AP126" i="1" s="1"/>
  <c r="AQ123" i="1"/>
  <c r="AQ124" i="1" s="1"/>
  <c r="AQ125" i="1" s="1"/>
  <c r="AR123" i="1"/>
  <c r="AR124" i="1" s="1"/>
  <c r="AR125" i="1" s="1"/>
  <c r="AR126" i="1" s="1"/>
  <c r="AS123" i="1"/>
  <c r="AU123" i="1"/>
  <c r="AU124" i="1" s="1"/>
  <c r="AU125" i="1" s="1"/>
  <c r="AU126" i="1" s="1"/>
  <c r="AV123" i="1"/>
  <c r="AV124" i="1" s="1"/>
  <c r="AV125" i="1" s="1"/>
  <c r="AV126" i="1" s="1"/>
  <c r="AW123" i="1"/>
  <c r="AW124" i="1" s="1"/>
  <c r="AW125" i="1" s="1"/>
  <c r="AW126" i="1" s="1"/>
  <c r="AX123" i="1"/>
  <c r="AX124" i="1" s="1"/>
  <c r="AX125" i="1" s="1"/>
  <c r="AX126" i="1" s="1"/>
  <c r="AY123" i="1"/>
  <c r="AY124" i="1" s="1"/>
  <c r="AY125" i="1" s="1"/>
  <c r="AY126" i="1" s="1"/>
  <c r="AZ123" i="1"/>
  <c r="AZ124" i="1" s="1"/>
  <c r="AZ125" i="1" s="1"/>
  <c r="AZ126" i="1" s="1"/>
  <c r="BA123" i="1"/>
  <c r="BA124" i="1" s="1"/>
  <c r="BA125" i="1" s="1"/>
  <c r="BA126" i="1" s="1"/>
  <c r="BB123" i="1"/>
  <c r="BB124" i="1" s="1"/>
  <c r="BB125" i="1" s="1"/>
  <c r="BB126" i="1" s="1"/>
  <c r="C124" i="1"/>
  <c r="C126" i="1" s="1"/>
  <c r="I124" i="1"/>
  <c r="J124" i="1"/>
  <c r="I125" i="1"/>
  <c r="J125" i="1"/>
  <c r="I126" i="1"/>
  <c r="J126" i="1"/>
  <c r="B127" i="1"/>
  <c r="AO127" i="1"/>
  <c r="AZ127" i="1"/>
  <c r="AZ128" i="1" s="1"/>
  <c r="AZ129" i="1" s="1"/>
  <c r="AZ130" i="1" s="1"/>
  <c r="AZ131" i="1" s="1"/>
  <c r="BC127" i="1"/>
  <c r="C128" i="1"/>
  <c r="C129" i="1" s="1"/>
  <c r="C130" i="1" s="1"/>
  <c r="C131" i="1" s="1"/>
  <c r="I128" i="1"/>
  <c r="J128" i="1"/>
  <c r="AI128" i="1"/>
  <c r="AI129" i="1" s="1"/>
  <c r="AI130" i="1" s="1"/>
  <c r="AI131" i="1" s="1"/>
  <c r="AJ128" i="1"/>
  <c r="AJ129" i="1" s="1"/>
  <c r="AJ130" i="1" s="1"/>
  <c r="AJ131" i="1" s="1"/>
  <c r="AL128" i="1"/>
  <c r="AL129" i="1" s="1"/>
  <c r="AL130" i="1" s="1"/>
  <c r="AL131" i="1" s="1"/>
  <c r="AN128" i="1"/>
  <c r="AO128" i="1" s="1"/>
  <c r="AP128" i="1"/>
  <c r="AP129" i="1" s="1"/>
  <c r="AP130" i="1" s="1"/>
  <c r="AP131" i="1" s="1"/>
  <c r="AQ128" i="1"/>
  <c r="AQ129" i="1" s="1"/>
  <c r="AQ130" i="1" s="1"/>
  <c r="AQ131" i="1" s="1"/>
  <c r="AR128" i="1"/>
  <c r="AR129" i="1" s="1"/>
  <c r="AR130" i="1" s="1"/>
  <c r="AR131" i="1" s="1"/>
  <c r="AS128" i="1"/>
  <c r="AU128" i="1"/>
  <c r="AU129" i="1" s="1"/>
  <c r="AV128" i="1"/>
  <c r="AV129" i="1" s="1"/>
  <c r="AV130" i="1" s="1"/>
  <c r="AV131" i="1" s="1"/>
  <c r="AW128" i="1"/>
  <c r="AW129" i="1" s="1"/>
  <c r="AW130" i="1" s="1"/>
  <c r="AW131" i="1" s="1"/>
  <c r="AX128" i="1"/>
  <c r="AX129" i="1" s="1"/>
  <c r="AX130" i="1" s="1"/>
  <c r="AX131" i="1" s="1"/>
  <c r="AY128" i="1"/>
  <c r="AY129" i="1" s="1"/>
  <c r="AY130" i="1" s="1"/>
  <c r="AY131" i="1" s="1"/>
  <c r="BA128" i="1"/>
  <c r="BA129" i="1" s="1"/>
  <c r="BA130" i="1" s="1"/>
  <c r="BA131" i="1" s="1"/>
  <c r="BB128" i="1"/>
  <c r="BB129" i="1" s="1"/>
  <c r="BB130" i="1" s="1"/>
  <c r="BB131" i="1" s="1"/>
  <c r="I129" i="1"/>
  <c r="J129" i="1"/>
  <c r="I130" i="1"/>
  <c r="J130" i="1"/>
  <c r="I131" i="1"/>
  <c r="J131" i="1"/>
  <c r="B132" i="1"/>
  <c r="AO132" i="1"/>
  <c r="BC132" i="1"/>
  <c r="C133" i="1"/>
  <c r="C135" i="1" s="1"/>
  <c r="C136" i="1" s="1"/>
  <c r="I133" i="1"/>
  <c r="J133" i="1"/>
  <c r="AI133" i="1"/>
  <c r="AI135" i="1" s="1"/>
  <c r="AI136" i="1" s="1"/>
  <c r="AJ133" i="1"/>
  <c r="AJ135" i="1" s="1"/>
  <c r="AJ136" i="1" s="1"/>
  <c r="AL133" i="1"/>
  <c r="AL135" i="1" s="1"/>
  <c r="AL136" i="1" s="1"/>
  <c r="AN133" i="1"/>
  <c r="AO133" i="1" s="1"/>
  <c r="AP133" i="1"/>
  <c r="AP135" i="1" s="1"/>
  <c r="AP136" i="1" s="1"/>
  <c r="AQ133" i="1"/>
  <c r="AQ135" i="1" s="1"/>
  <c r="AQ136" i="1" s="1"/>
  <c r="AR133" i="1"/>
  <c r="AR135" i="1" s="1"/>
  <c r="AR136" i="1" s="1"/>
  <c r="AS133" i="1"/>
  <c r="AU133" i="1"/>
  <c r="AU135" i="1" s="1"/>
  <c r="AV133" i="1"/>
  <c r="AV135" i="1" s="1"/>
  <c r="AV136" i="1" s="1"/>
  <c r="AW133" i="1"/>
  <c r="AW135" i="1" s="1"/>
  <c r="AW136" i="1" s="1"/>
  <c r="AX133" i="1"/>
  <c r="AX135" i="1" s="1"/>
  <c r="AX136" i="1" s="1"/>
  <c r="AY133" i="1"/>
  <c r="AY135" i="1" s="1"/>
  <c r="AY136" i="1" s="1"/>
  <c r="AZ133" i="1"/>
  <c r="AZ135" i="1" s="1"/>
  <c r="AZ136" i="1" s="1"/>
  <c r="BA133" i="1"/>
  <c r="BA135" i="1" s="1"/>
  <c r="BA136" i="1" s="1"/>
  <c r="BB133" i="1"/>
  <c r="BB135" i="1" s="1"/>
  <c r="BB136" i="1" s="1"/>
  <c r="C134" i="1"/>
  <c r="I134" i="1"/>
  <c r="J134" i="1"/>
  <c r="AI134" i="1"/>
  <c r="AJ134" i="1"/>
  <c r="AL134" i="1"/>
  <c r="AN134" i="1"/>
  <c r="AO134" i="1" s="1"/>
  <c r="AP134" i="1"/>
  <c r="AQ134" i="1"/>
  <c r="AR134" i="1"/>
  <c r="AS134" i="1"/>
  <c r="AU134" i="1"/>
  <c r="AV134" i="1"/>
  <c r="AW134" i="1"/>
  <c r="AX134" i="1"/>
  <c r="AY134" i="1"/>
  <c r="AZ134" i="1"/>
  <c r="BA134" i="1"/>
  <c r="BB134" i="1"/>
  <c r="I135" i="1"/>
  <c r="J135" i="1"/>
  <c r="I136" i="1"/>
  <c r="J136" i="1"/>
  <c r="Y137" i="1"/>
  <c r="Z137" i="1"/>
  <c r="B138" i="1"/>
  <c r="AI138" i="1"/>
  <c r="AI139" i="1" s="1"/>
  <c r="AI140" i="1" s="1"/>
  <c r="AO138" i="1"/>
  <c r="AZ138" i="1"/>
  <c r="AZ139" i="1" s="1"/>
  <c r="AZ140" i="1" s="1"/>
  <c r="BC138" i="1"/>
  <c r="C139" i="1"/>
  <c r="C140" i="1" s="1"/>
  <c r="I139" i="1"/>
  <c r="J139" i="1"/>
  <c r="H138" i="1" s="1"/>
  <c r="AJ139" i="1"/>
  <c r="AJ140" i="1" s="1"/>
  <c r="AL139" i="1"/>
  <c r="AL140" i="1" s="1"/>
  <c r="AN139" i="1"/>
  <c r="AP139" i="1"/>
  <c r="AP140" i="1" s="1"/>
  <c r="AQ139" i="1"/>
  <c r="AQ140" i="1" s="1"/>
  <c r="AR139" i="1"/>
  <c r="AR140" i="1" s="1"/>
  <c r="AS139" i="1"/>
  <c r="AU139" i="1"/>
  <c r="AU140" i="1" s="1"/>
  <c r="AV139" i="1"/>
  <c r="AV140" i="1" s="1"/>
  <c r="AW139" i="1"/>
  <c r="AW140" i="1" s="1"/>
  <c r="AX139" i="1"/>
  <c r="AX140" i="1" s="1"/>
  <c r="AY139" i="1"/>
  <c r="AY140" i="1" s="1"/>
  <c r="BA139" i="1"/>
  <c r="BA140" i="1" s="1"/>
  <c r="BB139" i="1"/>
  <c r="BB140" i="1" s="1"/>
  <c r="I140" i="1"/>
  <c r="J140" i="1"/>
  <c r="B155" i="1"/>
  <c r="AO155" i="1"/>
  <c r="BC155" i="1"/>
  <c r="C156" i="1"/>
  <c r="I156" i="1"/>
  <c r="J156" i="1"/>
  <c r="AI156" i="1"/>
  <c r="AI157" i="1" s="1"/>
  <c r="AJ156" i="1"/>
  <c r="AJ157" i="1" s="1"/>
  <c r="AL156" i="1"/>
  <c r="AL157" i="1" s="1"/>
  <c r="AN156" i="1"/>
  <c r="AO156" i="1" s="1"/>
  <c r="AP156" i="1"/>
  <c r="AP157" i="1" s="1"/>
  <c r="AQ156" i="1"/>
  <c r="AQ157" i="1" s="1"/>
  <c r="AR156" i="1"/>
  <c r="AR157" i="1" s="1"/>
  <c r="AS156" i="1"/>
  <c r="AU156" i="1"/>
  <c r="AU157" i="1" s="1"/>
  <c r="AV156" i="1"/>
  <c r="AV157" i="1" s="1"/>
  <c r="AW156" i="1"/>
  <c r="AW157" i="1" s="1"/>
  <c r="AX156" i="1"/>
  <c r="AX157" i="1" s="1"/>
  <c r="AY156" i="1"/>
  <c r="AY157" i="1" s="1"/>
  <c r="AZ156" i="1"/>
  <c r="AZ157" i="1" s="1"/>
  <c r="BA156" i="1"/>
  <c r="BA157" i="1" s="1"/>
  <c r="BB156" i="1"/>
  <c r="BB157" i="1" s="1"/>
  <c r="C157" i="1"/>
  <c r="I157" i="1"/>
  <c r="J157" i="1"/>
  <c r="B158" i="1"/>
  <c r="AO158" i="1"/>
  <c r="AZ158" i="1"/>
  <c r="AZ159" i="1" s="1"/>
  <c r="AZ160" i="1" s="1"/>
  <c r="BC158" i="1"/>
  <c r="C159" i="1"/>
  <c r="C160" i="1" s="1"/>
  <c r="AI159" i="1"/>
  <c r="AI160" i="1" s="1"/>
  <c r="AJ159" i="1"/>
  <c r="AJ160" i="1" s="1"/>
  <c r="AN159" i="1"/>
  <c r="AN160" i="1" s="1"/>
  <c r="AO160" i="1" s="1"/>
  <c r="AP159" i="1"/>
  <c r="AP160" i="1" s="1"/>
  <c r="AQ159" i="1"/>
  <c r="AQ160" i="1" s="1"/>
  <c r="AR159" i="1"/>
  <c r="AR160" i="1" s="1"/>
  <c r="AS159" i="1"/>
  <c r="AU159" i="1"/>
  <c r="AU160" i="1" s="1"/>
  <c r="AV159" i="1"/>
  <c r="AV160" i="1" s="1"/>
  <c r="AW159" i="1"/>
  <c r="AW160" i="1" s="1"/>
  <c r="AX159" i="1"/>
  <c r="AX160" i="1" s="1"/>
  <c r="AY159" i="1"/>
  <c r="AY160" i="1" s="1"/>
  <c r="BA159" i="1"/>
  <c r="BA160" i="1" s="1"/>
  <c r="BB159" i="1"/>
  <c r="BB160" i="1" s="1"/>
  <c r="I160" i="1"/>
  <c r="J160" i="1"/>
  <c r="B161" i="1"/>
  <c r="AO161" i="1"/>
  <c r="AZ161" i="1"/>
  <c r="AZ162" i="1" s="1"/>
  <c r="AZ163" i="1" s="1"/>
  <c r="BC161" i="1"/>
  <c r="C162" i="1"/>
  <c r="C163" i="1" s="1"/>
  <c r="AI162" i="1"/>
  <c r="AJ162" i="1"/>
  <c r="AJ163" i="1" s="1"/>
  <c r="AL162" i="1"/>
  <c r="AL163" i="1" s="1"/>
  <c r="AN162" i="1"/>
  <c r="AP162" i="1"/>
  <c r="AP163" i="1" s="1"/>
  <c r="AQ162" i="1"/>
  <c r="AQ163" i="1" s="1"/>
  <c r="AR162" i="1"/>
  <c r="AR163" i="1" s="1"/>
  <c r="AS162" i="1"/>
  <c r="AU162" i="1"/>
  <c r="AU163" i="1" s="1"/>
  <c r="AV162" i="1"/>
  <c r="AV163" i="1" s="1"/>
  <c r="AW162" i="1"/>
  <c r="AW163" i="1" s="1"/>
  <c r="AX162" i="1"/>
  <c r="AX163" i="1" s="1"/>
  <c r="AY162" i="1"/>
  <c r="AY163" i="1" s="1"/>
  <c r="BA162" i="1"/>
  <c r="BA163" i="1" s="1"/>
  <c r="BB162" i="1"/>
  <c r="BB163" i="1" s="1"/>
  <c r="B164" i="1"/>
  <c r="AO164" i="1"/>
  <c r="AZ164" i="1"/>
  <c r="AZ165" i="1" s="1"/>
  <c r="AZ166" i="1" s="1"/>
  <c r="BC164" i="1"/>
  <c r="C165" i="1"/>
  <c r="C166" i="1" s="1"/>
  <c r="AI165" i="1"/>
  <c r="AJ165" i="1"/>
  <c r="AJ166" i="1" s="1"/>
  <c r="AL165" i="1"/>
  <c r="AL166" i="1" s="1"/>
  <c r="AN165" i="1"/>
  <c r="AO165" i="1" s="1"/>
  <c r="AP165" i="1"/>
  <c r="AP166" i="1" s="1"/>
  <c r="AQ165" i="1"/>
  <c r="AQ166" i="1" s="1"/>
  <c r="AR165" i="1"/>
  <c r="AR166" i="1" s="1"/>
  <c r="AS165" i="1"/>
  <c r="AU165" i="1"/>
  <c r="AV165" i="1"/>
  <c r="AV166" i="1" s="1"/>
  <c r="AW165" i="1"/>
  <c r="AW166" i="1" s="1"/>
  <c r="AX165" i="1"/>
  <c r="AX166" i="1" s="1"/>
  <c r="AY165" i="1"/>
  <c r="AY166" i="1" s="1"/>
  <c r="BA165" i="1"/>
  <c r="BA166" i="1" s="1"/>
  <c r="BB165" i="1"/>
  <c r="BB166" i="1" s="1"/>
  <c r="B151" i="1"/>
  <c r="AI152" i="1"/>
  <c r="AO151" i="1"/>
  <c r="AZ152" i="1"/>
  <c r="C152" i="1"/>
  <c r="AJ152" i="1"/>
  <c r="AL152" i="1"/>
  <c r="AN152" i="1"/>
  <c r="AO152" i="1" s="1"/>
  <c r="AP152" i="1"/>
  <c r="AQ152" i="1"/>
  <c r="AR152" i="1"/>
  <c r="AS152" i="1"/>
  <c r="GA152" i="1" s="1"/>
  <c r="AV152" i="1"/>
  <c r="AW152" i="1"/>
  <c r="AX152" i="1"/>
  <c r="AU152" i="1" s="1"/>
  <c r="AY152" i="1"/>
  <c r="BA152" i="1"/>
  <c r="BB152" i="1"/>
  <c r="B167" i="1"/>
  <c r="AO167" i="1"/>
  <c r="BC167" i="1"/>
  <c r="C168" i="1"/>
  <c r="AI168" i="1"/>
  <c r="AJ168" i="1"/>
  <c r="AL168" i="1"/>
  <c r="AN168" i="1"/>
  <c r="AO168" i="1" s="1"/>
  <c r="AP168" i="1"/>
  <c r="AQ168" i="1"/>
  <c r="AR168" i="1"/>
  <c r="AS168" i="1"/>
  <c r="AU168" i="1"/>
  <c r="AV168" i="1"/>
  <c r="AW168" i="1"/>
  <c r="AX168" i="1"/>
  <c r="AY168" i="1"/>
  <c r="AZ168" i="1"/>
  <c r="BA168" i="1"/>
  <c r="BB168" i="1"/>
  <c r="B169" i="1"/>
  <c r="AI169" i="1"/>
  <c r="AI170" i="1" s="1"/>
  <c r="AI171" i="1" s="1"/>
  <c r="AO169" i="1"/>
  <c r="AZ169" i="1"/>
  <c r="AZ170" i="1" s="1"/>
  <c r="AZ171" i="1" s="1"/>
  <c r="BC169" i="1"/>
  <c r="C170" i="1"/>
  <c r="C171" i="1" s="1"/>
  <c r="AJ170" i="1"/>
  <c r="AJ171" i="1" s="1"/>
  <c r="AL170" i="1"/>
  <c r="AL171" i="1" s="1"/>
  <c r="AN170" i="1"/>
  <c r="AO170" i="1" s="1"/>
  <c r="AP170" i="1"/>
  <c r="AP171" i="1" s="1"/>
  <c r="AQ170" i="1"/>
  <c r="AQ171" i="1" s="1"/>
  <c r="AR170" i="1"/>
  <c r="AR171" i="1" s="1"/>
  <c r="AS170" i="1"/>
  <c r="AU170" i="1"/>
  <c r="AU171" i="1" s="1"/>
  <c r="AV170" i="1"/>
  <c r="AV171" i="1" s="1"/>
  <c r="AW170" i="1"/>
  <c r="AW171" i="1" s="1"/>
  <c r="AX170" i="1"/>
  <c r="AX171" i="1" s="1"/>
  <c r="AY170" i="1"/>
  <c r="AY171" i="1" s="1"/>
  <c r="BA170" i="1"/>
  <c r="BA171" i="1" s="1"/>
  <c r="BB170" i="1"/>
  <c r="BB171" i="1" s="1"/>
  <c r="B172" i="1"/>
  <c r="AO172" i="1"/>
  <c r="AZ172" i="1"/>
  <c r="AZ173" i="1" s="1"/>
  <c r="AZ174" i="1" s="1"/>
  <c r="BC172" i="1"/>
  <c r="C173" i="1"/>
  <c r="C174" i="1" s="1"/>
  <c r="AI173" i="1"/>
  <c r="AJ173" i="1"/>
  <c r="AJ174" i="1" s="1"/>
  <c r="AL173" i="1"/>
  <c r="AL174" i="1" s="1"/>
  <c r="AN173" i="1"/>
  <c r="AO173" i="1" s="1"/>
  <c r="AP173" i="1"/>
  <c r="AP174" i="1" s="1"/>
  <c r="AQ173" i="1"/>
  <c r="AR173" i="1"/>
  <c r="AR174" i="1" s="1"/>
  <c r="AS173" i="1"/>
  <c r="AU173" i="1"/>
  <c r="AU174" i="1" s="1"/>
  <c r="AV173" i="1"/>
  <c r="AV174" i="1" s="1"/>
  <c r="AW173" i="1"/>
  <c r="AW174" i="1" s="1"/>
  <c r="AX173" i="1"/>
  <c r="AX174" i="1" s="1"/>
  <c r="AY173" i="1"/>
  <c r="AY174" i="1" s="1"/>
  <c r="BA173" i="1"/>
  <c r="BA174" i="1" s="1"/>
  <c r="BB173" i="1"/>
  <c r="BB174" i="1" s="1"/>
  <c r="B175" i="1"/>
  <c r="AO175" i="1"/>
  <c r="AZ175" i="1"/>
  <c r="AZ176" i="1" s="1"/>
  <c r="AZ177" i="1" s="1"/>
  <c r="BC175" i="1"/>
  <c r="C176" i="1"/>
  <c r="C177" i="1" s="1"/>
  <c r="AI176" i="1"/>
  <c r="AJ176" i="1"/>
  <c r="AJ177" i="1" s="1"/>
  <c r="AL176" i="1"/>
  <c r="AL177" i="1" s="1"/>
  <c r="AN176" i="1"/>
  <c r="AN177" i="1" s="1"/>
  <c r="AO177" i="1" s="1"/>
  <c r="AP176" i="1"/>
  <c r="AP177" i="1" s="1"/>
  <c r="AQ176" i="1"/>
  <c r="AQ177" i="1" s="1"/>
  <c r="AR176" i="1"/>
  <c r="AR177" i="1" s="1"/>
  <c r="AS176" i="1"/>
  <c r="AU176" i="1"/>
  <c r="AU177" i="1" s="1"/>
  <c r="AV176" i="1"/>
  <c r="AV177" i="1" s="1"/>
  <c r="AW176" i="1"/>
  <c r="AW177" i="1" s="1"/>
  <c r="AX176" i="1"/>
  <c r="AX177" i="1" s="1"/>
  <c r="AY176" i="1"/>
  <c r="AY177" i="1" s="1"/>
  <c r="BA176" i="1"/>
  <c r="BA177" i="1" s="1"/>
  <c r="BB176" i="1"/>
  <c r="BB177" i="1" s="1"/>
  <c r="B181" i="1"/>
  <c r="AI181" i="1"/>
  <c r="AI182" i="1" s="1"/>
  <c r="AI183" i="1" s="1"/>
  <c r="AO181" i="1"/>
  <c r="AZ181" i="1"/>
  <c r="AZ182" i="1" s="1"/>
  <c r="AZ183" i="1" s="1"/>
  <c r="BC181" i="1"/>
  <c r="C182" i="1"/>
  <c r="C183" i="1" s="1"/>
  <c r="Q182" i="1"/>
  <c r="AE182" i="1"/>
  <c r="AJ182" i="1"/>
  <c r="AJ183" i="1" s="1"/>
  <c r="AL182" i="1"/>
  <c r="AL183" i="1" s="1"/>
  <c r="AN182" i="1"/>
  <c r="AN183" i="1" s="1"/>
  <c r="AO183" i="1" s="1"/>
  <c r="AP182" i="1"/>
  <c r="AP183" i="1" s="1"/>
  <c r="AQ182" i="1"/>
  <c r="AQ183" i="1" s="1"/>
  <c r="AR182" i="1"/>
  <c r="AR183" i="1" s="1"/>
  <c r="AS182" i="1"/>
  <c r="AU182" i="1"/>
  <c r="AU183" i="1" s="1"/>
  <c r="AV182" i="1"/>
  <c r="AV183" i="1" s="1"/>
  <c r="AW182" i="1"/>
  <c r="AW183" i="1" s="1"/>
  <c r="AX182" i="1"/>
  <c r="AX183" i="1" s="1"/>
  <c r="AY182" i="1"/>
  <c r="AY183" i="1" s="1"/>
  <c r="BA182" i="1"/>
  <c r="BA183" i="1" s="1"/>
  <c r="BB182" i="1"/>
  <c r="BB183" i="1" s="1"/>
  <c r="Y187" i="1"/>
  <c r="Z187" i="1"/>
  <c r="B188" i="1"/>
  <c r="Y188" i="1"/>
  <c r="Z188" i="1"/>
  <c r="AO188" i="1"/>
  <c r="BC188" i="1"/>
  <c r="C189" i="1"/>
  <c r="C191" i="1" s="1"/>
  <c r="CN189" i="1"/>
  <c r="AI189" i="1"/>
  <c r="AI190" i="1" s="1"/>
  <c r="AI191" i="1" s="1"/>
  <c r="AJ189" i="1"/>
  <c r="AJ190" i="1" s="1"/>
  <c r="AJ191" i="1" s="1"/>
  <c r="AL189" i="1"/>
  <c r="AL190" i="1" s="1"/>
  <c r="AL191" i="1" s="1"/>
  <c r="AN189" i="1"/>
  <c r="AP189" i="1"/>
  <c r="AP190" i="1" s="1"/>
  <c r="AP191" i="1" s="1"/>
  <c r="AQ189" i="1"/>
  <c r="AQ190" i="1" s="1"/>
  <c r="AQ191" i="1" s="1"/>
  <c r="AR189" i="1"/>
  <c r="AR190" i="1" s="1"/>
  <c r="AR191" i="1" s="1"/>
  <c r="AS189" i="1"/>
  <c r="AU189" i="1"/>
  <c r="AU190" i="1" s="1"/>
  <c r="AU191" i="1" s="1"/>
  <c r="AV189" i="1"/>
  <c r="AV190" i="1" s="1"/>
  <c r="AV191" i="1" s="1"/>
  <c r="AW189" i="1"/>
  <c r="AW190" i="1" s="1"/>
  <c r="AW191" i="1" s="1"/>
  <c r="AX189" i="1"/>
  <c r="AX190" i="1" s="1"/>
  <c r="AX191" i="1" s="1"/>
  <c r="AY189" i="1"/>
  <c r="AY190" i="1" s="1"/>
  <c r="AY191" i="1" s="1"/>
  <c r="AZ189" i="1"/>
  <c r="AZ190" i="1" s="1"/>
  <c r="AZ191" i="1" s="1"/>
  <c r="BA189" i="1"/>
  <c r="BA190" i="1" s="1"/>
  <c r="BA191" i="1" s="1"/>
  <c r="BB189" i="1"/>
  <c r="BB190" i="1" s="1"/>
  <c r="BB191" i="1" s="1"/>
  <c r="C190" i="1"/>
  <c r="CN190" i="1"/>
  <c r="CN191" i="1"/>
  <c r="B62" i="1"/>
  <c r="Y62" i="1"/>
  <c r="Z62" i="1"/>
  <c r="AO62" i="1"/>
  <c r="BC62" i="1"/>
  <c r="C63" i="1"/>
  <c r="C65" i="1" s="1"/>
  <c r="AI63" i="1"/>
  <c r="AI64" i="1" s="1"/>
  <c r="AI65" i="1" s="1"/>
  <c r="AJ63" i="1"/>
  <c r="AJ64" i="1" s="1"/>
  <c r="AJ65" i="1" s="1"/>
  <c r="AL63" i="1"/>
  <c r="AL64" i="1" s="1"/>
  <c r="AL65" i="1" s="1"/>
  <c r="AN63" i="1"/>
  <c r="AN64" i="1" s="1"/>
  <c r="AP63" i="1"/>
  <c r="AP64" i="1" s="1"/>
  <c r="AP65" i="1" s="1"/>
  <c r="AQ63" i="1"/>
  <c r="AQ64" i="1" s="1"/>
  <c r="AQ65" i="1" s="1"/>
  <c r="AR63" i="1"/>
  <c r="AR64" i="1" s="1"/>
  <c r="AR65" i="1" s="1"/>
  <c r="AS63" i="1"/>
  <c r="AU63" i="1"/>
  <c r="AU64" i="1" s="1"/>
  <c r="AU65" i="1" s="1"/>
  <c r="AV63" i="1"/>
  <c r="AV64" i="1" s="1"/>
  <c r="AV65" i="1" s="1"/>
  <c r="AW63" i="1"/>
  <c r="AW64" i="1" s="1"/>
  <c r="AW65" i="1" s="1"/>
  <c r="AX63" i="1"/>
  <c r="AX64" i="1" s="1"/>
  <c r="AX65" i="1" s="1"/>
  <c r="AY63" i="1"/>
  <c r="AY64" i="1" s="1"/>
  <c r="AY65" i="1" s="1"/>
  <c r="AZ63" i="1"/>
  <c r="AZ64" i="1" s="1"/>
  <c r="AZ65" i="1" s="1"/>
  <c r="BA63" i="1"/>
  <c r="BA64" i="1" s="1"/>
  <c r="BA65" i="1" s="1"/>
  <c r="BB63" i="1"/>
  <c r="BB64" i="1" s="1"/>
  <c r="BB65" i="1" s="1"/>
  <c r="C64" i="1"/>
  <c r="B192" i="1"/>
  <c r="Y192" i="1"/>
  <c r="Z192" i="1"/>
  <c r="AO192" i="1"/>
  <c r="BC192" i="1"/>
  <c r="C193" i="1"/>
  <c r="C194" i="1" s="1"/>
  <c r="AI193" i="1"/>
  <c r="AI194" i="1" s="1"/>
  <c r="AI195" i="1" s="1"/>
  <c r="AI196" i="1" s="1"/>
  <c r="AI197" i="1" s="1"/>
  <c r="AJ193" i="1"/>
  <c r="AJ194" i="1" s="1"/>
  <c r="AJ195" i="1" s="1"/>
  <c r="AJ196" i="1" s="1"/>
  <c r="AJ197" i="1" s="1"/>
  <c r="AL193" i="1"/>
  <c r="AL194" i="1" s="1"/>
  <c r="AL195" i="1" s="1"/>
  <c r="AL196" i="1" s="1"/>
  <c r="AL197" i="1" s="1"/>
  <c r="AN193" i="1"/>
  <c r="AN194" i="1" s="1"/>
  <c r="AO194" i="1" s="1"/>
  <c r="AP193" i="1"/>
  <c r="AP194" i="1" s="1"/>
  <c r="AP195" i="1" s="1"/>
  <c r="AP196" i="1" s="1"/>
  <c r="AP197" i="1" s="1"/>
  <c r="AQ193" i="1"/>
  <c r="AQ194" i="1" s="1"/>
  <c r="AQ195" i="1" s="1"/>
  <c r="AQ196" i="1" s="1"/>
  <c r="AQ197" i="1" s="1"/>
  <c r="AR193" i="1"/>
  <c r="AR194" i="1" s="1"/>
  <c r="AR195" i="1" s="1"/>
  <c r="AR196" i="1" s="1"/>
  <c r="AR197" i="1" s="1"/>
  <c r="AS193" i="1"/>
  <c r="AU193" i="1"/>
  <c r="AU194" i="1" s="1"/>
  <c r="AV193" i="1"/>
  <c r="AV194" i="1" s="1"/>
  <c r="AV195" i="1" s="1"/>
  <c r="AV196" i="1" s="1"/>
  <c r="AV197" i="1" s="1"/>
  <c r="AW193" i="1"/>
  <c r="AW194" i="1" s="1"/>
  <c r="AW195" i="1" s="1"/>
  <c r="AW196" i="1" s="1"/>
  <c r="AW197" i="1" s="1"/>
  <c r="AX193" i="1"/>
  <c r="AX194" i="1" s="1"/>
  <c r="AX195" i="1" s="1"/>
  <c r="AX196" i="1" s="1"/>
  <c r="AX197" i="1" s="1"/>
  <c r="AY193" i="1"/>
  <c r="AY194" i="1" s="1"/>
  <c r="AY195" i="1" s="1"/>
  <c r="AY196" i="1" s="1"/>
  <c r="AY197" i="1" s="1"/>
  <c r="AZ193" i="1"/>
  <c r="AZ194" i="1" s="1"/>
  <c r="AZ195" i="1" s="1"/>
  <c r="AZ196" i="1" s="1"/>
  <c r="AZ197" i="1" s="1"/>
  <c r="BA193" i="1"/>
  <c r="BA194" i="1" s="1"/>
  <c r="BA195" i="1" s="1"/>
  <c r="BA196" i="1" s="1"/>
  <c r="BA197" i="1" s="1"/>
  <c r="BB193" i="1"/>
  <c r="BB194" i="1" s="1"/>
  <c r="BB195" i="1" s="1"/>
  <c r="BB196" i="1" s="1"/>
  <c r="BB197" i="1" s="1"/>
  <c r="I196" i="1"/>
  <c r="J196" i="1"/>
  <c r="I197" i="1"/>
  <c r="J197" i="1"/>
  <c r="B198" i="1"/>
  <c r="AO198" i="1"/>
  <c r="AZ198" i="1"/>
  <c r="AZ199" i="1" s="1"/>
  <c r="AZ200" i="1" s="1"/>
  <c r="AZ201" i="1" s="1"/>
  <c r="BC198" i="1"/>
  <c r="C199" i="1"/>
  <c r="C200" i="1" s="1"/>
  <c r="C201" i="1" s="1"/>
  <c r="AI199" i="1"/>
  <c r="AI200" i="1" s="1"/>
  <c r="AI201" i="1" s="1"/>
  <c r="AJ199" i="1"/>
  <c r="AJ200" i="1" s="1"/>
  <c r="AJ201" i="1" s="1"/>
  <c r="AL199" i="1"/>
  <c r="AL200" i="1" s="1"/>
  <c r="AL201" i="1" s="1"/>
  <c r="AN199" i="1"/>
  <c r="AN200" i="1" s="1"/>
  <c r="AP199" i="1"/>
  <c r="AP200" i="1" s="1"/>
  <c r="AP201" i="1" s="1"/>
  <c r="AQ199" i="1"/>
  <c r="AQ200" i="1" s="1"/>
  <c r="AQ201" i="1" s="1"/>
  <c r="AR199" i="1"/>
  <c r="AR200" i="1" s="1"/>
  <c r="AR201" i="1" s="1"/>
  <c r="AS199" i="1"/>
  <c r="AU199" i="1"/>
  <c r="AU200" i="1" s="1"/>
  <c r="AV199" i="1"/>
  <c r="AV200" i="1" s="1"/>
  <c r="AV201" i="1" s="1"/>
  <c r="AW199" i="1"/>
  <c r="AW200" i="1" s="1"/>
  <c r="AW201" i="1" s="1"/>
  <c r="AX199" i="1"/>
  <c r="AX200" i="1" s="1"/>
  <c r="AX201" i="1" s="1"/>
  <c r="AY199" i="1"/>
  <c r="AY200" i="1" s="1"/>
  <c r="AY201" i="1" s="1"/>
  <c r="BA199" i="1"/>
  <c r="BA200" i="1" s="1"/>
  <c r="BA201" i="1" s="1"/>
  <c r="BB199" i="1"/>
  <c r="BB200" i="1" s="1"/>
  <c r="BB201" i="1" s="1"/>
  <c r="B202" i="1"/>
  <c r="Y202" i="1"/>
  <c r="Y208" i="1" s="1"/>
  <c r="Z202" i="1"/>
  <c r="AO202" i="1"/>
  <c r="AZ202" i="1"/>
  <c r="AZ203" i="1" s="1"/>
  <c r="AZ204" i="1" s="1"/>
  <c r="AZ205" i="1" s="1"/>
  <c r="AZ206" i="1" s="1"/>
  <c r="AZ207" i="1" s="1"/>
  <c r="AZ208" i="1" s="1"/>
  <c r="BC202" i="1"/>
  <c r="AI203" i="1"/>
  <c r="AI204" i="1" s="1"/>
  <c r="AI205" i="1" s="1"/>
  <c r="AI206" i="1" s="1"/>
  <c r="AI207" i="1" s="1"/>
  <c r="AI208" i="1" s="1"/>
  <c r="AI209" i="1" s="1"/>
  <c r="AI210" i="1" s="1"/>
  <c r="AI211" i="1" s="1"/>
  <c r="AI212" i="1" s="1"/>
  <c r="AJ203" i="1"/>
  <c r="AJ204" i="1" s="1"/>
  <c r="AJ205" i="1" s="1"/>
  <c r="AJ206" i="1" s="1"/>
  <c r="AJ207" i="1" s="1"/>
  <c r="AJ208" i="1" s="1"/>
  <c r="AL203" i="1"/>
  <c r="AL204" i="1" s="1"/>
  <c r="AL205" i="1" s="1"/>
  <c r="AL206" i="1" s="1"/>
  <c r="AL207" i="1" s="1"/>
  <c r="AL208" i="1" s="1"/>
  <c r="AN203" i="1"/>
  <c r="AO203" i="1" s="1"/>
  <c r="AP203" i="1"/>
  <c r="AP204" i="1" s="1"/>
  <c r="AP205" i="1" s="1"/>
  <c r="AP206" i="1" s="1"/>
  <c r="AP207" i="1" s="1"/>
  <c r="AP208" i="1" s="1"/>
  <c r="AQ203" i="1"/>
  <c r="AQ204" i="1" s="1"/>
  <c r="AQ205" i="1" s="1"/>
  <c r="AQ206" i="1" s="1"/>
  <c r="AQ207" i="1" s="1"/>
  <c r="AQ208" i="1" s="1"/>
  <c r="AR203" i="1"/>
  <c r="AR204" i="1" s="1"/>
  <c r="AR205" i="1" s="1"/>
  <c r="AR206" i="1" s="1"/>
  <c r="AR207" i="1" s="1"/>
  <c r="AR208" i="1" s="1"/>
  <c r="AS203" i="1"/>
  <c r="AU203" i="1"/>
  <c r="AU204" i="1" s="1"/>
  <c r="AU205" i="1" s="1"/>
  <c r="AU206" i="1" s="1"/>
  <c r="AU207" i="1" s="1"/>
  <c r="AU208" i="1" s="1"/>
  <c r="AV203" i="1"/>
  <c r="AV204" i="1" s="1"/>
  <c r="AV205" i="1" s="1"/>
  <c r="AV206" i="1" s="1"/>
  <c r="AV207" i="1" s="1"/>
  <c r="AV208" i="1" s="1"/>
  <c r="AV209" i="1" s="1"/>
  <c r="AV212" i="1" s="1"/>
  <c r="AW203" i="1"/>
  <c r="AW204" i="1" s="1"/>
  <c r="AW205" i="1" s="1"/>
  <c r="AW206" i="1" s="1"/>
  <c r="AW207" i="1" s="1"/>
  <c r="AW208" i="1" s="1"/>
  <c r="AX203" i="1"/>
  <c r="AX204" i="1" s="1"/>
  <c r="AX205" i="1" s="1"/>
  <c r="AX206" i="1" s="1"/>
  <c r="AX207" i="1" s="1"/>
  <c r="AX208" i="1" s="1"/>
  <c r="AY203" i="1"/>
  <c r="AY204" i="1" s="1"/>
  <c r="AY205" i="1" s="1"/>
  <c r="AY206" i="1" s="1"/>
  <c r="AY207" i="1" s="1"/>
  <c r="AY208" i="1" s="1"/>
  <c r="BA203" i="1"/>
  <c r="BA204" i="1" s="1"/>
  <c r="BA205" i="1" s="1"/>
  <c r="BA206" i="1" s="1"/>
  <c r="BA207" i="1" s="1"/>
  <c r="BA208" i="1" s="1"/>
  <c r="BB203" i="1"/>
  <c r="BB204" i="1" s="1"/>
  <c r="BB205" i="1" s="1"/>
  <c r="BB206" i="1" s="1"/>
  <c r="BB207" i="1" s="1"/>
  <c r="BB208" i="1" s="1"/>
  <c r="I206" i="1"/>
  <c r="J206" i="1"/>
  <c r="I207" i="1"/>
  <c r="J207" i="1"/>
  <c r="I211" i="1"/>
  <c r="J211" i="1"/>
  <c r="I212" i="1"/>
  <c r="J212" i="1"/>
  <c r="B213" i="1"/>
  <c r="I213" i="1"/>
  <c r="AO213" i="1"/>
  <c r="BC213" i="1"/>
  <c r="B214" i="1"/>
  <c r="AO214" i="1"/>
  <c r="BC214" i="1"/>
  <c r="C215" i="1"/>
  <c r="C217" i="1" s="1"/>
  <c r="R215" i="1"/>
  <c r="U215" i="1"/>
  <c r="U216" i="1" s="1"/>
  <c r="U217" i="1" s="1"/>
  <c r="X215" i="1"/>
  <c r="AB215" i="1"/>
  <c r="AI215" i="1"/>
  <c r="AI216" i="1" s="1"/>
  <c r="AI217" i="1" s="1"/>
  <c r="AI218" i="1" s="1"/>
  <c r="AJ215" i="1"/>
  <c r="AJ216" i="1" s="1"/>
  <c r="AJ217" i="1" s="1"/>
  <c r="AJ218" i="1" s="1"/>
  <c r="AL215" i="1"/>
  <c r="AL216" i="1" s="1"/>
  <c r="AL217" i="1" s="1"/>
  <c r="AL218" i="1" s="1"/>
  <c r="AN215" i="1"/>
  <c r="AO215" i="1" s="1"/>
  <c r="AP215" i="1"/>
  <c r="AP216" i="1" s="1"/>
  <c r="AP217" i="1" s="1"/>
  <c r="AP218" i="1" s="1"/>
  <c r="AQ215" i="1"/>
  <c r="AQ216" i="1" s="1"/>
  <c r="AQ217" i="1" s="1"/>
  <c r="AQ218" i="1" s="1"/>
  <c r="AR215" i="1"/>
  <c r="AR216" i="1" s="1"/>
  <c r="AR217" i="1" s="1"/>
  <c r="AR218" i="1" s="1"/>
  <c r="AS215" i="1"/>
  <c r="AU215" i="1"/>
  <c r="AU216" i="1" s="1"/>
  <c r="AU217" i="1" s="1"/>
  <c r="AU218" i="1" s="1"/>
  <c r="AV215" i="1"/>
  <c r="AV216" i="1" s="1"/>
  <c r="AV217" i="1" s="1"/>
  <c r="AV218" i="1" s="1"/>
  <c r="AW215" i="1"/>
  <c r="AW216" i="1" s="1"/>
  <c r="AW217" i="1" s="1"/>
  <c r="AW218" i="1" s="1"/>
  <c r="AX215" i="1"/>
  <c r="AX216" i="1" s="1"/>
  <c r="AX217" i="1" s="1"/>
  <c r="AX218" i="1" s="1"/>
  <c r="AY215" i="1"/>
  <c r="AY216" i="1" s="1"/>
  <c r="AY217" i="1" s="1"/>
  <c r="AY218" i="1" s="1"/>
  <c r="AZ215" i="1"/>
  <c r="AZ216" i="1" s="1"/>
  <c r="AZ217" i="1" s="1"/>
  <c r="AZ218" i="1" s="1"/>
  <c r="BA215" i="1"/>
  <c r="BA216" i="1" s="1"/>
  <c r="BA217" i="1" s="1"/>
  <c r="BA218" i="1" s="1"/>
  <c r="BB215" i="1"/>
  <c r="BB216" i="1" s="1"/>
  <c r="BB217" i="1" s="1"/>
  <c r="BB218" i="1" s="1"/>
  <c r="C216" i="1"/>
  <c r="C218" i="1" s="1"/>
  <c r="B219" i="1"/>
  <c r="Y219" i="1"/>
  <c r="Z219" i="1"/>
  <c r="AO219" i="1"/>
  <c r="BC219" i="1"/>
  <c r="C220" i="1"/>
  <c r="C222" i="1" s="1"/>
  <c r="X220" i="1"/>
  <c r="AI220" i="1"/>
  <c r="AI221" i="1" s="1"/>
  <c r="AI222" i="1" s="1"/>
  <c r="AJ220" i="1"/>
  <c r="AJ221" i="1" s="1"/>
  <c r="AJ222" i="1" s="1"/>
  <c r="AL220" i="1"/>
  <c r="AL221" i="1" s="1"/>
  <c r="AL222" i="1" s="1"/>
  <c r="AN220" i="1"/>
  <c r="AN221" i="1" s="1"/>
  <c r="AP220" i="1"/>
  <c r="AP221" i="1" s="1"/>
  <c r="AP222" i="1" s="1"/>
  <c r="AQ220" i="1"/>
  <c r="AQ221" i="1" s="1"/>
  <c r="AQ222" i="1" s="1"/>
  <c r="AR220" i="1"/>
  <c r="AR221" i="1" s="1"/>
  <c r="AR222" i="1" s="1"/>
  <c r="AS220" i="1"/>
  <c r="AU220" i="1"/>
  <c r="AU221" i="1" s="1"/>
  <c r="AU222" i="1" s="1"/>
  <c r="AV220" i="1"/>
  <c r="AV221" i="1" s="1"/>
  <c r="AV222" i="1" s="1"/>
  <c r="AW220" i="1"/>
  <c r="AW221" i="1" s="1"/>
  <c r="AW222" i="1" s="1"/>
  <c r="AX220" i="1"/>
  <c r="AX221" i="1" s="1"/>
  <c r="AX222" i="1" s="1"/>
  <c r="AY220" i="1"/>
  <c r="AY221" i="1" s="1"/>
  <c r="AY222" i="1" s="1"/>
  <c r="AZ220" i="1"/>
  <c r="AZ221" i="1" s="1"/>
  <c r="AZ222" i="1" s="1"/>
  <c r="BA220" i="1"/>
  <c r="BA221" i="1" s="1"/>
  <c r="BA222" i="1" s="1"/>
  <c r="BB220" i="1"/>
  <c r="BB221" i="1" s="1"/>
  <c r="BB222" i="1" s="1"/>
  <c r="C221" i="1"/>
  <c r="B223" i="1"/>
  <c r="Y223" i="1"/>
  <c r="Z223" i="1"/>
  <c r="AO223" i="1"/>
  <c r="BC223" i="1"/>
  <c r="C224" i="1"/>
  <c r="C225" i="1" s="1"/>
  <c r="C229" i="1" s="1"/>
  <c r="AI224" i="1"/>
  <c r="AI225" i="1" s="1"/>
  <c r="AI226" i="1" s="1"/>
  <c r="AI227" i="1" s="1"/>
  <c r="AI228" i="1" s="1"/>
  <c r="AI229" i="1" s="1"/>
  <c r="AJ224" i="1"/>
  <c r="AJ225" i="1" s="1"/>
  <c r="AJ226" i="1" s="1"/>
  <c r="AJ227" i="1" s="1"/>
  <c r="AJ228" i="1" s="1"/>
  <c r="AJ229" i="1" s="1"/>
  <c r="AL224" i="1"/>
  <c r="AL225" i="1" s="1"/>
  <c r="AL226" i="1" s="1"/>
  <c r="AL227" i="1" s="1"/>
  <c r="AL228" i="1" s="1"/>
  <c r="AL229" i="1" s="1"/>
  <c r="AN224" i="1"/>
  <c r="AO224" i="1" s="1"/>
  <c r="AP224" i="1"/>
  <c r="AP225" i="1" s="1"/>
  <c r="AP226" i="1" s="1"/>
  <c r="AP227" i="1" s="1"/>
  <c r="AP228" i="1" s="1"/>
  <c r="AP229" i="1" s="1"/>
  <c r="AQ224" i="1"/>
  <c r="AQ225" i="1" s="1"/>
  <c r="AQ226" i="1" s="1"/>
  <c r="AQ227" i="1" s="1"/>
  <c r="AQ228" i="1" s="1"/>
  <c r="AQ229" i="1" s="1"/>
  <c r="AR224" i="1"/>
  <c r="AR225" i="1" s="1"/>
  <c r="AR226" i="1" s="1"/>
  <c r="AR227" i="1" s="1"/>
  <c r="AR228" i="1" s="1"/>
  <c r="AR229" i="1" s="1"/>
  <c r="AS224" i="1"/>
  <c r="AU224" i="1"/>
  <c r="AU225" i="1" s="1"/>
  <c r="AV224" i="1"/>
  <c r="AV225" i="1" s="1"/>
  <c r="AV226" i="1" s="1"/>
  <c r="AV227" i="1" s="1"/>
  <c r="AV228" i="1" s="1"/>
  <c r="AV229" i="1" s="1"/>
  <c r="AW224" i="1"/>
  <c r="AW225" i="1" s="1"/>
  <c r="AW226" i="1" s="1"/>
  <c r="AW227" i="1" s="1"/>
  <c r="AW228" i="1" s="1"/>
  <c r="AW229" i="1" s="1"/>
  <c r="AX224" i="1"/>
  <c r="AX225" i="1" s="1"/>
  <c r="AX226" i="1" s="1"/>
  <c r="AX227" i="1" s="1"/>
  <c r="AX228" i="1" s="1"/>
  <c r="AX229" i="1" s="1"/>
  <c r="AY224" i="1"/>
  <c r="AY225" i="1" s="1"/>
  <c r="AY226" i="1" s="1"/>
  <c r="AY227" i="1" s="1"/>
  <c r="AY228" i="1" s="1"/>
  <c r="AY229" i="1" s="1"/>
  <c r="AZ224" i="1"/>
  <c r="AZ225" i="1" s="1"/>
  <c r="AZ226" i="1" s="1"/>
  <c r="AZ227" i="1" s="1"/>
  <c r="AZ228" i="1" s="1"/>
  <c r="AZ229" i="1" s="1"/>
  <c r="BA224" i="1"/>
  <c r="BA225" i="1" s="1"/>
  <c r="BA226" i="1" s="1"/>
  <c r="BA227" i="1" s="1"/>
  <c r="BA228" i="1" s="1"/>
  <c r="BA229" i="1" s="1"/>
  <c r="BB224" i="1"/>
  <c r="BB225" i="1" s="1"/>
  <c r="BB226" i="1" s="1"/>
  <c r="BB227" i="1" s="1"/>
  <c r="BB228" i="1" s="1"/>
  <c r="BB229" i="1" s="1"/>
  <c r="I227" i="1"/>
  <c r="J227" i="1"/>
  <c r="I228" i="1"/>
  <c r="J228" i="1"/>
  <c r="I229" i="1"/>
  <c r="J229" i="1"/>
  <c r="B230" i="1"/>
  <c r="AO230" i="1"/>
  <c r="BC230" i="1"/>
  <c r="C231" i="1"/>
  <c r="AI231" i="1"/>
  <c r="AI232" i="1" s="1"/>
  <c r="AI233" i="1" s="1"/>
  <c r="AI234" i="1" s="1"/>
  <c r="AI235" i="1" s="1"/>
  <c r="AJ231" i="1"/>
  <c r="AJ232" i="1" s="1"/>
  <c r="AJ233" i="1" s="1"/>
  <c r="AJ234" i="1" s="1"/>
  <c r="AJ235" i="1" s="1"/>
  <c r="AL231" i="1"/>
  <c r="AL232" i="1" s="1"/>
  <c r="AL233" i="1" s="1"/>
  <c r="AL234" i="1" s="1"/>
  <c r="AL235" i="1" s="1"/>
  <c r="AN231" i="1"/>
  <c r="AO231" i="1" s="1"/>
  <c r="AP231" i="1"/>
  <c r="AP232" i="1" s="1"/>
  <c r="AP233" i="1" s="1"/>
  <c r="AP234" i="1" s="1"/>
  <c r="AP235" i="1" s="1"/>
  <c r="AQ231" i="1"/>
  <c r="AQ232" i="1" s="1"/>
  <c r="AQ233" i="1" s="1"/>
  <c r="AQ234" i="1" s="1"/>
  <c r="AQ235" i="1" s="1"/>
  <c r="AR231" i="1"/>
  <c r="AR232" i="1" s="1"/>
  <c r="AR233" i="1" s="1"/>
  <c r="AR234" i="1" s="1"/>
  <c r="AR235" i="1" s="1"/>
  <c r="AS231" i="1"/>
  <c r="AU231" i="1"/>
  <c r="AU232" i="1" s="1"/>
  <c r="AV231" i="1"/>
  <c r="AV232" i="1" s="1"/>
  <c r="AV233" i="1" s="1"/>
  <c r="AV234" i="1" s="1"/>
  <c r="AV235" i="1" s="1"/>
  <c r="AW231" i="1"/>
  <c r="AW232" i="1" s="1"/>
  <c r="AW233" i="1" s="1"/>
  <c r="AW234" i="1" s="1"/>
  <c r="AW235" i="1" s="1"/>
  <c r="AX231" i="1"/>
  <c r="AX232" i="1" s="1"/>
  <c r="AX233" i="1" s="1"/>
  <c r="AX234" i="1" s="1"/>
  <c r="AX235" i="1" s="1"/>
  <c r="AY231" i="1"/>
  <c r="AY232" i="1" s="1"/>
  <c r="AY233" i="1" s="1"/>
  <c r="AY234" i="1" s="1"/>
  <c r="AY235" i="1" s="1"/>
  <c r="AZ231" i="1"/>
  <c r="AZ232" i="1" s="1"/>
  <c r="AZ233" i="1" s="1"/>
  <c r="AZ234" i="1" s="1"/>
  <c r="AZ235" i="1" s="1"/>
  <c r="BA231" i="1"/>
  <c r="BA232" i="1" s="1"/>
  <c r="BA233" i="1" s="1"/>
  <c r="BA234" i="1" s="1"/>
  <c r="BA235" i="1" s="1"/>
  <c r="BB231" i="1"/>
  <c r="BB232" i="1" s="1"/>
  <c r="BB233" i="1" s="1"/>
  <c r="BB234" i="1" s="1"/>
  <c r="BB235" i="1" s="1"/>
  <c r="C232" i="1"/>
  <c r="C235" i="1" s="1"/>
  <c r="I234" i="1"/>
  <c r="J234" i="1"/>
  <c r="I235" i="1"/>
  <c r="J235" i="1"/>
  <c r="B236" i="1"/>
  <c r="Y236" i="1"/>
  <c r="Z236" i="1"/>
  <c r="AO236" i="1"/>
  <c r="BC236" i="1"/>
  <c r="AI237" i="1"/>
  <c r="AI238" i="1" s="1"/>
  <c r="AI239" i="1" s="1"/>
  <c r="AI240" i="1" s="1"/>
  <c r="AI241" i="1" s="1"/>
  <c r="AI242" i="1" s="1"/>
  <c r="AJ237" i="1"/>
  <c r="AJ238" i="1" s="1"/>
  <c r="AJ239" i="1" s="1"/>
  <c r="AJ240" i="1" s="1"/>
  <c r="AJ241" i="1" s="1"/>
  <c r="AJ242" i="1" s="1"/>
  <c r="AL237" i="1"/>
  <c r="AL238" i="1" s="1"/>
  <c r="AL239" i="1" s="1"/>
  <c r="AL240" i="1" s="1"/>
  <c r="AL241" i="1" s="1"/>
  <c r="AL242" i="1" s="1"/>
  <c r="AN237" i="1"/>
  <c r="AO237" i="1" s="1"/>
  <c r="AP237" i="1"/>
  <c r="AP238" i="1" s="1"/>
  <c r="AP239" i="1" s="1"/>
  <c r="AP240" i="1" s="1"/>
  <c r="AP241" i="1" s="1"/>
  <c r="AP242" i="1" s="1"/>
  <c r="AQ237" i="1"/>
  <c r="AQ238" i="1" s="1"/>
  <c r="AQ239" i="1" s="1"/>
  <c r="AQ240" i="1" s="1"/>
  <c r="AQ241" i="1" s="1"/>
  <c r="AQ242" i="1" s="1"/>
  <c r="AR237" i="1"/>
  <c r="AR238" i="1" s="1"/>
  <c r="AR239" i="1" s="1"/>
  <c r="AR240" i="1" s="1"/>
  <c r="AR241" i="1" s="1"/>
  <c r="AR242" i="1" s="1"/>
  <c r="AS237" i="1"/>
  <c r="AU237" i="1"/>
  <c r="AU238" i="1" s="1"/>
  <c r="AU239" i="1" s="1"/>
  <c r="AU240" i="1" s="1"/>
  <c r="AU241" i="1" s="1"/>
  <c r="AU242" i="1" s="1"/>
  <c r="AV237" i="1"/>
  <c r="AV238" i="1" s="1"/>
  <c r="AV239" i="1" s="1"/>
  <c r="AV240" i="1" s="1"/>
  <c r="AV241" i="1" s="1"/>
  <c r="AV242" i="1" s="1"/>
  <c r="AW237" i="1"/>
  <c r="AW238" i="1" s="1"/>
  <c r="AW239" i="1" s="1"/>
  <c r="AW240" i="1" s="1"/>
  <c r="AW241" i="1" s="1"/>
  <c r="AW242" i="1" s="1"/>
  <c r="AX237" i="1"/>
  <c r="AX238" i="1" s="1"/>
  <c r="AX239" i="1" s="1"/>
  <c r="AX240" i="1" s="1"/>
  <c r="AX241" i="1" s="1"/>
  <c r="AX242" i="1" s="1"/>
  <c r="AY237" i="1"/>
  <c r="AY238" i="1" s="1"/>
  <c r="AY239" i="1" s="1"/>
  <c r="AY240" i="1" s="1"/>
  <c r="AY241" i="1" s="1"/>
  <c r="AY242" i="1" s="1"/>
  <c r="AZ237" i="1"/>
  <c r="AZ238" i="1" s="1"/>
  <c r="AZ239" i="1" s="1"/>
  <c r="AZ240" i="1" s="1"/>
  <c r="AZ241" i="1" s="1"/>
  <c r="AZ242" i="1" s="1"/>
  <c r="BA237" i="1"/>
  <c r="BA238" i="1" s="1"/>
  <c r="BA239" i="1" s="1"/>
  <c r="BA240" i="1" s="1"/>
  <c r="BA241" i="1" s="1"/>
  <c r="BA242" i="1" s="1"/>
  <c r="BB237" i="1"/>
  <c r="BB238" i="1" s="1"/>
  <c r="BB239" i="1" s="1"/>
  <c r="BB240" i="1" s="1"/>
  <c r="BB241" i="1" s="1"/>
  <c r="BB242" i="1" s="1"/>
  <c r="I240" i="1"/>
  <c r="J240" i="1"/>
  <c r="I241" i="1"/>
  <c r="J241" i="1"/>
  <c r="I242" i="1"/>
  <c r="J242" i="1"/>
  <c r="B28" i="1"/>
  <c r="AO28" i="1"/>
  <c r="BC28" i="1"/>
  <c r="C29" i="1"/>
  <c r="I29" i="1"/>
  <c r="J29" i="1"/>
  <c r="H28" i="1" s="1"/>
  <c r="AI29" i="1"/>
  <c r="AI30" i="1" s="1"/>
  <c r="AJ29" i="1"/>
  <c r="AJ30" i="1" s="1"/>
  <c r="AL29" i="1"/>
  <c r="AL30" i="1" s="1"/>
  <c r="AN29" i="1"/>
  <c r="AN30" i="1" s="1"/>
  <c r="AO30" i="1" s="1"/>
  <c r="AP29" i="1"/>
  <c r="AP30" i="1" s="1"/>
  <c r="AQ29" i="1"/>
  <c r="AQ30" i="1" s="1"/>
  <c r="AR29" i="1"/>
  <c r="AR30" i="1" s="1"/>
  <c r="AS29" i="1"/>
  <c r="AU29" i="1"/>
  <c r="AU30" i="1" s="1"/>
  <c r="AV29" i="1"/>
  <c r="AV30" i="1" s="1"/>
  <c r="AW29" i="1"/>
  <c r="AW30" i="1" s="1"/>
  <c r="AX29" i="1"/>
  <c r="AX30" i="1" s="1"/>
  <c r="AY29" i="1"/>
  <c r="AY30" i="1" s="1"/>
  <c r="AZ29" i="1"/>
  <c r="AZ30" i="1" s="1"/>
  <c r="BA29" i="1"/>
  <c r="BA30" i="1" s="1"/>
  <c r="BB29" i="1"/>
  <c r="BB30" i="1" s="1"/>
  <c r="C30" i="1"/>
  <c r="I30" i="1"/>
  <c r="J30" i="1"/>
  <c r="B243" i="1"/>
  <c r="AO243" i="1"/>
  <c r="AZ243" i="1"/>
  <c r="AZ244" i="1" s="1"/>
  <c r="AZ245" i="1" s="1"/>
  <c r="AZ246" i="1" s="1"/>
  <c r="AZ247" i="1" s="1"/>
  <c r="BC243" i="1"/>
  <c r="C244" i="1"/>
  <c r="C245" i="1" s="1"/>
  <c r="C246" i="1" s="1"/>
  <c r="C247" i="1" s="1"/>
  <c r="AI244" i="1"/>
  <c r="AJ244" i="1"/>
  <c r="AJ245" i="1" s="1"/>
  <c r="AJ246" i="1" s="1"/>
  <c r="AJ247" i="1" s="1"/>
  <c r="AL244" i="1"/>
  <c r="AL245" i="1" s="1"/>
  <c r="AL246" i="1" s="1"/>
  <c r="AL247" i="1" s="1"/>
  <c r="AN244" i="1"/>
  <c r="AP244" i="1"/>
  <c r="AP245" i="1" s="1"/>
  <c r="AP246" i="1" s="1"/>
  <c r="AP247" i="1" s="1"/>
  <c r="AQ244" i="1"/>
  <c r="AQ245" i="1" s="1"/>
  <c r="AQ246" i="1" s="1"/>
  <c r="AQ247" i="1" s="1"/>
  <c r="AR244" i="1"/>
  <c r="AR245" i="1" s="1"/>
  <c r="AR246" i="1" s="1"/>
  <c r="AR247" i="1" s="1"/>
  <c r="AS244" i="1"/>
  <c r="AU244" i="1"/>
  <c r="AU245" i="1" s="1"/>
  <c r="AU246" i="1" s="1"/>
  <c r="AU247" i="1" s="1"/>
  <c r="AV244" i="1"/>
  <c r="AV245" i="1" s="1"/>
  <c r="AV246" i="1" s="1"/>
  <c r="AV247" i="1" s="1"/>
  <c r="AW244" i="1"/>
  <c r="AW245" i="1" s="1"/>
  <c r="AW246" i="1" s="1"/>
  <c r="AW247" i="1" s="1"/>
  <c r="AX244" i="1"/>
  <c r="AX245" i="1" s="1"/>
  <c r="AX246" i="1" s="1"/>
  <c r="AX247" i="1" s="1"/>
  <c r="AY244" i="1"/>
  <c r="AY245" i="1" s="1"/>
  <c r="AY246" i="1" s="1"/>
  <c r="AY247" i="1" s="1"/>
  <c r="BA244" i="1"/>
  <c r="BA245" i="1" s="1"/>
  <c r="BA246" i="1" s="1"/>
  <c r="BA247" i="1" s="1"/>
  <c r="BB244" i="1"/>
  <c r="BB245" i="1" s="1"/>
  <c r="BB246" i="1" s="1"/>
  <c r="BB247" i="1" s="1"/>
  <c r="A247" i="1"/>
  <c r="I247" i="1"/>
  <c r="J247" i="1"/>
  <c r="B250" i="1"/>
  <c r="AO250" i="1"/>
  <c r="BC250" i="1"/>
  <c r="C251" i="1"/>
  <c r="C252" i="1" s="1"/>
  <c r="C253" i="1" s="1"/>
  <c r="AI251" i="1"/>
  <c r="AI252" i="1" s="1"/>
  <c r="AI253" i="1" s="1"/>
  <c r="AJ251" i="1"/>
  <c r="AJ252" i="1" s="1"/>
  <c r="AJ253" i="1" s="1"/>
  <c r="AL251" i="1"/>
  <c r="AL252" i="1" s="1"/>
  <c r="AL253" i="1" s="1"/>
  <c r="AN251" i="1"/>
  <c r="AO251" i="1" s="1"/>
  <c r="AP251" i="1"/>
  <c r="AP252" i="1" s="1"/>
  <c r="AP253" i="1" s="1"/>
  <c r="AQ251" i="1"/>
  <c r="AR251" i="1"/>
  <c r="AR252" i="1" s="1"/>
  <c r="AR253" i="1" s="1"/>
  <c r="AS251" i="1"/>
  <c r="AU251" i="1"/>
  <c r="AU252" i="1" s="1"/>
  <c r="AU253" i="1" s="1"/>
  <c r="AV251" i="1"/>
  <c r="AV252" i="1" s="1"/>
  <c r="AV253" i="1" s="1"/>
  <c r="AW251" i="1"/>
  <c r="AW252" i="1" s="1"/>
  <c r="AW253" i="1" s="1"/>
  <c r="AX251" i="1"/>
  <c r="AX252" i="1" s="1"/>
  <c r="AX253" i="1" s="1"/>
  <c r="AY251" i="1"/>
  <c r="AY252" i="1" s="1"/>
  <c r="AY253" i="1" s="1"/>
  <c r="AZ251" i="1"/>
  <c r="AZ252" i="1" s="1"/>
  <c r="AZ253" i="1" s="1"/>
  <c r="BA251" i="1"/>
  <c r="BA252" i="1" s="1"/>
  <c r="BA253" i="1" s="1"/>
  <c r="BB251" i="1"/>
  <c r="BB252" i="1" s="1"/>
  <c r="BB253" i="1" s="1"/>
  <c r="I253" i="1"/>
  <c r="J253" i="1"/>
  <c r="B254" i="1"/>
  <c r="AO254" i="1"/>
  <c r="BC254" i="1"/>
  <c r="C255" i="1"/>
  <c r="C256" i="1" s="1"/>
  <c r="AI255" i="1"/>
  <c r="AI256" i="1" s="1"/>
  <c r="AJ255" i="1"/>
  <c r="AJ256" i="1" s="1"/>
  <c r="AL255" i="1"/>
  <c r="AL256" i="1" s="1"/>
  <c r="AN255" i="1"/>
  <c r="AN256" i="1" s="1"/>
  <c r="AO256" i="1" s="1"/>
  <c r="AP255" i="1"/>
  <c r="AP256" i="1" s="1"/>
  <c r="AQ255" i="1"/>
  <c r="AQ256" i="1" s="1"/>
  <c r="AR255" i="1"/>
  <c r="AR256" i="1" s="1"/>
  <c r="AS255" i="1"/>
  <c r="AU255" i="1"/>
  <c r="AU256" i="1" s="1"/>
  <c r="AV255" i="1"/>
  <c r="AV256" i="1" s="1"/>
  <c r="AW255" i="1"/>
  <c r="AW256" i="1" s="1"/>
  <c r="AX255" i="1"/>
  <c r="AX256" i="1" s="1"/>
  <c r="AY255" i="1"/>
  <c r="AY256" i="1" s="1"/>
  <c r="AZ255" i="1"/>
  <c r="AZ256" i="1" s="1"/>
  <c r="BA255" i="1"/>
  <c r="BA256" i="1" s="1"/>
  <c r="BB255" i="1"/>
  <c r="BB256" i="1" s="1"/>
  <c r="B257" i="1"/>
  <c r="AO257" i="1"/>
  <c r="BC257" i="1"/>
  <c r="C258" i="1"/>
  <c r="C259" i="1" s="1"/>
  <c r="C260" i="1" s="1"/>
  <c r="C262" i="1" s="1"/>
  <c r="C263" i="1" s="1"/>
  <c r="AI258" i="1"/>
  <c r="AI259" i="1" s="1"/>
  <c r="AI260" i="1" s="1"/>
  <c r="AI261" i="1" s="1"/>
  <c r="AI262" i="1" s="1"/>
  <c r="AI263" i="1" s="1"/>
  <c r="AJ258" i="1"/>
  <c r="AJ259" i="1" s="1"/>
  <c r="AJ260" i="1" s="1"/>
  <c r="AJ261" i="1" s="1"/>
  <c r="AJ262" i="1" s="1"/>
  <c r="AJ263" i="1" s="1"/>
  <c r="AL258" i="1"/>
  <c r="AL259" i="1" s="1"/>
  <c r="AL260" i="1" s="1"/>
  <c r="AL261" i="1" s="1"/>
  <c r="AL262" i="1" s="1"/>
  <c r="AL263" i="1" s="1"/>
  <c r="AN258" i="1"/>
  <c r="AN259" i="1" s="1"/>
  <c r="AP258" i="1"/>
  <c r="AP259" i="1" s="1"/>
  <c r="AP260" i="1" s="1"/>
  <c r="AP261" i="1" s="1"/>
  <c r="AP262" i="1" s="1"/>
  <c r="AP263" i="1" s="1"/>
  <c r="AQ258" i="1"/>
  <c r="AQ259" i="1" s="1"/>
  <c r="AQ260" i="1" s="1"/>
  <c r="AQ261" i="1" s="1"/>
  <c r="AR258" i="1"/>
  <c r="AR259" i="1" s="1"/>
  <c r="AR260" i="1" s="1"/>
  <c r="AR261" i="1" s="1"/>
  <c r="AR262" i="1" s="1"/>
  <c r="AR263" i="1" s="1"/>
  <c r="AS258" i="1"/>
  <c r="AU258" i="1"/>
  <c r="AU259" i="1" s="1"/>
  <c r="AU260" i="1" s="1"/>
  <c r="AU261" i="1" s="1"/>
  <c r="AU262" i="1" s="1"/>
  <c r="AV258" i="1"/>
  <c r="AV259" i="1" s="1"/>
  <c r="AV260" i="1" s="1"/>
  <c r="AV261" i="1" s="1"/>
  <c r="AV262" i="1" s="1"/>
  <c r="AV263" i="1" s="1"/>
  <c r="AW258" i="1"/>
  <c r="AW259" i="1" s="1"/>
  <c r="AW260" i="1" s="1"/>
  <c r="AW261" i="1" s="1"/>
  <c r="AW262" i="1" s="1"/>
  <c r="AW263" i="1" s="1"/>
  <c r="AX258" i="1"/>
  <c r="AX259" i="1" s="1"/>
  <c r="AX260" i="1" s="1"/>
  <c r="AX261" i="1" s="1"/>
  <c r="AX262" i="1" s="1"/>
  <c r="AX263" i="1" s="1"/>
  <c r="AY258" i="1"/>
  <c r="AY259" i="1" s="1"/>
  <c r="AY260" i="1" s="1"/>
  <c r="AY261" i="1" s="1"/>
  <c r="AY262" i="1" s="1"/>
  <c r="AY263" i="1" s="1"/>
  <c r="AZ258" i="1"/>
  <c r="AZ259" i="1" s="1"/>
  <c r="AZ260" i="1" s="1"/>
  <c r="AZ261" i="1" s="1"/>
  <c r="AZ262" i="1" s="1"/>
  <c r="AZ263" i="1" s="1"/>
  <c r="BA258" i="1"/>
  <c r="BA259" i="1" s="1"/>
  <c r="BA260" i="1" s="1"/>
  <c r="BA261" i="1" s="1"/>
  <c r="BA262" i="1" s="1"/>
  <c r="BA263" i="1" s="1"/>
  <c r="BB258" i="1"/>
  <c r="BB259" i="1" s="1"/>
  <c r="BB260" i="1" s="1"/>
  <c r="BB261" i="1" s="1"/>
  <c r="BB262" i="1" s="1"/>
  <c r="BB263" i="1" s="1"/>
  <c r="I260" i="1"/>
  <c r="J260" i="1"/>
  <c r="I261" i="1"/>
  <c r="J261" i="1"/>
  <c r="I262" i="1"/>
  <c r="J262" i="1"/>
  <c r="I263" i="1"/>
  <c r="J263" i="1"/>
  <c r="B264" i="1"/>
  <c r="AO264" i="1"/>
  <c r="BC264" i="1"/>
  <c r="C265" i="1"/>
  <c r="C266" i="1" s="1"/>
  <c r="C267" i="1" s="1"/>
  <c r="AI265" i="1"/>
  <c r="AI266" i="1" s="1"/>
  <c r="AI267" i="1" s="1"/>
  <c r="AJ265" i="1"/>
  <c r="AJ266" i="1" s="1"/>
  <c r="AJ267" i="1" s="1"/>
  <c r="AL265" i="1"/>
  <c r="AL266" i="1" s="1"/>
  <c r="AL267" i="1" s="1"/>
  <c r="AN265" i="1"/>
  <c r="AO265" i="1" s="1"/>
  <c r="AP265" i="1"/>
  <c r="AP266" i="1" s="1"/>
  <c r="AP267" i="1" s="1"/>
  <c r="AQ265" i="1"/>
  <c r="AQ266" i="1" s="1"/>
  <c r="AQ267" i="1" s="1"/>
  <c r="AR265" i="1"/>
  <c r="AR266" i="1" s="1"/>
  <c r="AR267" i="1" s="1"/>
  <c r="AS265" i="1"/>
  <c r="AU265" i="1"/>
  <c r="AU266" i="1" s="1"/>
  <c r="AU267" i="1" s="1"/>
  <c r="AV265" i="1"/>
  <c r="AV266" i="1" s="1"/>
  <c r="AV267" i="1" s="1"/>
  <c r="AW265" i="1"/>
  <c r="AW266" i="1" s="1"/>
  <c r="AW267" i="1" s="1"/>
  <c r="AX265" i="1"/>
  <c r="AX266" i="1" s="1"/>
  <c r="AX267" i="1" s="1"/>
  <c r="AY265" i="1"/>
  <c r="AY266" i="1" s="1"/>
  <c r="AY267" i="1" s="1"/>
  <c r="AZ265" i="1"/>
  <c r="AZ266" i="1" s="1"/>
  <c r="AZ267" i="1" s="1"/>
  <c r="BA265" i="1"/>
  <c r="BA266" i="1" s="1"/>
  <c r="BA267" i="1" s="1"/>
  <c r="BB265" i="1"/>
  <c r="BB266" i="1" s="1"/>
  <c r="BB267" i="1" s="1"/>
  <c r="I267" i="1"/>
  <c r="J267" i="1"/>
  <c r="B268" i="1"/>
  <c r="AF268" i="1"/>
  <c r="AO268" i="1"/>
  <c r="BC268" i="1"/>
  <c r="C269" i="1"/>
  <c r="C270" i="1" s="1"/>
  <c r="C272" i="1" s="1"/>
  <c r="AI269" i="1"/>
  <c r="AI270" i="1" s="1"/>
  <c r="AI272" i="1" s="1"/>
  <c r="AJ269" i="1"/>
  <c r="AJ270" i="1" s="1"/>
  <c r="AJ271" i="1" s="1"/>
  <c r="AJ272" i="1" s="1"/>
  <c r="AL269" i="1"/>
  <c r="AL270" i="1" s="1"/>
  <c r="AL271" i="1" s="1"/>
  <c r="AL272" i="1" s="1"/>
  <c r="AN269" i="1"/>
  <c r="AP269" i="1"/>
  <c r="AP270" i="1" s="1"/>
  <c r="AP271" i="1" s="1"/>
  <c r="AP272" i="1" s="1"/>
  <c r="AQ269" i="1"/>
  <c r="AQ270" i="1" s="1"/>
  <c r="AQ271" i="1" s="1"/>
  <c r="AQ272" i="1" s="1"/>
  <c r="AR269" i="1"/>
  <c r="AR270" i="1" s="1"/>
  <c r="AR271" i="1" s="1"/>
  <c r="AR272" i="1" s="1"/>
  <c r="AS269" i="1"/>
  <c r="AU269" i="1"/>
  <c r="AU270" i="1" s="1"/>
  <c r="AV269" i="1"/>
  <c r="AV270" i="1" s="1"/>
  <c r="AV271" i="1" s="1"/>
  <c r="AV272" i="1" s="1"/>
  <c r="AW269" i="1"/>
  <c r="AW270" i="1" s="1"/>
  <c r="AW271" i="1" s="1"/>
  <c r="AW272" i="1" s="1"/>
  <c r="AX269" i="1"/>
  <c r="AX270" i="1" s="1"/>
  <c r="AX271" i="1" s="1"/>
  <c r="AX272" i="1" s="1"/>
  <c r="AY269" i="1"/>
  <c r="AY270" i="1" s="1"/>
  <c r="AY271" i="1" s="1"/>
  <c r="AY272" i="1" s="1"/>
  <c r="AZ269" i="1"/>
  <c r="AZ270" i="1" s="1"/>
  <c r="AZ271" i="1" s="1"/>
  <c r="AZ272" i="1" s="1"/>
  <c r="BA269" i="1"/>
  <c r="BA270" i="1" s="1"/>
  <c r="BA271" i="1" s="1"/>
  <c r="BA272" i="1" s="1"/>
  <c r="BB269" i="1"/>
  <c r="BB270" i="1" s="1"/>
  <c r="BB271" i="1" s="1"/>
  <c r="BB272" i="1" s="1"/>
  <c r="I271" i="1"/>
  <c r="J271" i="1"/>
  <c r="I272" i="1"/>
  <c r="J272" i="1"/>
  <c r="B273" i="1"/>
  <c r="AO273" i="1"/>
  <c r="AZ273" i="1"/>
  <c r="AZ274" i="1" s="1"/>
  <c r="AZ275" i="1" s="1"/>
  <c r="BC273" i="1"/>
  <c r="C274" i="1"/>
  <c r="C275" i="1" s="1"/>
  <c r="AI274" i="1"/>
  <c r="AJ274" i="1"/>
  <c r="AJ275" i="1" s="1"/>
  <c r="AL274" i="1"/>
  <c r="AL275" i="1" s="1"/>
  <c r="AN274" i="1"/>
  <c r="AN275" i="1" s="1"/>
  <c r="AO275" i="1" s="1"/>
  <c r="AP274" i="1"/>
  <c r="AP275" i="1" s="1"/>
  <c r="AQ274" i="1"/>
  <c r="AQ275" i="1" s="1"/>
  <c r="AR274" i="1"/>
  <c r="AR275" i="1" s="1"/>
  <c r="AS274" i="1"/>
  <c r="AU274" i="1"/>
  <c r="AU275" i="1" s="1"/>
  <c r="AV274" i="1"/>
  <c r="AV275" i="1" s="1"/>
  <c r="AW274" i="1"/>
  <c r="AW275" i="1" s="1"/>
  <c r="AX274" i="1"/>
  <c r="AX275" i="1" s="1"/>
  <c r="AY274" i="1"/>
  <c r="AY275" i="1" s="1"/>
  <c r="BA274" i="1"/>
  <c r="BA275" i="1" s="1"/>
  <c r="BB274" i="1"/>
  <c r="BB275" i="1" s="1"/>
  <c r="B276" i="1"/>
  <c r="AO276" i="1"/>
  <c r="AZ276" i="1"/>
  <c r="AZ277" i="1" s="1"/>
  <c r="AZ278" i="1" s="1"/>
  <c r="AZ279" i="1" s="1"/>
  <c r="AZ280" i="1" s="1"/>
  <c r="BC276" i="1"/>
  <c r="C277" i="1"/>
  <c r="C278" i="1" s="1"/>
  <c r="C279" i="1" s="1"/>
  <c r="C280" i="1" s="1"/>
  <c r="AI277" i="1"/>
  <c r="AJ277" i="1"/>
  <c r="AJ278" i="1" s="1"/>
  <c r="AJ279" i="1" s="1"/>
  <c r="AJ280" i="1" s="1"/>
  <c r="AL277" i="1"/>
  <c r="AL278" i="1" s="1"/>
  <c r="AL279" i="1" s="1"/>
  <c r="AL280" i="1" s="1"/>
  <c r="AN277" i="1"/>
  <c r="AP277" i="1"/>
  <c r="AP278" i="1" s="1"/>
  <c r="AP279" i="1" s="1"/>
  <c r="AP280" i="1" s="1"/>
  <c r="AQ277" i="1"/>
  <c r="AQ278" i="1" s="1"/>
  <c r="AQ279" i="1" s="1"/>
  <c r="AQ280" i="1" s="1"/>
  <c r="AR277" i="1"/>
  <c r="AR278" i="1" s="1"/>
  <c r="AR279" i="1" s="1"/>
  <c r="AR280" i="1" s="1"/>
  <c r="AS277" i="1"/>
  <c r="AU277" i="1"/>
  <c r="AU278" i="1" s="1"/>
  <c r="AU279" i="1" s="1"/>
  <c r="AU280" i="1" s="1"/>
  <c r="AV277" i="1"/>
  <c r="AV278" i="1" s="1"/>
  <c r="AV279" i="1" s="1"/>
  <c r="AV280" i="1" s="1"/>
  <c r="AW277" i="1"/>
  <c r="AW278" i="1" s="1"/>
  <c r="AW279" i="1" s="1"/>
  <c r="AW280" i="1" s="1"/>
  <c r="AX277" i="1"/>
  <c r="AX278" i="1" s="1"/>
  <c r="AX279" i="1" s="1"/>
  <c r="AX280" i="1" s="1"/>
  <c r="AY277" i="1"/>
  <c r="AY278" i="1" s="1"/>
  <c r="AY279" i="1" s="1"/>
  <c r="AY280" i="1" s="1"/>
  <c r="BA277" i="1"/>
  <c r="BA278" i="1" s="1"/>
  <c r="BA279" i="1" s="1"/>
  <c r="BA280" i="1" s="1"/>
  <c r="BB277" i="1"/>
  <c r="BB278" i="1" s="1"/>
  <c r="BB279" i="1" s="1"/>
  <c r="BB280" i="1" s="1"/>
  <c r="A280" i="1"/>
  <c r="B282" i="1"/>
  <c r="AO282" i="1"/>
  <c r="BA282" i="1"/>
  <c r="BA283" i="1" s="1"/>
  <c r="BA284" i="1" s="1"/>
  <c r="BB282" i="1"/>
  <c r="BB283" i="1" s="1"/>
  <c r="BB284" i="1" s="1"/>
  <c r="C283" i="1"/>
  <c r="AI283" i="1"/>
  <c r="AI284" i="1" s="1"/>
  <c r="AJ283" i="1"/>
  <c r="AJ284" i="1" s="1"/>
  <c r="AL283" i="1"/>
  <c r="AL284" i="1" s="1"/>
  <c r="AN283" i="1"/>
  <c r="AO283" i="1" s="1"/>
  <c r="AP283" i="1"/>
  <c r="AP284" i="1" s="1"/>
  <c r="AQ283" i="1"/>
  <c r="AQ284" i="1" s="1"/>
  <c r="AR283" i="1"/>
  <c r="AR284" i="1" s="1"/>
  <c r="AS283" i="1"/>
  <c r="AU283" i="1"/>
  <c r="AU284" i="1" s="1"/>
  <c r="AV283" i="1"/>
  <c r="AV284" i="1" s="1"/>
  <c r="AW283" i="1"/>
  <c r="AW284" i="1" s="1"/>
  <c r="AX283" i="1"/>
  <c r="AX284" i="1" s="1"/>
  <c r="AY283" i="1"/>
  <c r="AY284" i="1" s="1"/>
  <c r="AZ283" i="1"/>
  <c r="AZ284" i="1" s="1"/>
  <c r="C284" i="1"/>
  <c r="J284" i="1"/>
  <c r="B285" i="1"/>
  <c r="AO285" i="1"/>
  <c r="AZ285" i="1"/>
  <c r="AZ286" i="1" s="1"/>
  <c r="AZ287" i="1" s="1"/>
  <c r="BA285" i="1"/>
  <c r="BA286" i="1" s="1"/>
  <c r="BA287" i="1" s="1"/>
  <c r="BB285" i="1"/>
  <c r="C286" i="1"/>
  <c r="C287" i="1" s="1"/>
  <c r="AI286" i="1"/>
  <c r="AI287" i="1" s="1"/>
  <c r="AJ286" i="1"/>
  <c r="AJ287" i="1" s="1"/>
  <c r="AL286" i="1"/>
  <c r="AL287" i="1" s="1"/>
  <c r="AN286" i="1"/>
  <c r="AO286" i="1" s="1"/>
  <c r="AP286" i="1"/>
  <c r="AP287" i="1" s="1"/>
  <c r="AQ286" i="1"/>
  <c r="AQ287" i="1" s="1"/>
  <c r="AR286" i="1"/>
  <c r="AR287" i="1" s="1"/>
  <c r="AS286" i="1"/>
  <c r="AU286" i="1"/>
  <c r="AU287" i="1" s="1"/>
  <c r="AV286" i="1"/>
  <c r="AV287" i="1" s="1"/>
  <c r="AW286" i="1"/>
  <c r="AW287" i="1" s="1"/>
  <c r="AX286" i="1"/>
  <c r="AX287" i="1" s="1"/>
  <c r="AY286" i="1"/>
  <c r="AY287" i="1" s="1"/>
  <c r="I287" i="1"/>
  <c r="J287" i="1"/>
  <c r="B288" i="1"/>
  <c r="AO288" i="1"/>
  <c r="AZ288" i="1"/>
  <c r="AZ289" i="1" s="1"/>
  <c r="AZ290" i="1" s="1"/>
  <c r="BC288" i="1"/>
  <c r="C289" i="1"/>
  <c r="AI289" i="1"/>
  <c r="AI290" i="1" s="1"/>
  <c r="AJ289" i="1"/>
  <c r="AJ290" i="1" s="1"/>
  <c r="AL289" i="1"/>
  <c r="AL290" i="1" s="1"/>
  <c r="AN289" i="1"/>
  <c r="AN290" i="1" s="1"/>
  <c r="AO290" i="1" s="1"/>
  <c r="AP289" i="1"/>
  <c r="AP290" i="1" s="1"/>
  <c r="AQ289" i="1"/>
  <c r="AQ290" i="1" s="1"/>
  <c r="AR289" i="1"/>
  <c r="AR290" i="1" s="1"/>
  <c r="AS289" i="1"/>
  <c r="AU289" i="1"/>
  <c r="AU290" i="1" s="1"/>
  <c r="AV289" i="1"/>
  <c r="AV290" i="1" s="1"/>
  <c r="AW289" i="1"/>
  <c r="AW290" i="1" s="1"/>
  <c r="AX289" i="1"/>
  <c r="AX290" i="1" s="1"/>
  <c r="AY289" i="1"/>
  <c r="AY290" i="1" s="1"/>
  <c r="BA289" i="1"/>
  <c r="BA290" i="1" s="1"/>
  <c r="BB289" i="1"/>
  <c r="BB290" i="1" s="1"/>
  <c r="C290" i="1"/>
  <c r="I290" i="1"/>
  <c r="J290" i="1"/>
  <c r="B291" i="1"/>
  <c r="AI292" i="1"/>
  <c r="AO291" i="1"/>
  <c r="AZ291" i="1"/>
  <c r="AZ292" i="1" s="1"/>
  <c r="AZ293" i="1" s="1"/>
  <c r="BC291" i="1"/>
  <c r="C292" i="1"/>
  <c r="C293" i="1" s="1"/>
  <c r="AJ292" i="1"/>
  <c r="AJ293" i="1" s="1"/>
  <c r="AL292" i="1"/>
  <c r="AL293" i="1" s="1"/>
  <c r="AN292" i="1"/>
  <c r="AO292" i="1" s="1"/>
  <c r="AP292" i="1"/>
  <c r="AP293" i="1" s="1"/>
  <c r="AQ292" i="1"/>
  <c r="AQ293" i="1" s="1"/>
  <c r="AR292" i="1"/>
  <c r="AR293" i="1" s="1"/>
  <c r="AS292" i="1"/>
  <c r="AU292" i="1"/>
  <c r="AU293" i="1" s="1"/>
  <c r="AV292" i="1"/>
  <c r="AV293" i="1" s="1"/>
  <c r="AW292" i="1"/>
  <c r="AW293" i="1" s="1"/>
  <c r="AX292" i="1"/>
  <c r="AX293" i="1" s="1"/>
  <c r="AY292" i="1"/>
  <c r="AY293" i="1" s="1"/>
  <c r="BA292" i="1"/>
  <c r="BA293" i="1" s="1"/>
  <c r="BB292" i="1"/>
  <c r="BB293" i="1" s="1"/>
  <c r="I293" i="1"/>
  <c r="J293" i="1"/>
  <c r="B294" i="1"/>
  <c r="AO294" i="1"/>
  <c r="AZ294" i="1"/>
  <c r="AZ295" i="1" s="1"/>
  <c r="BC294" i="1"/>
  <c r="C295" i="1"/>
  <c r="AI295" i="1"/>
  <c r="AJ295" i="1"/>
  <c r="AL295" i="1"/>
  <c r="AN295" i="1"/>
  <c r="AO295" i="1" s="1"/>
  <c r="AP295" i="1"/>
  <c r="AQ295" i="1"/>
  <c r="AR295" i="1"/>
  <c r="AS295" i="1"/>
  <c r="AU295" i="1"/>
  <c r="AV295" i="1"/>
  <c r="AW295" i="1"/>
  <c r="AX295" i="1"/>
  <c r="AY295" i="1"/>
  <c r="BA295" i="1"/>
  <c r="BB295" i="1"/>
  <c r="B145" i="1"/>
  <c r="AI146" i="1"/>
  <c r="AO145" i="1"/>
  <c r="BC145" i="1"/>
  <c r="C146" i="1"/>
  <c r="AJ146" i="1"/>
  <c r="AL146" i="1"/>
  <c r="AN146" i="1"/>
  <c r="AO146" i="1" s="1"/>
  <c r="AP146" i="1"/>
  <c r="AQ146" i="1"/>
  <c r="AR146" i="1"/>
  <c r="AS146" i="1"/>
  <c r="AU146" i="1"/>
  <c r="AV146" i="1"/>
  <c r="AW146" i="1"/>
  <c r="AX146" i="1"/>
  <c r="AY146" i="1"/>
  <c r="AZ146" i="1"/>
  <c r="BA146" i="1"/>
  <c r="BB146" i="1"/>
  <c r="B296" i="1"/>
  <c r="AI297" i="1"/>
  <c r="AI298" i="1" s="1"/>
  <c r="AO296" i="1"/>
  <c r="AZ296" i="1"/>
  <c r="AZ297" i="1" s="1"/>
  <c r="AZ298" i="1" s="1"/>
  <c r="BC296" i="1"/>
  <c r="C297" i="1"/>
  <c r="C298" i="1" s="1"/>
  <c r="AJ297" i="1"/>
  <c r="AJ298" i="1" s="1"/>
  <c r="AL297" i="1"/>
  <c r="AL298" i="1" s="1"/>
  <c r="AN297" i="1"/>
  <c r="AO297" i="1" s="1"/>
  <c r="AP297" i="1"/>
  <c r="AP298" i="1" s="1"/>
  <c r="AQ297" i="1"/>
  <c r="AQ298" i="1" s="1"/>
  <c r="AR297" i="1"/>
  <c r="AR298" i="1" s="1"/>
  <c r="AS297" i="1"/>
  <c r="AU297" i="1"/>
  <c r="AU298" i="1" s="1"/>
  <c r="AV297" i="1"/>
  <c r="AV298" i="1" s="1"/>
  <c r="AW297" i="1"/>
  <c r="AW298" i="1" s="1"/>
  <c r="AX297" i="1"/>
  <c r="AX298" i="1" s="1"/>
  <c r="AY297" i="1"/>
  <c r="AY298" i="1" s="1"/>
  <c r="BA297" i="1"/>
  <c r="BA298" i="1" s="1"/>
  <c r="BB297" i="1"/>
  <c r="BB298" i="1" s="1"/>
  <c r="B299" i="1"/>
  <c r="AO299" i="1"/>
  <c r="AZ299" i="1"/>
  <c r="AZ300" i="1" s="1"/>
  <c r="AZ301" i="1" s="1"/>
  <c r="AZ302" i="1" s="1"/>
  <c r="BC299" i="1"/>
  <c r="C300" i="1"/>
  <c r="C302" i="1" s="1"/>
  <c r="AI300" i="1"/>
  <c r="AI301" i="1" s="1"/>
  <c r="AI302" i="1" s="1"/>
  <c r="AJ300" i="1"/>
  <c r="AJ301" i="1" s="1"/>
  <c r="AJ302" i="1" s="1"/>
  <c r="AL300" i="1"/>
  <c r="AL301" i="1" s="1"/>
  <c r="AL302" i="1" s="1"/>
  <c r="AN300" i="1"/>
  <c r="AO300" i="1" s="1"/>
  <c r="AP300" i="1"/>
  <c r="AP301" i="1" s="1"/>
  <c r="AP302" i="1" s="1"/>
  <c r="AQ300" i="1"/>
  <c r="AQ301" i="1" s="1"/>
  <c r="AQ302" i="1" s="1"/>
  <c r="AR300" i="1"/>
  <c r="AR301" i="1" s="1"/>
  <c r="AR302" i="1" s="1"/>
  <c r="AS300" i="1"/>
  <c r="AU300" i="1"/>
  <c r="AU301" i="1" s="1"/>
  <c r="AV300" i="1"/>
  <c r="AV301" i="1" s="1"/>
  <c r="AV302" i="1" s="1"/>
  <c r="AW300" i="1"/>
  <c r="AW301" i="1" s="1"/>
  <c r="AW302" i="1" s="1"/>
  <c r="AX300" i="1"/>
  <c r="AX301" i="1" s="1"/>
  <c r="AX302" i="1" s="1"/>
  <c r="AY300" i="1"/>
  <c r="AY301" i="1" s="1"/>
  <c r="AY302" i="1" s="1"/>
  <c r="BA300" i="1"/>
  <c r="BA301" i="1" s="1"/>
  <c r="BA302" i="1" s="1"/>
  <c r="BB300" i="1"/>
  <c r="BB301" i="1" s="1"/>
  <c r="BB302" i="1" s="1"/>
  <c r="C301" i="1"/>
  <c r="I302" i="1"/>
  <c r="J302" i="1"/>
  <c r="B184" i="1"/>
  <c r="AI185" i="1"/>
  <c r="AI186" i="1" s="1"/>
  <c r="AO184" i="1"/>
  <c r="AZ184" i="1"/>
  <c r="AZ185" i="1" s="1"/>
  <c r="AZ186" i="1" s="1"/>
  <c r="BC184" i="1"/>
  <c r="C185" i="1"/>
  <c r="C186" i="1" s="1"/>
  <c r="AJ185" i="1"/>
  <c r="AJ186" i="1" s="1"/>
  <c r="AL185" i="1"/>
  <c r="AL186" i="1" s="1"/>
  <c r="AN185" i="1"/>
  <c r="AN186" i="1" s="1"/>
  <c r="AO186" i="1" s="1"/>
  <c r="AP185" i="1"/>
  <c r="AP186" i="1" s="1"/>
  <c r="AQ185" i="1"/>
  <c r="AQ186" i="1" s="1"/>
  <c r="AR185" i="1"/>
  <c r="AR186" i="1" s="1"/>
  <c r="AS185" i="1"/>
  <c r="AU185" i="1"/>
  <c r="AU186" i="1" s="1"/>
  <c r="AV185" i="1"/>
  <c r="AV186" i="1" s="1"/>
  <c r="AW185" i="1"/>
  <c r="AW186" i="1" s="1"/>
  <c r="AX185" i="1"/>
  <c r="AX186" i="1" s="1"/>
  <c r="AY185" i="1"/>
  <c r="AY186" i="1" s="1"/>
  <c r="BA185" i="1"/>
  <c r="BA186" i="1" s="1"/>
  <c r="BB185" i="1"/>
  <c r="BB186" i="1" s="1"/>
  <c r="B303" i="1"/>
  <c r="AI304" i="1"/>
  <c r="AI305" i="1" s="1"/>
  <c r="AO303" i="1"/>
  <c r="AZ303" i="1"/>
  <c r="AZ304" i="1" s="1"/>
  <c r="AZ305" i="1" s="1"/>
  <c r="BC303" i="1"/>
  <c r="C304" i="1"/>
  <c r="AJ304" i="1"/>
  <c r="AJ305" i="1" s="1"/>
  <c r="AL304" i="1"/>
  <c r="AL305" i="1" s="1"/>
  <c r="AN304" i="1"/>
  <c r="AO304" i="1" s="1"/>
  <c r="AP304" i="1"/>
  <c r="AP305" i="1" s="1"/>
  <c r="AQ304" i="1"/>
  <c r="AR304" i="1"/>
  <c r="AR305" i="1" s="1"/>
  <c r="AS304" i="1"/>
  <c r="AU304" i="1"/>
  <c r="AU305" i="1" s="1"/>
  <c r="AV304" i="1"/>
  <c r="AV305" i="1" s="1"/>
  <c r="AW304" i="1"/>
  <c r="AW305" i="1" s="1"/>
  <c r="AX304" i="1"/>
  <c r="AX305" i="1" s="1"/>
  <c r="AY304" i="1"/>
  <c r="AY305" i="1" s="1"/>
  <c r="BA304" i="1"/>
  <c r="BA305" i="1" s="1"/>
  <c r="BB304" i="1"/>
  <c r="BB305" i="1" s="1"/>
  <c r="C305" i="1"/>
  <c r="B306" i="1"/>
  <c r="AO306" i="1"/>
  <c r="BC306" i="1"/>
  <c r="C307" i="1"/>
  <c r="C308" i="1" s="1"/>
  <c r="C309" i="1" s="1"/>
  <c r="C310" i="1" s="1"/>
  <c r="C311" i="1" s="1"/>
  <c r="AI307" i="1"/>
  <c r="AI308" i="1" s="1"/>
  <c r="AI309" i="1" s="1"/>
  <c r="AI310" i="1" s="1"/>
  <c r="AI311" i="1" s="1"/>
  <c r="AJ307" i="1"/>
  <c r="AJ308" i="1" s="1"/>
  <c r="AJ309" i="1" s="1"/>
  <c r="AJ310" i="1" s="1"/>
  <c r="AJ311" i="1" s="1"/>
  <c r="AL307" i="1"/>
  <c r="AL308" i="1" s="1"/>
  <c r="AL309" i="1" s="1"/>
  <c r="AL310" i="1" s="1"/>
  <c r="AL311" i="1" s="1"/>
  <c r="AN307" i="1"/>
  <c r="AO307" i="1" s="1"/>
  <c r="AP307" i="1"/>
  <c r="AP308" i="1" s="1"/>
  <c r="AP309" i="1" s="1"/>
  <c r="AP310" i="1" s="1"/>
  <c r="AP311" i="1" s="1"/>
  <c r="AQ307" i="1"/>
  <c r="AQ308" i="1" s="1"/>
  <c r="AQ309" i="1" s="1"/>
  <c r="AQ310" i="1" s="1"/>
  <c r="AR307" i="1"/>
  <c r="AR308" i="1" s="1"/>
  <c r="AR309" i="1" s="1"/>
  <c r="AR310" i="1" s="1"/>
  <c r="AR311" i="1" s="1"/>
  <c r="AS307" i="1"/>
  <c r="AU307" i="1"/>
  <c r="AU308" i="1" s="1"/>
  <c r="AU309" i="1" s="1"/>
  <c r="AV307" i="1"/>
  <c r="AV308" i="1" s="1"/>
  <c r="AV309" i="1" s="1"/>
  <c r="AV310" i="1" s="1"/>
  <c r="AV311" i="1" s="1"/>
  <c r="AW307" i="1"/>
  <c r="AW308" i="1" s="1"/>
  <c r="AW309" i="1" s="1"/>
  <c r="AW310" i="1" s="1"/>
  <c r="AW311" i="1" s="1"/>
  <c r="AX307" i="1"/>
  <c r="AX308" i="1" s="1"/>
  <c r="AX309" i="1" s="1"/>
  <c r="AX310" i="1" s="1"/>
  <c r="AX311" i="1" s="1"/>
  <c r="AY307" i="1"/>
  <c r="AY308" i="1" s="1"/>
  <c r="AY309" i="1" s="1"/>
  <c r="AY310" i="1" s="1"/>
  <c r="AY311" i="1" s="1"/>
  <c r="AZ307" i="1"/>
  <c r="AZ308" i="1" s="1"/>
  <c r="AZ309" i="1" s="1"/>
  <c r="AZ310" i="1" s="1"/>
  <c r="AZ311" i="1" s="1"/>
  <c r="BA307" i="1"/>
  <c r="BA308" i="1" s="1"/>
  <c r="BA309" i="1" s="1"/>
  <c r="BA310" i="1" s="1"/>
  <c r="BA311" i="1" s="1"/>
  <c r="BB307" i="1"/>
  <c r="BB308" i="1" s="1"/>
  <c r="BB309" i="1" s="1"/>
  <c r="BB310" i="1" s="1"/>
  <c r="BB311" i="1" s="1"/>
  <c r="I309" i="1"/>
  <c r="J309" i="1"/>
  <c r="I310" i="1"/>
  <c r="J310" i="1"/>
  <c r="I311" i="1"/>
  <c r="J311" i="1"/>
  <c r="FS191" i="1"/>
  <c r="FL191" i="1"/>
  <c r="FF191" i="1"/>
  <c r="EC191" i="1"/>
  <c r="EA191" i="1"/>
  <c r="DN191" i="1"/>
  <c r="DB191" i="1"/>
  <c r="CZ191" i="1"/>
  <c r="CK191" i="1"/>
  <c r="CJ191" i="1"/>
  <c r="CI191" i="1"/>
  <c r="CH191" i="1"/>
  <c r="CG191" i="1"/>
  <c r="CF191" i="1"/>
  <c r="CE191" i="1"/>
  <c r="CD191" i="1"/>
  <c r="CC191" i="1"/>
  <c r="CB191" i="1"/>
  <c r="CA191" i="1"/>
  <c r="BZ191" i="1"/>
  <c r="BY191" i="1"/>
  <c r="BX191" i="1"/>
  <c r="BW191" i="1"/>
  <c r="BV191" i="1"/>
  <c r="BU191" i="1"/>
  <c r="BT191" i="1"/>
  <c r="BS191" i="1"/>
  <c r="BR191" i="1"/>
  <c r="FS190" i="1"/>
  <c r="FL190" i="1"/>
  <c r="FF190" i="1"/>
  <c r="EC190" i="1"/>
  <c r="EA190" i="1"/>
  <c r="DN190" i="1"/>
  <c r="DB190" i="1"/>
  <c r="CZ190" i="1"/>
  <c r="CK190" i="1"/>
  <c r="CJ190" i="1"/>
  <c r="CI190" i="1"/>
  <c r="CH190" i="1"/>
  <c r="CG190" i="1"/>
  <c r="CF190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FS189" i="1"/>
  <c r="FL189" i="1"/>
  <c r="FF189" i="1"/>
  <c r="EC189" i="1"/>
  <c r="EA189" i="1"/>
  <c r="DN189" i="1"/>
  <c r="DC189" i="1"/>
  <c r="J188" i="1" s="1"/>
  <c r="DA189" i="1"/>
  <c r="CZ189" i="1" s="1"/>
  <c r="CK189" i="1"/>
  <c r="CJ189" i="1"/>
  <c r="CI189" i="1"/>
  <c r="CH189" i="1"/>
  <c r="CG189" i="1"/>
  <c r="CF189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M189" i="1"/>
  <c r="BM190" i="1" s="1"/>
  <c r="BM191" i="1" s="1"/>
  <c r="BL189" i="1"/>
  <c r="BL190" i="1" s="1"/>
  <c r="BL191" i="1" s="1"/>
  <c r="BK189" i="1"/>
  <c r="BK190" i="1" s="1"/>
  <c r="GB188" i="1"/>
  <c r="FS188" i="1"/>
  <c r="FR188" i="1"/>
  <c r="FL188" i="1"/>
  <c r="FK188" i="1"/>
  <c r="FF188" i="1"/>
  <c r="FE188" i="1"/>
  <c r="EY188" i="1"/>
  <c r="ES188" i="1"/>
  <c r="EM188" i="1"/>
  <c r="EH188" i="1"/>
  <c r="EC188" i="1"/>
  <c r="EB188" i="1"/>
  <c r="EA188" i="1"/>
  <c r="DZ188" i="1"/>
  <c r="DX188" i="1"/>
  <c r="DW188" i="1"/>
  <c r="DU188" i="1"/>
  <c r="DT188" i="1"/>
  <c r="DS188" i="1"/>
  <c r="DR188" i="1"/>
  <c r="DQ188" i="1"/>
  <c r="DP188" i="1"/>
  <c r="DO188" i="1" s="1"/>
  <c r="DN188" i="1"/>
  <c r="DM188" i="1"/>
  <c r="DJ188" i="1"/>
  <c r="DK188" i="1" s="1"/>
  <c r="DI188" i="1"/>
  <c r="DB188" i="1"/>
  <c r="CZ188" i="1"/>
  <c r="CY188" i="1"/>
  <c r="CX188" i="1"/>
  <c r="CW188" i="1"/>
  <c r="CV188" i="1"/>
  <c r="CU188" i="1"/>
  <c r="CN188" i="1"/>
  <c r="CB188" i="1"/>
  <c r="BT188" i="1"/>
  <c r="BN188" i="1"/>
  <c r="BE188" i="1"/>
  <c r="BD188" i="1"/>
  <c r="O9" i="1"/>
  <c r="AT74" i="1" l="1"/>
  <c r="AT76" i="1" s="1"/>
  <c r="AT75" i="1"/>
  <c r="GA295" i="1"/>
  <c r="GA168" i="1"/>
  <c r="AS278" i="1"/>
  <c r="GA277" i="1"/>
  <c r="AS259" i="1"/>
  <c r="GA258" i="1"/>
  <c r="AS284" i="1"/>
  <c r="GA284" i="1" s="1"/>
  <c r="GA283" i="1"/>
  <c r="AS221" i="1"/>
  <c r="GA220" i="1"/>
  <c r="AS216" i="1"/>
  <c r="GA215" i="1"/>
  <c r="AS225" i="1"/>
  <c r="GA224" i="1"/>
  <c r="AS140" i="1"/>
  <c r="GA140" i="1" s="1"/>
  <c r="GA139" i="1"/>
  <c r="AS135" i="1"/>
  <c r="GA133" i="1"/>
  <c r="AS287" i="1"/>
  <c r="GA287" i="1" s="1"/>
  <c r="GA286" i="1"/>
  <c r="AS157" i="1"/>
  <c r="GA157" i="1" s="1"/>
  <c r="GA156" i="1"/>
  <c r="AS305" i="1"/>
  <c r="GA305" i="1" s="1"/>
  <c r="GA304" i="1"/>
  <c r="GA146" i="1"/>
  <c r="AS174" i="1"/>
  <c r="GA174" i="1" s="1"/>
  <c r="GA173" i="1"/>
  <c r="AS160" i="1"/>
  <c r="GA160" i="1" s="1"/>
  <c r="GA159" i="1"/>
  <c r="AS129" i="1"/>
  <c r="GA128" i="1"/>
  <c r="AS116" i="1"/>
  <c r="GA115" i="1"/>
  <c r="AS298" i="1"/>
  <c r="GA298" i="1" s="1"/>
  <c r="GA297" i="1"/>
  <c r="AS30" i="1"/>
  <c r="GA30" i="1" s="1"/>
  <c r="GA29" i="1"/>
  <c r="AS163" i="1"/>
  <c r="GA163" i="1" s="1"/>
  <c r="GA162" i="1"/>
  <c r="AS252" i="1"/>
  <c r="GA251" i="1"/>
  <c r="AS245" i="1"/>
  <c r="GA244" i="1"/>
  <c r="AS308" i="1"/>
  <c r="GA307" i="1"/>
  <c r="AS290" i="1"/>
  <c r="GA290" i="1" s="1"/>
  <c r="GA289" i="1"/>
  <c r="GA134" i="1"/>
  <c r="AS293" i="1"/>
  <c r="GA293" i="1" s="1"/>
  <c r="GA292" i="1"/>
  <c r="AS275" i="1"/>
  <c r="GA275" i="1" s="1"/>
  <c r="GA274" i="1"/>
  <c r="AS266" i="1"/>
  <c r="GA265" i="1"/>
  <c r="AS256" i="1"/>
  <c r="GA256" i="1" s="1"/>
  <c r="GA255" i="1"/>
  <c r="AS177" i="1"/>
  <c r="GA177" i="1" s="1"/>
  <c r="GA176" i="1"/>
  <c r="AS270" i="1"/>
  <c r="GA269" i="1"/>
  <c r="AS200" i="1"/>
  <c r="GA199" i="1"/>
  <c r="AS64" i="1"/>
  <c r="GA63" i="1"/>
  <c r="AS238" i="1"/>
  <c r="GA237" i="1"/>
  <c r="AS194" i="1"/>
  <c r="GA193" i="1"/>
  <c r="AS190" i="1"/>
  <c r="DJ190" i="1" s="1"/>
  <c r="DK190" i="1" s="1"/>
  <c r="GA189" i="1"/>
  <c r="AS183" i="1"/>
  <c r="GA183" i="1" s="1"/>
  <c r="GA182" i="1"/>
  <c r="AS166" i="1"/>
  <c r="GA166" i="1" s="1"/>
  <c r="GA165" i="1"/>
  <c r="AS301" i="1"/>
  <c r="GA300" i="1"/>
  <c r="AS186" i="1"/>
  <c r="GA186" i="1" s="1"/>
  <c r="GA185" i="1"/>
  <c r="AS124" i="1"/>
  <c r="GA123" i="1"/>
  <c r="AS232" i="1"/>
  <c r="GA231" i="1"/>
  <c r="AS204" i="1"/>
  <c r="GA203" i="1"/>
  <c r="AS171" i="1"/>
  <c r="GA171" i="1" s="1"/>
  <c r="GA170" i="1"/>
  <c r="AI275" i="1"/>
  <c r="H275" i="1" s="1"/>
  <c r="H274" i="1"/>
  <c r="I273" i="1" s="1"/>
  <c r="AI177" i="1"/>
  <c r="H177" i="1" s="1"/>
  <c r="H176" i="1"/>
  <c r="I175" i="1" s="1"/>
  <c r="AI166" i="1"/>
  <c r="H166" i="1" s="1"/>
  <c r="H165" i="1"/>
  <c r="I164" i="1" s="1"/>
  <c r="I182" i="1"/>
  <c r="J182" i="1"/>
  <c r="AI278" i="1"/>
  <c r="H277" i="1"/>
  <c r="I276" i="1" s="1"/>
  <c r="X221" i="1"/>
  <c r="X222" i="1" s="1"/>
  <c r="I220" i="1"/>
  <c r="J220" i="1"/>
  <c r="AI174" i="1"/>
  <c r="H174" i="1" s="1"/>
  <c r="H173" i="1"/>
  <c r="I172" i="1" s="1"/>
  <c r="J215" i="1"/>
  <c r="H214" i="1" s="1"/>
  <c r="I215" i="1"/>
  <c r="AI245" i="1"/>
  <c r="H244" i="1"/>
  <c r="I243" i="1" s="1"/>
  <c r="AI163" i="1"/>
  <c r="AI293" i="1"/>
  <c r="AT134" i="1"/>
  <c r="J121" i="1"/>
  <c r="Y120" i="1"/>
  <c r="Y119" i="1"/>
  <c r="CN73" i="1"/>
  <c r="CL76" i="1"/>
  <c r="CL73" i="1"/>
  <c r="CL74" i="1"/>
  <c r="AO185" i="1"/>
  <c r="AO258" i="1"/>
  <c r="AN135" i="1"/>
  <c r="AN136" i="1" s="1"/>
  <c r="AO136" i="1" s="1"/>
  <c r="AO176" i="1"/>
  <c r="C119" i="1"/>
  <c r="AN238" i="1"/>
  <c r="AN239" i="1" s="1"/>
  <c r="AN240" i="1" s="1"/>
  <c r="AO240" i="1" s="1"/>
  <c r="AN129" i="1"/>
  <c r="AO129" i="1" s="1"/>
  <c r="AN166" i="1"/>
  <c r="AO166" i="1" s="1"/>
  <c r="AN298" i="1"/>
  <c r="AO298" i="1" s="1"/>
  <c r="Y210" i="1"/>
  <c r="I210" i="1" s="1"/>
  <c r="AN266" i="1"/>
  <c r="AO266" i="1" s="1"/>
  <c r="AN157" i="1"/>
  <c r="AO157" i="1" s="1"/>
  <c r="AN305" i="1"/>
  <c r="AO305" i="1" s="1"/>
  <c r="I208" i="1"/>
  <c r="J208" i="1"/>
  <c r="Y209" i="1"/>
  <c r="I209" i="1" s="1"/>
  <c r="BC282" i="1"/>
  <c r="AO255" i="1"/>
  <c r="AO289" i="1"/>
  <c r="AI271" i="1"/>
  <c r="AN225" i="1"/>
  <c r="AO225" i="1" s="1"/>
  <c r="AO199" i="1"/>
  <c r="AO29" i="1"/>
  <c r="AO193" i="1"/>
  <c r="AO159" i="1"/>
  <c r="AT69" i="1"/>
  <c r="AJ209" i="1"/>
  <c r="AJ212" i="1" s="1"/>
  <c r="AJ211" i="1"/>
  <c r="AT211" i="1"/>
  <c r="AT210" i="1"/>
  <c r="AT209" i="1"/>
  <c r="AT212" i="1" s="1"/>
  <c r="AN222" i="1"/>
  <c r="AO222" i="1" s="1"/>
  <c r="AO221" i="1"/>
  <c r="BB211" i="1"/>
  <c r="BB209" i="1"/>
  <c r="BB212" i="1" s="1"/>
  <c r="BB210" i="1"/>
  <c r="AY209" i="1"/>
  <c r="AY212" i="1" s="1"/>
  <c r="AY211" i="1"/>
  <c r="AN195" i="1"/>
  <c r="AO195" i="1" s="1"/>
  <c r="Q183" i="1"/>
  <c r="AU166" i="1"/>
  <c r="AN308" i="1"/>
  <c r="AO308" i="1" s="1"/>
  <c r="C261" i="1"/>
  <c r="AN252" i="1"/>
  <c r="AO182" i="1"/>
  <c r="AO220" i="1"/>
  <c r="AO63" i="1"/>
  <c r="AN293" i="1"/>
  <c r="AO293" i="1" s="1"/>
  <c r="C271" i="1"/>
  <c r="AN216" i="1"/>
  <c r="AN232" i="1"/>
  <c r="AN284" i="1"/>
  <c r="AO284" i="1" s="1"/>
  <c r="AQ311" i="1"/>
  <c r="AU271" i="1"/>
  <c r="AU302" i="1"/>
  <c r="AP209" i="1"/>
  <c r="AP212" i="1" s="1"/>
  <c r="AP210" i="1"/>
  <c r="AP211" i="1"/>
  <c r="AQ262" i="1"/>
  <c r="AU310" i="1"/>
  <c r="AU311" i="1" s="1"/>
  <c r="AU263" i="1"/>
  <c r="BA209" i="1"/>
  <c r="BA212" i="1" s="1"/>
  <c r="BA211" i="1"/>
  <c r="BA210" i="1"/>
  <c r="AQ305" i="1"/>
  <c r="AN301" i="1"/>
  <c r="AO274" i="1"/>
  <c r="BC285" i="1"/>
  <c r="BB286" i="1"/>
  <c r="BB287" i="1" s="1"/>
  <c r="AO269" i="1"/>
  <c r="AN270" i="1"/>
  <c r="X216" i="1"/>
  <c r="X217" i="1" s="1"/>
  <c r="I217" i="1" s="1"/>
  <c r="AU209" i="1"/>
  <c r="AU212" i="1" s="1"/>
  <c r="AU210" i="1"/>
  <c r="AU211" i="1"/>
  <c r="C233" i="1"/>
  <c r="C234" i="1"/>
  <c r="AZ210" i="1"/>
  <c r="AZ211" i="1"/>
  <c r="AZ209" i="1"/>
  <c r="AZ212" i="1" s="1"/>
  <c r="AO277" i="1"/>
  <c r="AN278" i="1"/>
  <c r="AO259" i="1"/>
  <c r="AN260" i="1"/>
  <c r="AQ210" i="1"/>
  <c r="AQ211" i="1"/>
  <c r="AQ209" i="1"/>
  <c r="AQ212" i="1" s="1"/>
  <c r="AU233" i="1"/>
  <c r="AU226" i="1"/>
  <c r="AX210" i="1"/>
  <c r="AX211" i="1"/>
  <c r="AX209" i="1"/>
  <c r="AX212" i="1" s="1"/>
  <c r="AL210" i="1"/>
  <c r="AL211" i="1"/>
  <c r="AL209" i="1"/>
  <c r="AL212" i="1" s="1"/>
  <c r="AU201" i="1"/>
  <c r="AR209" i="1"/>
  <c r="AR212" i="1" s="1"/>
  <c r="AR210" i="1"/>
  <c r="AR211" i="1"/>
  <c r="AW209" i="1"/>
  <c r="AW212" i="1" s="1"/>
  <c r="AW210" i="1"/>
  <c r="AW211" i="1"/>
  <c r="AQ252" i="1"/>
  <c r="AV211" i="1"/>
  <c r="U218" i="1"/>
  <c r="AY210" i="1"/>
  <c r="AN287" i="1"/>
  <c r="AO287" i="1" s="1"/>
  <c r="AO244" i="1"/>
  <c r="AN245" i="1"/>
  <c r="C226" i="1"/>
  <c r="C227" i="1"/>
  <c r="C228" i="1"/>
  <c r="AO189" i="1"/>
  <c r="AN190" i="1"/>
  <c r="AV210" i="1"/>
  <c r="AO64" i="1"/>
  <c r="AN65" i="1"/>
  <c r="AO65" i="1" s="1"/>
  <c r="C195" i="1"/>
  <c r="C197" i="1" s="1"/>
  <c r="C196" i="1"/>
  <c r="AU130" i="1"/>
  <c r="AU131" i="1" s="1"/>
  <c r="R216" i="1"/>
  <c r="AJ210" i="1"/>
  <c r="AO200" i="1"/>
  <c r="AN201" i="1"/>
  <c r="AO201" i="1" s="1"/>
  <c r="AU195" i="1"/>
  <c r="AU196" i="1" s="1"/>
  <c r="AU197" i="1" s="1"/>
  <c r="AO162" i="1"/>
  <c r="AN163" i="1"/>
  <c r="AO163" i="1" s="1"/>
  <c r="AU118" i="1"/>
  <c r="AU119" i="1" s="1"/>
  <c r="AU120" i="1" s="1"/>
  <c r="H155" i="1"/>
  <c r="AQ120" i="1"/>
  <c r="AQ174" i="1"/>
  <c r="AN204" i="1"/>
  <c r="AQ126" i="1"/>
  <c r="AO139" i="1"/>
  <c r="AN140" i="1"/>
  <c r="AO140" i="1" s="1"/>
  <c r="AU136" i="1"/>
  <c r="AO123" i="1"/>
  <c r="AN124" i="1"/>
  <c r="AN171" i="1"/>
  <c r="AO171" i="1" s="1"/>
  <c r="AN116" i="1"/>
  <c r="AN174" i="1"/>
  <c r="AO174" i="1" s="1"/>
  <c r="H122" i="1"/>
  <c r="H132" i="1"/>
  <c r="H127" i="1"/>
  <c r="CL189" i="1"/>
  <c r="CL190" i="1"/>
  <c r="CL191" i="1"/>
  <c r="BK191" i="1"/>
  <c r="BN191" i="1" s="1"/>
  <c r="BN190" i="1"/>
  <c r="CP191" i="1"/>
  <c r="CP190" i="1"/>
  <c r="BN189" i="1"/>
  <c r="CP189" i="1"/>
  <c r="DJ189" i="1"/>
  <c r="DK189" i="1" s="1"/>
  <c r="FB190" i="1" l="1"/>
  <c r="DP189" i="1"/>
  <c r="FZ189" i="1"/>
  <c r="AS65" i="1"/>
  <c r="GA65" i="1" s="1"/>
  <c r="GA64" i="1"/>
  <c r="AS233" i="1"/>
  <c r="GA232" i="1"/>
  <c r="AS271" i="1"/>
  <c r="GA270" i="1"/>
  <c r="AS217" i="1"/>
  <c r="GA216" i="1"/>
  <c r="AS191" i="1"/>
  <c r="GA191" i="1" s="1"/>
  <c r="FZ191" i="1" s="1"/>
  <c r="GA190" i="1"/>
  <c r="FZ190" i="1" s="1"/>
  <c r="AS226" i="1"/>
  <c r="GA225" i="1"/>
  <c r="AS222" i="1"/>
  <c r="GA222" i="1" s="1"/>
  <c r="GA221" i="1"/>
  <c r="AS205" i="1"/>
  <c r="GA204" i="1"/>
  <c r="AS201" i="1"/>
  <c r="GA201" i="1" s="1"/>
  <c r="GA200" i="1"/>
  <c r="AS125" i="1"/>
  <c r="GA124" i="1"/>
  <c r="CO76" i="1"/>
  <c r="M76" i="1" s="1"/>
  <c r="AS195" i="1"/>
  <c r="GA194" i="1"/>
  <c r="AS309" i="1"/>
  <c r="GA308" i="1"/>
  <c r="AS117" i="1"/>
  <c r="GA116" i="1"/>
  <c r="AS239" i="1"/>
  <c r="GA238" i="1"/>
  <c r="AS246" i="1"/>
  <c r="GA245" i="1"/>
  <c r="AS130" i="1"/>
  <c r="GA129" i="1"/>
  <c r="DR191" i="1"/>
  <c r="AS267" i="1"/>
  <c r="GA267" i="1" s="1"/>
  <c r="GA266" i="1"/>
  <c r="AS136" i="1"/>
  <c r="GA136" i="1" s="1"/>
  <c r="GA135" i="1"/>
  <c r="AS260" i="1"/>
  <c r="GA259" i="1"/>
  <c r="AS302" i="1"/>
  <c r="GA302" i="1" s="1"/>
  <c r="GA301" i="1"/>
  <c r="AS253" i="1"/>
  <c r="GA253" i="1" s="1"/>
  <c r="GA252" i="1"/>
  <c r="AS279" i="1"/>
  <c r="GA278" i="1"/>
  <c r="J217" i="1"/>
  <c r="J222" i="1"/>
  <c r="I222" i="1"/>
  <c r="J221" i="1"/>
  <c r="I221" i="1"/>
  <c r="AI246" i="1"/>
  <c r="H245" i="1"/>
  <c r="H181" i="1"/>
  <c r="AN226" i="1"/>
  <c r="AN227" i="1" s="1"/>
  <c r="AI279" i="1"/>
  <c r="H278" i="1"/>
  <c r="J216" i="1"/>
  <c r="I216" i="1"/>
  <c r="J183" i="1"/>
  <c r="I183" i="1"/>
  <c r="H219" i="1"/>
  <c r="AO135" i="1"/>
  <c r="I119" i="1"/>
  <c r="J119" i="1"/>
  <c r="J120" i="1"/>
  <c r="I120" i="1"/>
  <c r="AN267" i="1"/>
  <c r="AO267" i="1" s="1"/>
  <c r="CO74" i="1"/>
  <c r="M74" i="1" s="1"/>
  <c r="CO73" i="1"/>
  <c r="M73" i="1" s="1"/>
  <c r="J210" i="1"/>
  <c r="AN130" i="1"/>
  <c r="AN131" i="1" s="1"/>
  <c r="AO131" i="1" s="1"/>
  <c r="AN196" i="1"/>
  <c r="AN197" i="1" s="1"/>
  <c r="AO197" i="1" s="1"/>
  <c r="J209" i="1"/>
  <c r="AO238" i="1"/>
  <c r="AN241" i="1"/>
  <c r="AO239" i="1"/>
  <c r="CY189" i="1"/>
  <c r="N189" i="1" s="1"/>
  <c r="AN309" i="1"/>
  <c r="AN310" i="1" s="1"/>
  <c r="AO216" i="1"/>
  <c r="AN217" i="1"/>
  <c r="CX190" i="1"/>
  <c r="AN233" i="1"/>
  <c r="AO232" i="1"/>
  <c r="AO252" i="1"/>
  <c r="AN253" i="1"/>
  <c r="AO253" i="1" s="1"/>
  <c r="AO301" i="1"/>
  <c r="AN302" i="1"/>
  <c r="AO302" i="1" s="1"/>
  <c r="AQ263" i="1"/>
  <c r="AU227" i="1"/>
  <c r="AO309" i="1"/>
  <c r="AN246" i="1"/>
  <c r="AO245" i="1"/>
  <c r="AU121" i="1"/>
  <c r="AO270" i="1"/>
  <c r="AN271" i="1"/>
  <c r="AO124" i="1"/>
  <c r="AN125" i="1"/>
  <c r="AO190" i="1"/>
  <c r="AN191" i="1"/>
  <c r="AO191" i="1" s="1"/>
  <c r="AU234" i="1"/>
  <c r="AO204" i="1"/>
  <c r="AN205" i="1"/>
  <c r="AO260" i="1"/>
  <c r="AN261" i="1"/>
  <c r="X218" i="1"/>
  <c r="I218" i="1" s="1"/>
  <c r="AO116" i="1"/>
  <c r="AN117" i="1"/>
  <c r="AO226" i="1"/>
  <c r="AQ121" i="1"/>
  <c r="AO278" i="1"/>
  <c r="AN279" i="1"/>
  <c r="AU272" i="1"/>
  <c r="AQ253" i="1"/>
  <c r="DQ189" i="1"/>
  <c r="EE189" i="1"/>
  <c r="EJ189" i="1"/>
  <c r="EX189" i="1"/>
  <c r="FW189" i="1"/>
  <c r="FB189" i="1"/>
  <c r="DU189" i="1"/>
  <c r="FN189" i="1"/>
  <c r="EP189" i="1"/>
  <c r="ED189" i="1"/>
  <c r="FD189" i="1"/>
  <c r="DQ190" i="1"/>
  <c r="EV191" i="1"/>
  <c r="FU191" i="1"/>
  <c r="FH190" i="1"/>
  <c r="EP190" i="1"/>
  <c r="DT190" i="1"/>
  <c r="FP191" i="1"/>
  <c r="CO191" i="1"/>
  <c r="M191" i="1" s="1"/>
  <c r="DS189" i="1"/>
  <c r="EQ189" i="1"/>
  <c r="EF189" i="1"/>
  <c r="EX190" i="1"/>
  <c r="FH189" i="1"/>
  <c r="FV189" i="1"/>
  <c r="FQ189" i="1"/>
  <c r="EV189" i="1"/>
  <c r="FW190" i="1"/>
  <c r="FN191" i="1"/>
  <c r="FP189" i="1"/>
  <c r="EP191" i="1"/>
  <c r="EL189" i="1"/>
  <c r="CW189" i="1"/>
  <c r="FI189" i="1"/>
  <c r="CO190" i="1"/>
  <c r="M190" i="1" s="1"/>
  <c r="FV191" i="1"/>
  <c r="DS190" i="1"/>
  <c r="EK189" i="1"/>
  <c r="FJ190" i="1"/>
  <c r="DR189" i="1"/>
  <c r="FB191" i="1"/>
  <c r="DP191" i="1"/>
  <c r="ED191" i="1"/>
  <c r="EW189" i="1"/>
  <c r="FC189" i="1"/>
  <c r="ER189" i="1"/>
  <c r="FU189" i="1"/>
  <c r="EL190" i="1"/>
  <c r="DS191" i="1"/>
  <c r="EJ191" i="1"/>
  <c r="FH191" i="1"/>
  <c r="CO189" i="1"/>
  <c r="M189" i="1" s="1"/>
  <c r="FO189" i="1"/>
  <c r="CX189" i="1"/>
  <c r="DP190" i="1"/>
  <c r="FN190" i="1"/>
  <c r="DT189" i="1"/>
  <c r="FJ189" i="1"/>
  <c r="ED190" i="1"/>
  <c r="FO190" i="1"/>
  <c r="EE190" i="1"/>
  <c r="EJ190" i="1"/>
  <c r="FC190" i="1"/>
  <c r="DR190" i="1"/>
  <c r="EW190" i="1"/>
  <c r="FD190" i="1"/>
  <c r="EF190" i="1"/>
  <c r="DU190" i="1"/>
  <c r="FP190" i="1"/>
  <c r="EV190" i="1"/>
  <c r="EK190" i="1"/>
  <c r="EQ190" i="1"/>
  <c r="FI190" i="1"/>
  <c r="FQ190" i="1"/>
  <c r="ER190" i="1"/>
  <c r="FU190" i="1"/>
  <c r="CY190" i="1"/>
  <c r="N190" i="1" s="1"/>
  <c r="CW190" i="1"/>
  <c r="FV190" i="1"/>
  <c r="FD191" i="1"/>
  <c r="CW191" i="1"/>
  <c r="CY191" i="1"/>
  <c r="N191" i="1" s="1"/>
  <c r="FI191" i="1"/>
  <c r="FW191" i="1"/>
  <c r="DQ191" i="1"/>
  <c r="EQ191" i="1"/>
  <c r="EE191" i="1"/>
  <c r="EW191" i="1"/>
  <c r="FJ191" i="1"/>
  <c r="EK191" i="1"/>
  <c r="FC191" i="1"/>
  <c r="FO191" i="1"/>
  <c r="FQ191" i="1"/>
  <c r="ER191" i="1"/>
  <c r="CX191" i="1"/>
  <c r="DT191" i="1"/>
  <c r="EL191" i="1"/>
  <c r="EF191" i="1"/>
  <c r="EX191" i="1"/>
  <c r="CX11" i="1"/>
  <c r="CX15" i="1"/>
  <c r="CX20" i="1"/>
  <c r="CX28" i="1"/>
  <c r="CX24" i="1"/>
  <c r="CX31" i="1"/>
  <c r="CX35" i="1"/>
  <c r="CX44" i="1"/>
  <c r="CX48" i="1"/>
  <c r="CX54" i="1"/>
  <c r="CX58" i="1"/>
  <c r="CX66" i="1"/>
  <c r="CX71" i="1"/>
  <c r="CX77" i="1"/>
  <c r="CX81" i="1"/>
  <c r="CX87" i="1"/>
  <c r="CX91" i="1"/>
  <c r="CX97" i="1"/>
  <c r="CX101" i="1"/>
  <c r="CX132" i="1"/>
  <c r="CX110" i="1"/>
  <c r="CX122" i="1"/>
  <c r="CX127" i="1"/>
  <c r="CX137" i="1"/>
  <c r="CX138" i="1"/>
  <c r="CX155" i="1"/>
  <c r="CX158" i="1"/>
  <c r="CX161" i="1"/>
  <c r="CX164" i="1"/>
  <c r="CX151" i="1"/>
  <c r="CX167" i="1"/>
  <c r="CX169" i="1"/>
  <c r="CX172" i="1"/>
  <c r="CX175" i="1"/>
  <c r="CX181" i="1"/>
  <c r="CX187" i="1"/>
  <c r="CX62" i="1"/>
  <c r="CX192" i="1"/>
  <c r="CX198" i="1"/>
  <c r="CX114" i="1"/>
  <c r="CX202" i="1"/>
  <c r="CX213" i="1"/>
  <c r="CX214" i="1"/>
  <c r="CX219" i="1"/>
  <c r="CX223" i="1"/>
  <c r="CX230" i="1"/>
  <c r="CX236" i="1"/>
  <c r="CX243" i="1"/>
  <c r="CX248" i="1"/>
  <c r="CX249" i="1"/>
  <c r="CX250" i="1"/>
  <c r="CX254" i="1"/>
  <c r="CX257" i="1"/>
  <c r="CX264" i="1"/>
  <c r="CX268" i="1"/>
  <c r="CX273" i="1"/>
  <c r="CX276" i="1"/>
  <c r="CX281" i="1"/>
  <c r="CX282" i="1"/>
  <c r="CX285" i="1"/>
  <c r="CX288" i="1"/>
  <c r="CX291" i="1"/>
  <c r="CX294" i="1"/>
  <c r="CX145" i="1"/>
  <c r="CX296" i="1"/>
  <c r="CX299" i="1"/>
  <c r="CX184" i="1"/>
  <c r="CX303" i="1"/>
  <c r="CX306" i="1"/>
  <c r="CV11" i="1"/>
  <c r="CW11" i="1"/>
  <c r="CV15" i="1"/>
  <c r="CW15" i="1"/>
  <c r="CV20" i="1"/>
  <c r="CW20" i="1"/>
  <c r="CV28" i="1"/>
  <c r="CW28" i="1"/>
  <c r="CV24" i="1"/>
  <c r="CW24" i="1"/>
  <c r="CV31" i="1"/>
  <c r="CW31" i="1"/>
  <c r="CV35" i="1"/>
  <c r="CW35" i="1"/>
  <c r="CV44" i="1"/>
  <c r="CW44" i="1"/>
  <c r="CV48" i="1"/>
  <c r="CW48" i="1"/>
  <c r="CV54" i="1"/>
  <c r="CW54" i="1"/>
  <c r="CV58" i="1"/>
  <c r="CW58" i="1"/>
  <c r="CV66" i="1"/>
  <c r="CW66" i="1"/>
  <c r="CV71" i="1"/>
  <c r="CW71" i="1"/>
  <c r="CV77" i="1"/>
  <c r="CW77" i="1"/>
  <c r="CV81" i="1"/>
  <c r="CW81" i="1"/>
  <c r="CV87" i="1"/>
  <c r="CW87" i="1"/>
  <c r="CV91" i="1"/>
  <c r="CW91" i="1"/>
  <c r="CV97" i="1"/>
  <c r="CW97" i="1"/>
  <c r="CV101" i="1"/>
  <c r="CW101" i="1"/>
  <c r="CV132" i="1"/>
  <c r="CW132" i="1"/>
  <c r="CV110" i="1"/>
  <c r="CW110" i="1"/>
  <c r="CV122" i="1"/>
  <c r="CW122" i="1"/>
  <c r="CV127" i="1"/>
  <c r="CW127" i="1"/>
  <c r="CV137" i="1"/>
  <c r="CW137" i="1"/>
  <c r="CV138" i="1"/>
  <c r="CW138" i="1"/>
  <c r="CV155" i="1"/>
  <c r="CW155" i="1"/>
  <c r="CV158" i="1"/>
  <c r="CW158" i="1"/>
  <c r="CV161" i="1"/>
  <c r="CW161" i="1"/>
  <c r="CV164" i="1"/>
  <c r="CW164" i="1"/>
  <c r="CV151" i="1"/>
  <c r="CW151" i="1"/>
  <c r="CV167" i="1"/>
  <c r="CW167" i="1"/>
  <c r="CV169" i="1"/>
  <c r="CW169" i="1"/>
  <c r="CV172" i="1"/>
  <c r="CW172" i="1"/>
  <c r="CV175" i="1"/>
  <c r="CW175" i="1"/>
  <c r="CV181" i="1"/>
  <c r="CW181" i="1"/>
  <c r="CV187" i="1"/>
  <c r="CW187" i="1"/>
  <c r="CV62" i="1"/>
  <c r="CW62" i="1"/>
  <c r="CV192" i="1"/>
  <c r="CW192" i="1"/>
  <c r="CV198" i="1"/>
  <c r="CW198" i="1"/>
  <c r="CV114" i="1"/>
  <c r="CW114" i="1"/>
  <c r="CV202" i="1"/>
  <c r="CW202" i="1"/>
  <c r="CV213" i="1"/>
  <c r="CW213" i="1"/>
  <c r="CV214" i="1"/>
  <c r="CW214" i="1"/>
  <c r="CV219" i="1"/>
  <c r="CW219" i="1"/>
  <c r="CV223" i="1"/>
  <c r="CW223" i="1"/>
  <c r="CV230" i="1"/>
  <c r="CW230" i="1"/>
  <c r="CV236" i="1"/>
  <c r="CW236" i="1"/>
  <c r="CV243" i="1"/>
  <c r="CW243" i="1"/>
  <c r="CV248" i="1"/>
  <c r="CW248" i="1"/>
  <c r="CV249" i="1"/>
  <c r="CW249" i="1"/>
  <c r="CV250" i="1"/>
  <c r="CW250" i="1"/>
  <c r="CV254" i="1"/>
  <c r="CW254" i="1"/>
  <c r="CV257" i="1"/>
  <c r="CW257" i="1"/>
  <c r="CV264" i="1"/>
  <c r="CW264" i="1"/>
  <c r="CV268" i="1"/>
  <c r="CW268" i="1"/>
  <c r="CV273" i="1"/>
  <c r="CW273" i="1"/>
  <c r="CV276" i="1"/>
  <c r="CW276" i="1"/>
  <c r="CV281" i="1"/>
  <c r="CW281" i="1"/>
  <c r="CV282" i="1"/>
  <c r="CW282" i="1"/>
  <c r="CV285" i="1"/>
  <c r="CW285" i="1"/>
  <c r="CV288" i="1"/>
  <c r="CW288" i="1"/>
  <c r="CV291" i="1"/>
  <c r="CW291" i="1"/>
  <c r="CV294" i="1"/>
  <c r="CW294" i="1"/>
  <c r="CV145" i="1"/>
  <c r="CW145" i="1"/>
  <c r="CV296" i="1"/>
  <c r="CW296" i="1"/>
  <c r="CV299" i="1"/>
  <c r="CW299" i="1"/>
  <c r="CV184" i="1"/>
  <c r="CW184" i="1"/>
  <c r="CV303" i="1"/>
  <c r="CW303" i="1"/>
  <c r="CV306" i="1"/>
  <c r="CW306" i="1"/>
  <c r="BC11" i="1"/>
  <c r="BC110" i="1"/>
  <c r="BC101" i="1"/>
  <c r="BC97" i="1"/>
  <c r="BC91" i="1"/>
  <c r="BC87" i="1"/>
  <c r="BC81" i="1"/>
  <c r="BC77" i="1"/>
  <c r="BC71" i="1"/>
  <c r="BC66" i="1"/>
  <c r="BC58" i="1"/>
  <c r="BC54" i="1"/>
  <c r="BC48" i="1"/>
  <c r="BC44" i="1"/>
  <c r="BC35" i="1"/>
  <c r="BC31" i="1"/>
  <c r="BC24" i="1"/>
  <c r="BC20" i="1"/>
  <c r="BC15" i="1"/>
  <c r="BC10" i="1"/>
  <c r="DB287" i="1"/>
  <c r="CZ287" i="1"/>
  <c r="CK287" i="1"/>
  <c r="CJ287" i="1"/>
  <c r="CI287" i="1"/>
  <c r="CH287" i="1"/>
  <c r="CG287" i="1"/>
  <c r="CF287" i="1"/>
  <c r="CE287" i="1"/>
  <c r="CD287" i="1"/>
  <c r="CC287" i="1"/>
  <c r="CB287" i="1"/>
  <c r="CA287" i="1"/>
  <c r="BZ287" i="1"/>
  <c r="BY287" i="1"/>
  <c r="BX287" i="1"/>
  <c r="BW287" i="1"/>
  <c r="BV287" i="1"/>
  <c r="BU287" i="1"/>
  <c r="BT287" i="1"/>
  <c r="BS287" i="1"/>
  <c r="BR287" i="1"/>
  <c r="BO182" i="1"/>
  <c r="BO183" i="1" s="1"/>
  <c r="FA190" i="1" l="1"/>
  <c r="DJ191" i="1"/>
  <c r="DK191" i="1" s="1"/>
  <c r="DU191" i="1"/>
  <c r="AS118" i="1"/>
  <c r="GA117" i="1"/>
  <c r="AS206" i="1"/>
  <c r="GA205" i="1"/>
  <c r="AS234" i="1"/>
  <c r="GA233" i="1"/>
  <c r="AS310" i="1"/>
  <c r="GA309" i="1"/>
  <c r="AS131" i="1"/>
  <c r="GA131" i="1" s="1"/>
  <c r="GA130" i="1"/>
  <c r="AS196" i="1"/>
  <c r="GA195" i="1"/>
  <c r="AS227" i="1"/>
  <c r="GA226" i="1"/>
  <c r="AS261" i="1"/>
  <c r="GA260" i="1"/>
  <c r="AS247" i="1"/>
  <c r="GA247" i="1" s="1"/>
  <c r="GA246" i="1"/>
  <c r="AS240" i="1"/>
  <c r="GA239" i="1"/>
  <c r="AS126" i="1"/>
  <c r="GA126" i="1" s="1"/>
  <c r="GA125" i="1"/>
  <c r="AS280" i="1"/>
  <c r="GA280" i="1" s="1"/>
  <c r="GA279" i="1"/>
  <c r="AS218" i="1"/>
  <c r="GA218" i="1" s="1"/>
  <c r="GA217" i="1"/>
  <c r="AS272" i="1"/>
  <c r="GA272" i="1" s="1"/>
  <c r="GA271" i="1"/>
  <c r="AI280" i="1"/>
  <c r="H280" i="1" s="1"/>
  <c r="H279" i="1"/>
  <c r="AI247" i="1"/>
  <c r="H247" i="1" s="1"/>
  <c r="H246" i="1"/>
  <c r="AO196" i="1"/>
  <c r="AO130" i="1"/>
  <c r="FT191" i="1"/>
  <c r="CV189" i="1"/>
  <c r="FT189" i="1"/>
  <c r="AO241" i="1"/>
  <c r="AN242" i="1"/>
  <c r="AO242" i="1" s="1"/>
  <c r="J218" i="1"/>
  <c r="FG189" i="1"/>
  <c r="FA189" i="1"/>
  <c r="AO217" i="1"/>
  <c r="AN218" i="1"/>
  <c r="AO218" i="1" s="1"/>
  <c r="AO233" i="1"/>
  <c r="AN234" i="1"/>
  <c r="AN262" i="1"/>
  <c r="AO261" i="1"/>
  <c r="AO310" i="1"/>
  <c r="AN311" i="1"/>
  <c r="AO311" i="1" s="1"/>
  <c r="AU228" i="1"/>
  <c r="EO189" i="1"/>
  <c r="AO117" i="1"/>
  <c r="AN118" i="1"/>
  <c r="AO205" i="1"/>
  <c r="AN206" i="1"/>
  <c r="AO125" i="1"/>
  <c r="AN126" i="1"/>
  <c r="AO126" i="1" s="1"/>
  <c r="AO227" i="1"/>
  <c r="AN228" i="1"/>
  <c r="AO271" i="1"/>
  <c r="AN272" i="1"/>
  <c r="AO272" i="1" s="1"/>
  <c r="AO279" i="1"/>
  <c r="AN280" i="1"/>
  <c r="AO280" i="1" s="1"/>
  <c r="AU235" i="1"/>
  <c r="AO246" i="1"/>
  <c r="AN247" i="1"/>
  <c r="AO247" i="1" s="1"/>
  <c r="EU191" i="1"/>
  <c r="DO190" i="1"/>
  <c r="FM189" i="1"/>
  <c r="EU189" i="1"/>
  <c r="CV190" i="1"/>
  <c r="DO191" i="1"/>
  <c r="EO190" i="1"/>
  <c r="EU190" i="1"/>
  <c r="FG191" i="1"/>
  <c r="FA191" i="1"/>
  <c r="DO189" i="1"/>
  <c r="FG190" i="1"/>
  <c r="EO191" i="1"/>
  <c r="FM190" i="1"/>
  <c r="FT190" i="1"/>
  <c r="FM191" i="1"/>
  <c r="CV191" i="1"/>
  <c r="CL287" i="1"/>
  <c r="FZ287" i="1" s="1"/>
  <c r="CN287" i="1"/>
  <c r="AS119" i="1" l="1"/>
  <c r="GA118" i="1"/>
  <c r="AS241" i="1"/>
  <c r="GA240" i="1"/>
  <c r="AS311" i="1"/>
  <c r="GA311" i="1" s="1"/>
  <c r="GA310" i="1"/>
  <c r="AS197" i="1"/>
  <c r="GA197" i="1" s="1"/>
  <c r="GA196" i="1"/>
  <c r="AS262" i="1"/>
  <c r="GA261" i="1"/>
  <c r="AS235" i="1"/>
  <c r="GA235" i="1" s="1"/>
  <c r="GA234" i="1"/>
  <c r="AS228" i="1"/>
  <c r="GA227" i="1"/>
  <c r="AS207" i="1"/>
  <c r="GA206" i="1"/>
  <c r="AO234" i="1"/>
  <c r="AN235" i="1"/>
  <c r="AO235" i="1" s="1"/>
  <c r="AO118" i="1"/>
  <c r="AN119" i="1"/>
  <c r="AO262" i="1"/>
  <c r="AN263" i="1"/>
  <c r="AO263" i="1" s="1"/>
  <c r="AO228" i="1"/>
  <c r="AN229" i="1"/>
  <c r="AO229" i="1" s="1"/>
  <c r="AU229" i="1"/>
  <c r="AO206" i="1"/>
  <c r="AN207" i="1"/>
  <c r="CO287" i="1"/>
  <c r="M287" i="1" s="1"/>
  <c r="FS211" i="1"/>
  <c r="FL211" i="1"/>
  <c r="FF211" i="1"/>
  <c r="EC211" i="1"/>
  <c r="EA211" i="1"/>
  <c r="DN211" i="1"/>
  <c r="DB211" i="1"/>
  <c r="CZ211" i="1"/>
  <c r="CK211" i="1"/>
  <c r="CJ211" i="1"/>
  <c r="CI211" i="1"/>
  <c r="CH211" i="1"/>
  <c r="CG211" i="1"/>
  <c r="CF211" i="1"/>
  <c r="CE211" i="1"/>
  <c r="CD211" i="1"/>
  <c r="CB211" i="1"/>
  <c r="CA211" i="1"/>
  <c r="BZ211" i="1"/>
  <c r="BY211" i="1"/>
  <c r="BX211" i="1"/>
  <c r="BW211" i="1"/>
  <c r="BV211" i="1"/>
  <c r="BU211" i="1"/>
  <c r="BT211" i="1"/>
  <c r="BS211" i="1"/>
  <c r="BR211" i="1"/>
  <c r="FS210" i="1"/>
  <c r="FL210" i="1"/>
  <c r="FF210" i="1"/>
  <c r="EC210" i="1"/>
  <c r="EA210" i="1"/>
  <c r="DN210" i="1"/>
  <c r="DB210" i="1"/>
  <c r="CZ210" i="1"/>
  <c r="CK210" i="1"/>
  <c r="CJ210" i="1"/>
  <c r="CI210" i="1"/>
  <c r="CH210" i="1"/>
  <c r="CG210" i="1"/>
  <c r="CF210" i="1"/>
  <c r="CE210" i="1"/>
  <c r="CD210" i="1"/>
  <c r="CB210" i="1"/>
  <c r="CA210" i="1"/>
  <c r="BZ210" i="1"/>
  <c r="BY210" i="1"/>
  <c r="BX210" i="1"/>
  <c r="BW210" i="1"/>
  <c r="BV210" i="1"/>
  <c r="BU210" i="1"/>
  <c r="BT210" i="1"/>
  <c r="BS210" i="1"/>
  <c r="BR210" i="1"/>
  <c r="BY10" i="1"/>
  <c r="AS120" i="1" l="1"/>
  <c r="GA119" i="1"/>
  <c r="AS263" i="1"/>
  <c r="GA263" i="1" s="1"/>
  <c r="GA262" i="1"/>
  <c r="AS208" i="1"/>
  <c r="GA207" i="1"/>
  <c r="AS229" i="1"/>
  <c r="GA229" i="1" s="1"/>
  <c r="GA228" i="1"/>
  <c r="AS242" i="1"/>
  <c r="GA242" i="1" s="1"/>
  <c r="GA241" i="1"/>
  <c r="AO119" i="1"/>
  <c r="AN120" i="1"/>
  <c r="AO207" i="1"/>
  <c r="AN208" i="1"/>
  <c r="FS163" i="1"/>
  <c r="FL163" i="1"/>
  <c r="FF163" i="1"/>
  <c r="EC163" i="1"/>
  <c r="EA163" i="1"/>
  <c r="DN163" i="1"/>
  <c r="DB163" i="1"/>
  <c r="CZ163" i="1"/>
  <c r="CK163" i="1"/>
  <c r="CJ163" i="1"/>
  <c r="CI163" i="1"/>
  <c r="CH163" i="1"/>
  <c r="CG163" i="1"/>
  <c r="CF163" i="1"/>
  <c r="CE163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CN163" i="1"/>
  <c r="FS162" i="1"/>
  <c r="FL162" i="1"/>
  <c r="FF162" i="1"/>
  <c r="EC162" i="1"/>
  <c r="EA162" i="1"/>
  <c r="DN162" i="1"/>
  <c r="DC162" i="1"/>
  <c r="DA162" i="1"/>
  <c r="CZ162" i="1" s="1"/>
  <c r="CK162" i="1"/>
  <c r="CJ162" i="1"/>
  <c r="CI162" i="1"/>
  <c r="CH162" i="1"/>
  <c r="CG162" i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M162" i="1"/>
  <c r="BM163" i="1" s="1"/>
  <c r="BL162" i="1"/>
  <c r="BL163" i="1" s="1"/>
  <c r="BK162" i="1"/>
  <c r="BK163" i="1" s="1"/>
  <c r="BN163" i="1" s="1"/>
  <c r="GB161" i="1"/>
  <c r="FS161" i="1"/>
  <c r="FR161" i="1"/>
  <c r="FL161" i="1"/>
  <c r="FK161" i="1"/>
  <c r="FF161" i="1"/>
  <c r="FE161" i="1"/>
  <c r="EY161" i="1"/>
  <c r="ES161" i="1"/>
  <c r="EM161" i="1"/>
  <c r="EH161" i="1"/>
  <c r="EC161" i="1"/>
  <c r="EB161" i="1"/>
  <c r="EA161" i="1"/>
  <c r="DZ161" i="1"/>
  <c r="DX161" i="1"/>
  <c r="DW161" i="1"/>
  <c r="DN161" i="1"/>
  <c r="DM161" i="1"/>
  <c r="DJ161" i="1"/>
  <c r="DK161" i="1" s="1"/>
  <c r="DI161" i="1"/>
  <c r="DB161" i="1"/>
  <c r="CZ161" i="1"/>
  <c r="CY161" i="1"/>
  <c r="CU161" i="1"/>
  <c r="CN161" i="1"/>
  <c r="CB161" i="1"/>
  <c r="BT161" i="1"/>
  <c r="BN161" i="1"/>
  <c r="BE161" i="1"/>
  <c r="BD161" i="1"/>
  <c r="FS140" i="1"/>
  <c r="FL140" i="1"/>
  <c r="FF140" i="1"/>
  <c r="EC140" i="1"/>
  <c r="EA140" i="1"/>
  <c r="DN140" i="1"/>
  <c r="DB140" i="1"/>
  <c r="CZ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CN140" i="1"/>
  <c r="FS139" i="1"/>
  <c r="FL139" i="1"/>
  <c r="FF139" i="1"/>
  <c r="EC139" i="1"/>
  <c r="EA139" i="1"/>
  <c r="DN139" i="1"/>
  <c r="DC139" i="1"/>
  <c r="DA139" i="1"/>
  <c r="CZ139" i="1" s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M139" i="1"/>
  <c r="BM140" i="1" s="1"/>
  <c r="BL139" i="1"/>
  <c r="BL140" i="1" s="1"/>
  <c r="BK139" i="1"/>
  <c r="BK140" i="1" s="1"/>
  <c r="BN140" i="1" s="1"/>
  <c r="CN139" i="1"/>
  <c r="GB138" i="1"/>
  <c r="FS138" i="1"/>
  <c r="FR138" i="1"/>
  <c r="FL138" i="1"/>
  <c r="FK138" i="1"/>
  <c r="FF138" i="1"/>
  <c r="FE138" i="1"/>
  <c r="EY138" i="1"/>
  <c r="ES138" i="1"/>
  <c r="EM138" i="1"/>
  <c r="EH138" i="1"/>
  <c r="EC138" i="1"/>
  <c r="EB138" i="1"/>
  <c r="EA138" i="1"/>
  <c r="DZ138" i="1"/>
  <c r="DX138" i="1"/>
  <c r="DW138" i="1"/>
  <c r="DN138" i="1"/>
  <c r="DM138" i="1"/>
  <c r="DJ138" i="1"/>
  <c r="DK138" i="1" s="1"/>
  <c r="DI138" i="1"/>
  <c r="DB138" i="1"/>
  <c r="CZ138" i="1"/>
  <c r="CY138" i="1"/>
  <c r="CU138" i="1"/>
  <c r="CN138" i="1"/>
  <c r="CB138" i="1"/>
  <c r="BT138" i="1"/>
  <c r="BN138" i="1"/>
  <c r="BE138" i="1"/>
  <c r="BD138" i="1"/>
  <c r="Z54" i="1"/>
  <c r="FS34" i="1"/>
  <c r="FL34" i="1"/>
  <c r="FF34" i="1"/>
  <c r="EC34" i="1"/>
  <c r="EA34" i="1"/>
  <c r="DN34" i="1"/>
  <c r="DB34" i="1"/>
  <c r="CZ34" i="1"/>
  <c r="CK34" i="1"/>
  <c r="CJ34" i="1"/>
  <c r="CI34" i="1"/>
  <c r="CH34" i="1"/>
  <c r="CG34" i="1"/>
  <c r="CF34" i="1"/>
  <c r="CD34" i="1"/>
  <c r="CC34" i="1"/>
  <c r="CA34" i="1"/>
  <c r="BZ34" i="1"/>
  <c r="BW34" i="1"/>
  <c r="BU34" i="1"/>
  <c r="BT34" i="1"/>
  <c r="BS34" i="1"/>
  <c r="BR34" i="1"/>
  <c r="FS33" i="1"/>
  <c r="FL33" i="1"/>
  <c r="FF33" i="1"/>
  <c r="EC33" i="1"/>
  <c r="EA33" i="1"/>
  <c r="DN33" i="1"/>
  <c r="DB33" i="1"/>
  <c r="CZ33" i="1"/>
  <c r="CK33" i="1"/>
  <c r="CJ33" i="1"/>
  <c r="CI33" i="1"/>
  <c r="CH33" i="1"/>
  <c r="CG33" i="1"/>
  <c r="CF33" i="1"/>
  <c r="CD33" i="1"/>
  <c r="CC33" i="1"/>
  <c r="CA33" i="1"/>
  <c r="BZ33" i="1"/>
  <c r="BW33" i="1"/>
  <c r="BV33" i="1"/>
  <c r="BT33" i="1"/>
  <c r="BS33" i="1"/>
  <c r="BR33" i="1"/>
  <c r="C33" i="1"/>
  <c r="DC32" i="1"/>
  <c r="J31" i="1" s="1"/>
  <c r="DA32" i="1"/>
  <c r="CK32" i="1"/>
  <c r="CJ32" i="1"/>
  <c r="CI32" i="1"/>
  <c r="CH32" i="1"/>
  <c r="CG32" i="1"/>
  <c r="CF32" i="1"/>
  <c r="CD32" i="1"/>
  <c r="CC32" i="1"/>
  <c r="CA32" i="1"/>
  <c r="BZ32" i="1"/>
  <c r="BX32" i="1"/>
  <c r="BW32" i="1"/>
  <c r="BV32" i="1"/>
  <c r="BU32" i="1"/>
  <c r="BT32" i="1"/>
  <c r="BS32" i="1"/>
  <c r="BR32" i="1"/>
  <c r="BM32" i="1"/>
  <c r="BM33" i="1" s="1"/>
  <c r="BM34" i="1" s="1"/>
  <c r="BL32" i="1"/>
  <c r="BL33" i="1" s="1"/>
  <c r="BL34" i="1" s="1"/>
  <c r="BK32" i="1"/>
  <c r="BN32" i="1" s="1"/>
  <c r="AX32" i="1"/>
  <c r="AX33" i="1" s="1"/>
  <c r="AX34" i="1" s="1"/>
  <c r="BA32" i="1"/>
  <c r="BA33" i="1" s="1"/>
  <c r="BA34" i="1" s="1"/>
  <c r="AZ32" i="1"/>
  <c r="AZ33" i="1" s="1"/>
  <c r="AZ34" i="1" s="1"/>
  <c r="AY32" i="1"/>
  <c r="AY33" i="1" s="1"/>
  <c r="AY34" i="1" s="1"/>
  <c r="AW32" i="1"/>
  <c r="AW33" i="1" s="1"/>
  <c r="AW34" i="1" s="1"/>
  <c r="AV32" i="1"/>
  <c r="AV33" i="1" s="1"/>
  <c r="AV34" i="1" s="1"/>
  <c r="AU32" i="1"/>
  <c r="AU33" i="1" s="1"/>
  <c r="AU34" i="1" s="1"/>
  <c r="AS32" i="1"/>
  <c r="AR32" i="1"/>
  <c r="AR33" i="1" s="1"/>
  <c r="AR34" i="1" s="1"/>
  <c r="AQ32" i="1"/>
  <c r="AQ33" i="1" s="1"/>
  <c r="AQ34" i="1" s="1"/>
  <c r="AP32" i="1"/>
  <c r="AP33" i="1" s="1"/>
  <c r="AP34" i="1" s="1"/>
  <c r="AN32" i="1"/>
  <c r="AN33" i="1" s="1"/>
  <c r="AL32" i="1"/>
  <c r="AL33" i="1" s="1"/>
  <c r="AL34" i="1" s="1"/>
  <c r="AJ32" i="1"/>
  <c r="AJ33" i="1" s="1"/>
  <c r="AJ34" i="1" s="1"/>
  <c r="AI32" i="1"/>
  <c r="AI33" i="1" s="1"/>
  <c r="AI34" i="1" s="1"/>
  <c r="J32" i="1"/>
  <c r="H31" i="1" s="1"/>
  <c r="I32" i="1"/>
  <c r="C32" i="1"/>
  <c r="C34" i="1" s="1"/>
  <c r="GB31" i="1"/>
  <c r="FW31" i="1"/>
  <c r="FV31" i="1"/>
  <c r="FU31" i="1"/>
  <c r="FS31" i="1"/>
  <c r="FR31" i="1"/>
  <c r="FQ31" i="1"/>
  <c r="FP31" i="1"/>
  <c r="FO31" i="1"/>
  <c r="FN31" i="1"/>
  <c r="FL31" i="1"/>
  <c r="FK31" i="1"/>
  <c r="FJ31" i="1"/>
  <c r="FI31" i="1"/>
  <c r="FH31" i="1"/>
  <c r="FF31" i="1"/>
  <c r="FE31" i="1"/>
  <c r="FD31" i="1"/>
  <c r="FC31" i="1"/>
  <c r="FB31" i="1"/>
  <c r="EY31" i="1"/>
  <c r="EX31" i="1"/>
  <c r="EW31" i="1"/>
  <c r="EV31" i="1"/>
  <c r="EU31" i="1"/>
  <c r="ES31" i="1"/>
  <c r="ER31" i="1"/>
  <c r="EQ31" i="1"/>
  <c r="EP31" i="1"/>
  <c r="EO31" i="1"/>
  <c r="EM31" i="1"/>
  <c r="EL31" i="1"/>
  <c r="EK31" i="1"/>
  <c r="EJ31" i="1"/>
  <c r="EH31" i="1"/>
  <c r="EF31" i="1"/>
  <c r="EE31" i="1"/>
  <c r="ED31" i="1"/>
  <c r="EC31" i="1"/>
  <c r="EB31" i="1"/>
  <c r="EA31" i="1"/>
  <c r="DZ31" i="1"/>
  <c r="DX31" i="1"/>
  <c r="DW31" i="1"/>
  <c r="DU31" i="1"/>
  <c r="DT31" i="1"/>
  <c r="DS31" i="1"/>
  <c r="DR31" i="1"/>
  <c r="DQ31" i="1"/>
  <c r="DP31" i="1"/>
  <c r="DO31" i="1" s="1"/>
  <c r="DN31" i="1"/>
  <c r="DM31" i="1"/>
  <c r="DJ31" i="1"/>
  <c r="DK31" i="1" s="1"/>
  <c r="DI31" i="1"/>
  <c r="DB31" i="1"/>
  <c r="CY31" i="1"/>
  <c r="CU31" i="1"/>
  <c r="CN31" i="1"/>
  <c r="CB31" i="1"/>
  <c r="BT31" i="1"/>
  <c r="BN31" i="1"/>
  <c r="BE31" i="1"/>
  <c r="BD31" i="1"/>
  <c r="AO31" i="1"/>
  <c r="B31" i="1"/>
  <c r="T6" i="1"/>
  <c r="FS69" i="1"/>
  <c r="FL69" i="1"/>
  <c r="FF69" i="1"/>
  <c r="EC69" i="1"/>
  <c r="EA69" i="1"/>
  <c r="DN69" i="1"/>
  <c r="DB69" i="1"/>
  <c r="CZ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J69" i="1"/>
  <c r="CN69" i="1" s="1"/>
  <c r="I69" i="1"/>
  <c r="C69" i="1"/>
  <c r="BV66" i="1"/>
  <c r="GB15" i="1"/>
  <c r="GB24" i="1"/>
  <c r="GB35" i="1"/>
  <c r="GB44" i="1"/>
  <c r="GB58" i="1"/>
  <c r="GB71" i="1"/>
  <c r="GB77" i="1"/>
  <c r="GB81" i="1"/>
  <c r="GB87" i="1"/>
  <c r="GB91" i="1"/>
  <c r="GB97" i="1"/>
  <c r="GB101" i="1"/>
  <c r="GB132" i="1"/>
  <c r="GB110" i="1"/>
  <c r="GB122" i="1"/>
  <c r="GB137" i="1"/>
  <c r="GB155" i="1"/>
  <c r="GB158" i="1"/>
  <c r="GB164" i="1"/>
  <c r="GB151" i="1"/>
  <c r="GB167" i="1"/>
  <c r="GB127" i="1"/>
  <c r="GB169" i="1"/>
  <c r="GB172" i="1"/>
  <c r="GB175" i="1"/>
  <c r="GB181" i="1"/>
  <c r="GB187" i="1"/>
  <c r="GB48" i="1"/>
  <c r="GB20" i="1"/>
  <c r="GB28" i="1"/>
  <c r="GB54" i="1"/>
  <c r="GB66" i="1"/>
  <c r="GB62" i="1"/>
  <c r="GB192" i="1"/>
  <c r="GB198" i="1"/>
  <c r="GB114" i="1"/>
  <c r="GB202" i="1"/>
  <c r="GB213" i="1"/>
  <c r="GB214" i="1"/>
  <c r="GB219" i="1"/>
  <c r="GB223" i="1"/>
  <c r="GB230" i="1"/>
  <c r="GB236" i="1"/>
  <c r="GB243" i="1"/>
  <c r="GB248" i="1"/>
  <c r="GB249" i="1"/>
  <c r="GB250" i="1"/>
  <c r="GB254" i="1"/>
  <c r="GB257" i="1"/>
  <c r="GB264" i="1"/>
  <c r="GB268" i="1"/>
  <c r="GB273" i="1"/>
  <c r="GB276" i="1"/>
  <c r="GB281" i="1"/>
  <c r="GB282" i="1"/>
  <c r="GB285" i="1"/>
  <c r="GB288" i="1"/>
  <c r="GB291" i="1"/>
  <c r="GB294" i="1"/>
  <c r="GB145" i="1"/>
  <c r="GB296" i="1"/>
  <c r="GB299" i="1"/>
  <c r="GB184" i="1"/>
  <c r="GB303" i="1"/>
  <c r="GB306" i="1"/>
  <c r="BK59" i="1"/>
  <c r="GA208" i="1" l="1"/>
  <c r="AS209" i="1"/>
  <c r="AS210" i="1"/>
  <c r="GA210" i="1" s="1"/>
  <c r="AS211" i="1"/>
  <c r="GA211" i="1" s="1"/>
  <c r="AS121" i="1"/>
  <c r="GA121" i="1" s="1"/>
  <c r="GA120" i="1"/>
  <c r="GA32" i="1"/>
  <c r="DB139" i="1"/>
  <c r="J138" i="1"/>
  <c r="J161" i="1"/>
  <c r="AO120" i="1"/>
  <c r="AN121" i="1"/>
  <c r="AO121" i="1" s="1"/>
  <c r="AO208" i="1"/>
  <c r="AN209" i="1"/>
  <c r="AN210" i="1"/>
  <c r="AO210" i="1" s="1"/>
  <c r="AN211" i="1"/>
  <c r="AO211" i="1" s="1"/>
  <c r="CP162" i="1"/>
  <c r="DJ162" i="1"/>
  <c r="DK162" i="1" s="1"/>
  <c r="DJ163" i="1"/>
  <c r="DK163" i="1" s="1"/>
  <c r="CL163" i="1"/>
  <c r="CP140" i="1"/>
  <c r="CL162" i="1"/>
  <c r="CP163" i="1"/>
  <c r="CN162" i="1"/>
  <c r="FG31" i="1"/>
  <c r="BN162" i="1"/>
  <c r="CL140" i="1"/>
  <c r="FZ140" i="1" s="1"/>
  <c r="CL139" i="1"/>
  <c r="FZ139" i="1" s="1"/>
  <c r="CP139" i="1"/>
  <c r="DJ140" i="1"/>
  <c r="DK140" i="1" s="1"/>
  <c r="BN139" i="1"/>
  <c r="DJ139" i="1"/>
  <c r="DK139" i="1" s="1"/>
  <c r="FA31" i="1"/>
  <c r="BB32" i="1"/>
  <c r="FT31" i="1"/>
  <c r="FM31" i="1"/>
  <c r="DJ32" i="1"/>
  <c r="DK32" i="1" s="1"/>
  <c r="CP32" i="1"/>
  <c r="CN32" i="1"/>
  <c r="AN34" i="1"/>
  <c r="AO34" i="1" s="1"/>
  <c r="AO33" i="1"/>
  <c r="CB33" i="1"/>
  <c r="CB34" i="1"/>
  <c r="BU33" i="1"/>
  <c r="AO32" i="1"/>
  <c r="BY32" i="1"/>
  <c r="BK33" i="1"/>
  <c r="CB32" i="1"/>
  <c r="AS33" i="1"/>
  <c r="GA33" i="1" s="1"/>
  <c r="BV34" i="1"/>
  <c r="CE32" i="1"/>
  <c r="CL69" i="1"/>
  <c r="M116" i="5"/>
  <c r="G84" i="5"/>
  <c r="A77" i="5"/>
  <c r="T30" i="5"/>
  <c r="CE10" i="1"/>
  <c r="C36" i="1"/>
  <c r="C39" i="1" s="1"/>
  <c r="C37" i="1"/>
  <c r="W9" i="1"/>
  <c r="V9" i="1"/>
  <c r="CA10" i="1"/>
  <c r="CA12" i="1"/>
  <c r="CA13" i="1"/>
  <c r="CA14" i="1"/>
  <c r="CA36" i="1"/>
  <c r="CA37" i="1"/>
  <c r="CA39" i="1"/>
  <c r="CA45" i="1"/>
  <c r="CA46" i="1"/>
  <c r="CA47" i="1"/>
  <c r="CA72" i="1"/>
  <c r="CA78" i="1"/>
  <c r="CA79" i="1"/>
  <c r="CA80" i="1"/>
  <c r="CA82" i="1"/>
  <c r="CA83" i="1"/>
  <c r="CA84" i="1"/>
  <c r="CA85" i="1"/>
  <c r="CA86" i="1"/>
  <c r="CA88" i="1"/>
  <c r="CA89" i="1"/>
  <c r="CA90" i="1"/>
  <c r="CA92" i="1"/>
  <c r="CA93" i="1"/>
  <c r="CA94" i="1"/>
  <c r="CA95" i="1"/>
  <c r="CA96" i="1"/>
  <c r="CA98" i="1"/>
  <c r="CA99" i="1"/>
  <c r="CA100" i="1"/>
  <c r="CA102" i="1"/>
  <c r="CA103" i="1"/>
  <c r="CA104" i="1"/>
  <c r="CA105" i="1"/>
  <c r="CA106" i="1"/>
  <c r="CA107" i="1"/>
  <c r="CA108" i="1"/>
  <c r="CA109" i="1"/>
  <c r="CA133" i="1"/>
  <c r="CA134" i="1"/>
  <c r="CA135" i="1"/>
  <c r="CA136" i="1"/>
  <c r="CA111" i="1"/>
  <c r="CA112" i="1"/>
  <c r="CA113" i="1"/>
  <c r="CA156" i="1"/>
  <c r="CA157" i="1"/>
  <c r="CA159" i="1"/>
  <c r="CA160" i="1"/>
  <c r="CA165" i="1"/>
  <c r="CA166" i="1"/>
  <c r="CA152" i="1"/>
  <c r="CA168" i="1"/>
  <c r="CA128" i="1"/>
  <c r="CA129" i="1"/>
  <c r="CA130" i="1"/>
  <c r="CA131" i="1"/>
  <c r="CA170" i="1"/>
  <c r="CA171" i="1"/>
  <c r="CA173" i="1"/>
  <c r="CA174" i="1"/>
  <c r="CA176" i="1"/>
  <c r="CA177" i="1"/>
  <c r="CA182" i="1"/>
  <c r="CA183" i="1"/>
  <c r="CA49" i="1"/>
  <c r="CA50" i="1"/>
  <c r="CA51" i="1"/>
  <c r="CA52" i="1"/>
  <c r="CA53" i="1"/>
  <c r="CA16" i="1"/>
  <c r="CA17" i="1"/>
  <c r="CA18" i="1"/>
  <c r="CA19" i="1"/>
  <c r="CA21" i="1"/>
  <c r="CA22" i="1"/>
  <c r="CA23" i="1"/>
  <c r="CA29" i="1"/>
  <c r="CA30" i="1"/>
  <c r="CA25" i="1"/>
  <c r="CA26" i="1"/>
  <c r="CA27" i="1"/>
  <c r="CA55" i="1"/>
  <c r="CA56" i="1"/>
  <c r="CA57" i="1"/>
  <c r="CA59" i="1"/>
  <c r="CA60" i="1"/>
  <c r="CA61" i="1"/>
  <c r="CA67" i="1"/>
  <c r="CA68" i="1"/>
  <c r="CA70" i="1"/>
  <c r="CA63" i="1"/>
  <c r="CA64" i="1"/>
  <c r="CA65" i="1"/>
  <c r="CA193" i="1"/>
  <c r="CA194" i="1"/>
  <c r="CA195" i="1"/>
  <c r="CA196" i="1"/>
  <c r="CA197" i="1"/>
  <c r="CA199" i="1"/>
  <c r="CA200" i="1"/>
  <c r="CA201" i="1"/>
  <c r="CA115" i="1"/>
  <c r="CA116" i="1"/>
  <c r="CA117" i="1"/>
  <c r="CA118" i="1"/>
  <c r="CA119" i="1"/>
  <c r="CA121" i="1"/>
  <c r="CA203" i="1"/>
  <c r="CA204" i="1"/>
  <c r="CA205" i="1"/>
  <c r="CA206" i="1"/>
  <c r="CA207" i="1"/>
  <c r="CA208" i="1"/>
  <c r="CA209" i="1"/>
  <c r="CA212" i="1"/>
  <c r="CA215" i="1"/>
  <c r="CA216" i="1"/>
  <c r="CA217" i="1"/>
  <c r="CA218" i="1"/>
  <c r="CA220" i="1"/>
  <c r="CA221" i="1"/>
  <c r="CA222" i="1"/>
  <c r="CA224" i="1"/>
  <c r="CA225" i="1"/>
  <c r="CA226" i="1"/>
  <c r="CA227" i="1"/>
  <c r="CA228" i="1"/>
  <c r="CA229" i="1"/>
  <c r="CA231" i="1"/>
  <c r="CA232" i="1"/>
  <c r="CA233" i="1"/>
  <c r="CA234" i="1"/>
  <c r="CA235" i="1"/>
  <c r="CA237" i="1"/>
  <c r="CA238" i="1"/>
  <c r="CA239" i="1"/>
  <c r="CA240" i="1"/>
  <c r="CA241" i="1"/>
  <c r="CA242" i="1"/>
  <c r="CA123" i="1"/>
  <c r="CA124" i="1"/>
  <c r="CA125" i="1"/>
  <c r="CA126" i="1"/>
  <c r="CA244" i="1"/>
  <c r="CA245" i="1"/>
  <c r="CA246" i="1"/>
  <c r="CA247" i="1"/>
  <c r="CA251" i="1"/>
  <c r="CA252" i="1"/>
  <c r="CA253" i="1"/>
  <c r="CA255" i="1"/>
  <c r="CA256" i="1"/>
  <c r="CA258" i="1"/>
  <c r="CA259" i="1"/>
  <c r="CA260" i="1"/>
  <c r="CA261" i="1"/>
  <c r="CA262" i="1"/>
  <c r="CA263" i="1"/>
  <c r="CA265" i="1"/>
  <c r="CA266" i="1"/>
  <c r="CA267" i="1"/>
  <c r="CA269" i="1"/>
  <c r="CA270" i="1"/>
  <c r="CA271" i="1"/>
  <c r="CA272" i="1"/>
  <c r="CA274" i="1"/>
  <c r="CA275" i="1"/>
  <c r="CA277" i="1"/>
  <c r="CA278" i="1"/>
  <c r="CA279" i="1"/>
  <c r="CA280" i="1"/>
  <c r="CA283" i="1"/>
  <c r="CA284" i="1"/>
  <c r="CA286" i="1"/>
  <c r="CA289" i="1"/>
  <c r="CA290" i="1"/>
  <c r="CA292" i="1"/>
  <c r="CA293" i="1"/>
  <c r="CA295" i="1"/>
  <c r="CA146" i="1"/>
  <c r="CA297" i="1"/>
  <c r="CA298" i="1"/>
  <c r="CA300" i="1"/>
  <c r="CA301" i="1"/>
  <c r="CA302" i="1"/>
  <c r="CA185" i="1"/>
  <c r="CA186" i="1"/>
  <c r="CA304" i="1"/>
  <c r="CA305" i="1"/>
  <c r="CA307" i="1"/>
  <c r="CA308" i="1"/>
  <c r="CA309" i="1"/>
  <c r="CA310" i="1"/>
  <c r="CA311" i="1"/>
  <c r="BZ311" i="1"/>
  <c r="BZ310" i="1"/>
  <c r="BZ309" i="1"/>
  <c r="BZ308" i="1"/>
  <c r="BZ307" i="1"/>
  <c r="BZ305" i="1"/>
  <c r="BZ304" i="1"/>
  <c r="BZ186" i="1"/>
  <c r="BZ185" i="1"/>
  <c r="BZ302" i="1"/>
  <c r="BZ301" i="1"/>
  <c r="BZ300" i="1"/>
  <c r="BZ298" i="1"/>
  <c r="BZ297" i="1"/>
  <c r="BZ146" i="1"/>
  <c r="BZ295" i="1"/>
  <c r="BZ293" i="1"/>
  <c r="BZ292" i="1"/>
  <c r="BZ290" i="1"/>
  <c r="BZ289" i="1"/>
  <c r="BZ286" i="1"/>
  <c r="BZ284" i="1"/>
  <c r="BZ283" i="1"/>
  <c r="BZ280" i="1"/>
  <c r="BZ279" i="1"/>
  <c r="BZ278" i="1"/>
  <c r="BZ277" i="1"/>
  <c r="BZ275" i="1"/>
  <c r="BZ274" i="1"/>
  <c r="BZ272" i="1"/>
  <c r="BZ271" i="1"/>
  <c r="BZ270" i="1"/>
  <c r="BZ269" i="1"/>
  <c r="BZ267" i="1"/>
  <c r="BZ266" i="1"/>
  <c r="BZ265" i="1"/>
  <c r="BZ263" i="1"/>
  <c r="BZ262" i="1"/>
  <c r="BZ261" i="1"/>
  <c r="BZ260" i="1"/>
  <c r="BZ259" i="1"/>
  <c r="BZ258" i="1"/>
  <c r="BZ256" i="1"/>
  <c r="BZ255" i="1"/>
  <c r="BZ253" i="1"/>
  <c r="BZ252" i="1"/>
  <c r="BZ251" i="1"/>
  <c r="BZ247" i="1"/>
  <c r="BZ246" i="1"/>
  <c r="BZ245" i="1"/>
  <c r="BZ244" i="1"/>
  <c r="BZ126" i="1"/>
  <c r="BZ125" i="1"/>
  <c r="BZ124" i="1"/>
  <c r="BZ123" i="1"/>
  <c r="BZ242" i="1"/>
  <c r="BZ241" i="1"/>
  <c r="BZ240" i="1"/>
  <c r="BZ239" i="1"/>
  <c r="BZ238" i="1"/>
  <c r="BZ237" i="1"/>
  <c r="BZ235" i="1"/>
  <c r="BZ234" i="1"/>
  <c r="BZ233" i="1"/>
  <c r="BZ232" i="1"/>
  <c r="BZ231" i="1"/>
  <c r="BZ229" i="1"/>
  <c r="BZ228" i="1"/>
  <c r="BZ227" i="1"/>
  <c r="BZ226" i="1"/>
  <c r="BZ225" i="1"/>
  <c r="BZ224" i="1"/>
  <c r="BZ222" i="1"/>
  <c r="BZ221" i="1"/>
  <c r="BZ220" i="1"/>
  <c r="BZ218" i="1"/>
  <c r="BZ217" i="1"/>
  <c r="BZ216" i="1"/>
  <c r="BZ215" i="1"/>
  <c r="BZ212" i="1"/>
  <c r="BZ209" i="1"/>
  <c r="BZ208" i="1"/>
  <c r="BZ207" i="1"/>
  <c r="BZ206" i="1"/>
  <c r="BZ205" i="1"/>
  <c r="BZ204" i="1"/>
  <c r="BZ203" i="1"/>
  <c r="BZ121" i="1"/>
  <c r="BZ119" i="1"/>
  <c r="BZ118" i="1"/>
  <c r="BZ117" i="1"/>
  <c r="BZ116" i="1"/>
  <c r="BZ115" i="1"/>
  <c r="BZ201" i="1"/>
  <c r="BZ200" i="1"/>
  <c r="BZ199" i="1"/>
  <c r="BZ197" i="1"/>
  <c r="BZ196" i="1"/>
  <c r="BZ195" i="1"/>
  <c r="BZ194" i="1"/>
  <c r="BZ193" i="1"/>
  <c r="BZ65" i="1"/>
  <c r="BZ64" i="1"/>
  <c r="BZ63" i="1"/>
  <c r="BZ70" i="1"/>
  <c r="BZ68" i="1"/>
  <c r="BZ67" i="1"/>
  <c r="BZ61" i="1"/>
  <c r="BZ60" i="1"/>
  <c r="BZ59" i="1"/>
  <c r="BZ57" i="1"/>
  <c r="BZ56" i="1"/>
  <c r="BZ55" i="1"/>
  <c r="BZ27" i="1"/>
  <c r="BZ26" i="1"/>
  <c r="BZ25" i="1"/>
  <c r="BZ30" i="1"/>
  <c r="BZ29" i="1"/>
  <c r="BZ23" i="1"/>
  <c r="BZ22" i="1"/>
  <c r="BZ21" i="1"/>
  <c r="BZ19" i="1"/>
  <c r="BZ18" i="1"/>
  <c r="BZ17" i="1"/>
  <c r="BZ16" i="1"/>
  <c r="BZ53" i="1"/>
  <c r="BZ52" i="1"/>
  <c r="BZ51" i="1"/>
  <c r="BZ50" i="1"/>
  <c r="BZ49" i="1"/>
  <c r="BZ183" i="1"/>
  <c r="BZ182" i="1"/>
  <c r="BZ177" i="1"/>
  <c r="BZ176" i="1"/>
  <c r="BZ174" i="1"/>
  <c r="BZ173" i="1"/>
  <c r="BZ171" i="1"/>
  <c r="BZ170" i="1"/>
  <c r="BZ131" i="1"/>
  <c r="BZ130" i="1"/>
  <c r="BZ129" i="1"/>
  <c r="BZ128" i="1"/>
  <c r="BZ168" i="1"/>
  <c r="BZ152" i="1"/>
  <c r="BZ166" i="1"/>
  <c r="BZ165" i="1"/>
  <c r="BZ160" i="1"/>
  <c r="BZ159" i="1"/>
  <c r="BZ157" i="1"/>
  <c r="BZ156" i="1"/>
  <c r="BZ113" i="1"/>
  <c r="BZ112" i="1"/>
  <c r="BZ111" i="1"/>
  <c r="BZ136" i="1"/>
  <c r="BZ135" i="1"/>
  <c r="BZ134" i="1"/>
  <c r="BZ133" i="1"/>
  <c r="BZ109" i="1"/>
  <c r="BZ108" i="1"/>
  <c r="BZ107" i="1"/>
  <c r="BZ106" i="1"/>
  <c r="BZ105" i="1"/>
  <c r="BZ104" i="1"/>
  <c r="BZ103" i="1"/>
  <c r="BZ102" i="1"/>
  <c r="BZ100" i="1"/>
  <c r="BZ99" i="1"/>
  <c r="BZ98" i="1"/>
  <c r="BZ96" i="1"/>
  <c r="BZ95" i="1"/>
  <c r="BZ94" i="1"/>
  <c r="BZ93" i="1"/>
  <c r="BZ92" i="1"/>
  <c r="BZ90" i="1"/>
  <c r="BZ89" i="1"/>
  <c r="BZ88" i="1"/>
  <c r="BZ86" i="1"/>
  <c r="BZ85" i="1"/>
  <c r="BZ84" i="1"/>
  <c r="BZ83" i="1"/>
  <c r="BZ82" i="1"/>
  <c r="BZ80" i="1"/>
  <c r="BZ79" i="1"/>
  <c r="BZ78" i="1"/>
  <c r="BZ72" i="1"/>
  <c r="BZ47" i="1"/>
  <c r="BZ46" i="1"/>
  <c r="BZ45" i="1"/>
  <c r="BZ39" i="1"/>
  <c r="BZ37" i="1"/>
  <c r="BZ36" i="1"/>
  <c r="BZ14" i="1"/>
  <c r="BZ13" i="1"/>
  <c r="BZ12" i="1"/>
  <c r="BZ10" i="1"/>
  <c r="BS10" i="1"/>
  <c r="BS12" i="1"/>
  <c r="BS13" i="1"/>
  <c r="BS14" i="1"/>
  <c r="BS36" i="1"/>
  <c r="BS37" i="1"/>
  <c r="BS39" i="1"/>
  <c r="BS45" i="1"/>
  <c r="BS46" i="1"/>
  <c r="BS47" i="1"/>
  <c r="BS72" i="1"/>
  <c r="BS78" i="1"/>
  <c r="BS79" i="1"/>
  <c r="BS80" i="1"/>
  <c r="BS82" i="1"/>
  <c r="BS83" i="1"/>
  <c r="BS84" i="1"/>
  <c r="BS85" i="1"/>
  <c r="BS86" i="1"/>
  <c r="BS88" i="1"/>
  <c r="BS89" i="1"/>
  <c r="BS90" i="1"/>
  <c r="BS92" i="1"/>
  <c r="BS93" i="1"/>
  <c r="BS94" i="1"/>
  <c r="BS95" i="1"/>
  <c r="BS96" i="1"/>
  <c r="BS98" i="1"/>
  <c r="BS99" i="1"/>
  <c r="BS100" i="1"/>
  <c r="BS102" i="1"/>
  <c r="BS103" i="1"/>
  <c r="BS104" i="1"/>
  <c r="BS105" i="1"/>
  <c r="BS106" i="1"/>
  <c r="BS107" i="1"/>
  <c r="BS108" i="1"/>
  <c r="BS109" i="1"/>
  <c r="BS133" i="1"/>
  <c r="BS134" i="1"/>
  <c r="BS135" i="1"/>
  <c r="BS136" i="1"/>
  <c r="BS111" i="1"/>
  <c r="BS112" i="1"/>
  <c r="BS113" i="1"/>
  <c r="BS156" i="1"/>
  <c r="BS157" i="1"/>
  <c r="BS159" i="1"/>
  <c r="BS160" i="1"/>
  <c r="BS165" i="1"/>
  <c r="BS166" i="1"/>
  <c r="BS152" i="1"/>
  <c r="BS168" i="1"/>
  <c r="BS128" i="1"/>
  <c r="BS129" i="1"/>
  <c r="BS130" i="1"/>
  <c r="BS131" i="1"/>
  <c r="BS170" i="1"/>
  <c r="BS171" i="1"/>
  <c r="BS173" i="1"/>
  <c r="BS174" i="1"/>
  <c r="BS176" i="1"/>
  <c r="BS177" i="1"/>
  <c r="BS182" i="1"/>
  <c r="BS183" i="1"/>
  <c r="BS49" i="1"/>
  <c r="BS50" i="1"/>
  <c r="BS51" i="1"/>
  <c r="BS52" i="1"/>
  <c r="BS53" i="1"/>
  <c r="BS16" i="1"/>
  <c r="BS17" i="1"/>
  <c r="BS18" i="1"/>
  <c r="BS19" i="1"/>
  <c r="BS21" i="1"/>
  <c r="BS22" i="1"/>
  <c r="BS23" i="1"/>
  <c r="BS29" i="1"/>
  <c r="BS30" i="1"/>
  <c r="BS25" i="1"/>
  <c r="BS26" i="1"/>
  <c r="BS27" i="1"/>
  <c r="BS55" i="1"/>
  <c r="BS56" i="1"/>
  <c r="BS57" i="1"/>
  <c r="BS59" i="1"/>
  <c r="BS60" i="1"/>
  <c r="BS61" i="1"/>
  <c r="BS67" i="1"/>
  <c r="BS68" i="1"/>
  <c r="BS70" i="1"/>
  <c r="BS63" i="1"/>
  <c r="BS64" i="1"/>
  <c r="BS65" i="1"/>
  <c r="BS193" i="1"/>
  <c r="BS194" i="1"/>
  <c r="BS195" i="1"/>
  <c r="BS196" i="1"/>
  <c r="BS197" i="1"/>
  <c r="BS199" i="1"/>
  <c r="BS200" i="1"/>
  <c r="BS201" i="1"/>
  <c r="BS115" i="1"/>
  <c r="BS116" i="1"/>
  <c r="BS117" i="1"/>
  <c r="BS118" i="1"/>
  <c r="BS119" i="1"/>
  <c r="BS121" i="1"/>
  <c r="BS203" i="1"/>
  <c r="BS204" i="1"/>
  <c r="BS205" i="1"/>
  <c r="BS206" i="1"/>
  <c r="BS207" i="1"/>
  <c r="BS208" i="1"/>
  <c r="BS209" i="1"/>
  <c r="BS212" i="1"/>
  <c r="BS215" i="1"/>
  <c r="BS216" i="1"/>
  <c r="BS217" i="1"/>
  <c r="BS218" i="1"/>
  <c r="BS220" i="1"/>
  <c r="BS221" i="1"/>
  <c r="BS222" i="1"/>
  <c r="BS224" i="1"/>
  <c r="BS225" i="1"/>
  <c r="BS226" i="1"/>
  <c r="BS227" i="1"/>
  <c r="BS228" i="1"/>
  <c r="BS229" i="1"/>
  <c r="BS231" i="1"/>
  <c r="BS232" i="1"/>
  <c r="BS233" i="1"/>
  <c r="BS234" i="1"/>
  <c r="BS235" i="1"/>
  <c r="BS237" i="1"/>
  <c r="BS238" i="1"/>
  <c r="BS239" i="1"/>
  <c r="BS240" i="1"/>
  <c r="BS241" i="1"/>
  <c r="BS242" i="1"/>
  <c r="BS123" i="1"/>
  <c r="BS124" i="1"/>
  <c r="BS125" i="1"/>
  <c r="BS126" i="1"/>
  <c r="BS244" i="1"/>
  <c r="BS245" i="1"/>
  <c r="BS246" i="1"/>
  <c r="BS247" i="1"/>
  <c r="BS251" i="1"/>
  <c r="BS252" i="1"/>
  <c r="BS253" i="1"/>
  <c r="BS255" i="1"/>
  <c r="BS256" i="1"/>
  <c r="BS258" i="1"/>
  <c r="BS259" i="1"/>
  <c r="BS260" i="1"/>
  <c r="BS261" i="1"/>
  <c r="BS262" i="1"/>
  <c r="BS263" i="1"/>
  <c r="BS265" i="1"/>
  <c r="BS266" i="1"/>
  <c r="BS267" i="1"/>
  <c r="BS269" i="1"/>
  <c r="BS270" i="1"/>
  <c r="BS271" i="1"/>
  <c r="BS272" i="1"/>
  <c r="BS274" i="1"/>
  <c r="BS275" i="1"/>
  <c r="BS277" i="1"/>
  <c r="BS278" i="1"/>
  <c r="BS279" i="1"/>
  <c r="BS280" i="1"/>
  <c r="BS283" i="1"/>
  <c r="BS284" i="1"/>
  <c r="BS286" i="1"/>
  <c r="BS289" i="1"/>
  <c r="BS290" i="1"/>
  <c r="BS292" i="1"/>
  <c r="BS293" i="1"/>
  <c r="BS295" i="1"/>
  <c r="BS146" i="1"/>
  <c r="BS297" i="1"/>
  <c r="BS298" i="1"/>
  <c r="BS300" i="1"/>
  <c r="BS301" i="1"/>
  <c r="BS302" i="1"/>
  <c r="BS185" i="1"/>
  <c r="BS186" i="1"/>
  <c r="BS304" i="1"/>
  <c r="BS305" i="1"/>
  <c r="BS307" i="1"/>
  <c r="BS308" i="1"/>
  <c r="BS309" i="1"/>
  <c r="BS310" i="1"/>
  <c r="BS311" i="1"/>
  <c r="P9" i="1"/>
  <c r="FZ162" i="1" l="1"/>
  <c r="DI163" i="1"/>
  <c r="FZ163" i="1"/>
  <c r="AS212" i="1"/>
  <c r="GA212" i="1" s="1"/>
  <c r="GA209" i="1"/>
  <c r="AN212" i="1"/>
  <c r="AO212" i="1" s="1"/>
  <c r="AO209" i="1"/>
  <c r="CO163" i="1"/>
  <c r="M163" i="1" s="1"/>
  <c r="CY162" i="1"/>
  <c r="N162" i="1" s="1"/>
  <c r="CX139" i="1"/>
  <c r="CW139" i="1"/>
  <c r="CW162" i="1"/>
  <c r="CX162" i="1"/>
  <c r="CX140" i="1"/>
  <c r="CW140" i="1"/>
  <c r="CW163" i="1"/>
  <c r="CX163" i="1"/>
  <c r="DZ163" i="1"/>
  <c r="CO162" i="1"/>
  <c r="M162" i="1" s="1"/>
  <c r="CY163" i="1"/>
  <c r="N163" i="1" s="1"/>
  <c r="CO69" i="1"/>
  <c r="M69" i="1" s="1"/>
  <c r="CY140" i="1"/>
  <c r="N140" i="1" s="1"/>
  <c r="DX163" i="1"/>
  <c r="CO140" i="1"/>
  <c r="M140" i="1" s="1"/>
  <c r="CO139" i="1"/>
  <c r="M139" i="1" s="1"/>
  <c r="CY139" i="1"/>
  <c r="N139" i="1" s="1"/>
  <c r="BB33" i="1"/>
  <c r="CL32" i="1"/>
  <c r="FZ32" i="1" s="1"/>
  <c r="BX33" i="1"/>
  <c r="DJ33" i="1"/>
  <c r="DK33" i="1" s="1"/>
  <c r="AS34" i="1"/>
  <c r="BK34" i="1"/>
  <c r="BN34" i="1" s="1"/>
  <c r="BN33" i="1"/>
  <c r="BY33" i="1"/>
  <c r="CE33" i="1"/>
  <c r="CE34" i="1"/>
  <c r="I33" i="1"/>
  <c r="J33" i="1"/>
  <c r="BY5" i="1"/>
  <c r="Q9" i="1"/>
  <c r="BX97" i="1"/>
  <c r="BY97" i="1"/>
  <c r="FS100" i="1"/>
  <c r="FL100" i="1"/>
  <c r="FF100" i="1"/>
  <c r="EC100" i="1"/>
  <c r="EA100" i="1"/>
  <c r="DN100" i="1"/>
  <c r="DB100" i="1"/>
  <c r="CZ100" i="1"/>
  <c r="CK100" i="1"/>
  <c r="CJ100" i="1"/>
  <c r="CI100" i="1"/>
  <c r="CH100" i="1"/>
  <c r="CG100" i="1"/>
  <c r="CF100" i="1"/>
  <c r="CE100" i="1"/>
  <c r="CD100" i="1"/>
  <c r="CC100" i="1"/>
  <c r="CB100" i="1"/>
  <c r="BY100" i="1"/>
  <c r="BX100" i="1"/>
  <c r="BW100" i="1"/>
  <c r="BV100" i="1"/>
  <c r="BU100" i="1"/>
  <c r="BT100" i="1"/>
  <c r="BR100" i="1"/>
  <c r="J100" i="1"/>
  <c r="CN100" i="1" s="1"/>
  <c r="I100" i="1"/>
  <c r="FS99" i="1"/>
  <c r="FL99" i="1"/>
  <c r="FF99" i="1"/>
  <c r="EC99" i="1"/>
  <c r="EA99" i="1"/>
  <c r="DN99" i="1"/>
  <c r="DB99" i="1"/>
  <c r="CZ99" i="1"/>
  <c r="CK99" i="1"/>
  <c r="CJ99" i="1"/>
  <c r="CI99" i="1"/>
  <c r="CH99" i="1"/>
  <c r="CG99" i="1"/>
  <c r="CF99" i="1"/>
  <c r="CE99" i="1"/>
  <c r="CD99" i="1"/>
  <c r="CC99" i="1"/>
  <c r="CB99" i="1"/>
  <c r="BY99" i="1"/>
  <c r="BX99" i="1"/>
  <c r="BW99" i="1"/>
  <c r="BV99" i="1"/>
  <c r="BU99" i="1"/>
  <c r="BT99" i="1"/>
  <c r="BR99" i="1"/>
  <c r="J99" i="1"/>
  <c r="CN99" i="1" s="1"/>
  <c r="I99" i="1"/>
  <c r="FS98" i="1"/>
  <c r="FL98" i="1"/>
  <c r="FF98" i="1"/>
  <c r="EC98" i="1"/>
  <c r="EA98" i="1"/>
  <c r="DN98" i="1"/>
  <c r="DC98" i="1"/>
  <c r="DA98" i="1"/>
  <c r="CZ98" i="1" s="1"/>
  <c r="CK98" i="1"/>
  <c r="CJ98" i="1"/>
  <c r="CI98" i="1"/>
  <c r="CH98" i="1"/>
  <c r="CG98" i="1"/>
  <c r="CF98" i="1"/>
  <c r="CE98" i="1"/>
  <c r="CD98" i="1"/>
  <c r="CC98" i="1"/>
  <c r="CB98" i="1"/>
  <c r="BY98" i="1"/>
  <c r="BX98" i="1"/>
  <c r="BW98" i="1"/>
  <c r="BV98" i="1"/>
  <c r="BU98" i="1"/>
  <c r="BT98" i="1"/>
  <c r="BR98" i="1"/>
  <c r="BM98" i="1"/>
  <c r="BL98" i="1"/>
  <c r="BL99" i="1" s="1"/>
  <c r="BL100" i="1" s="1"/>
  <c r="BK98" i="1"/>
  <c r="BK99" i="1" s="1"/>
  <c r="BK100" i="1" s="1"/>
  <c r="AX98" i="1"/>
  <c r="AX99" i="1" s="1"/>
  <c r="AX100" i="1" s="1"/>
  <c r="AY98" i="1"/>
  <c r="AY99" i="1" s="1"/>
  <c r="AY100" i="1" s="1"/>
  <c r="AW98" i="1"/>
  <c r="AW99" i="1" s="1"/>
  <c r="AW100" i="1" s="1"/>
  <c r="AV98" i="1"/>
  <c r="AV99" i="1" s="1"/>
  <c r="AV100" i="1" s="1"/>
  <c r="AU98" i="1"/>
  <c r="AS98" i="1"/>
  <c r="AR98" i="1"/>
  <c r="AR99" i="1" s="1"/>
  <c r="AR100" i="1" s="1"/>
  <c r="AQ98" i="1"/>
  <c r="AP98" i="1"/>
  <c r="AP99" i="1" s="1"/>
  <c r="AP100" i="1" s="1"/>
  <c r="AN98" i="1"/>
  <c r="AO98" i="1" s="1"/>
  <c r="AL98" i="1"/>
  <c r="AL99" i="1" s="1"/>
  <c r="AL100" i="1" s="1"/>
  <c r="AJ98" i="1"/>
  <c r="AJ99" i="1" s="1"/>
  <c r="AJ100" i="1" s="1"/>
  <c r="AI98" i="1"/>
  <c r="AI99" i="1" s="1"/>
  <c r="AI100" i="1" s="1"/>
  <c r="J98" i="1"/>
  <c r="H97" i="1" s="1"/>
  <c r="I98" i="1"/>
  <c r="C98" i="1"/>
  <c r="C99" i="1" s="1"/>
  <c r="C100" i="1" s="1"/>
  <c r="FS97" i="1"/>
  <c r="FR97" i="1"/>
  <c r="FL97" i="1"/>
  <c r="FK97" i="1"/>
  <c r="FF97" i="1"/>
  <c r="FE97" i="1"/>
  <c r="EY97" i="1"/>
  <c r="ES97" i="1"/>
  <c r="EM97" i="1"/>
  <c r="EH97" i="1"/>
  <c r="EC97" i="1"/>
  <c r="EB97" i="1"/>
  <c r="EA97" i="1"/>
  <c r="DZ97" i="1"/>
  <c r="DX97" i="1"/>
  <c r="DW97" i="1"/>
  <c r="DN97" i="1"/>
  <c r="DM97" i="1"/>
  <c r="DJ97" i="1"/>
  <c r="DK97" i="1" s="1"/>
  <c r="DI97" i="1"/>
  <c r="DB97" i="1"/>
  <c r="CZ97" i="1"/>
  <c r="CY97" i="1"/>
  <c r="CU97" i="1"/>
  <c r="CN97" i="1"/>
  <c r="CB97" i="1"/>
  <c r="BT97" i="1"/>
  <c r="BN97" i="1"/>
  <c r="BE97" i="1"/>
  <c r="BD97" i="1"/>
  <c r="BA98" i="1"/>
  <c r="AZ97" i="1"/>
  <c r="AZ98" i="1" s="1"/>
  <c r="AZ99" i="1" s="1"/>
  <c r="AZ100" i="1" s="1"/>
  <c r="AO97" i="1"/>
  <c r="B97" i="1"/>
  <c r="FS171" i="1"/>
  <c r="FL171" i="1"/>
  <c r="FF171" i="1"/>
  <c r="EC171" i="1"/>
  <c r="EA171" i="1"/>
  <c r="DN171" i="1"/>
  <c r="DB171" i="1"/>
  <c r="CZ171" i="1"/>
  <c r="CK171" i="1"/>
  <c r="CJ171" i="1"/>
  <c r="CI171" i="1"/>
  <c r="CH171" i="1"/>
  <c r="CG171" i="1"/>
  <c r="CF171" i="1"/>
  <c r="CE171" i="1"/>
  <c r="CD171" i="1"/>
  <c r="CC171" i="1"/>
  <c r="CB171" i="1"/>
  <c r="BY171" i="1"/>
  <c r="BX171" i="1"/>
  <c r="BW171" i="1"/>
  <c r="BV171" i="1"/>
  <c r="BU171" i="1"/>
  <c r="BT171" i="1"/>
  <c r="BR171" i="1"/>
  <c r="CN171" i="1"/>
  <c r="FS170" i="1"/>
  <c r="FL170" i="1"/>
  <c r="FF170" i="1"/>
  <c r="EC170" i="1"/>
  <c r="EA170" i="1"/>
  <c r="DN170" i="1"/>
  <c r="DC170" i="1"/>
  <c r="J169" i="1" s="1"/>
  <c r="DA170" i="1"/>
  <c r="CZ170" i="1" s="1"/>
  <c r="CK170" i="1"/>
  <c r="CJ170" i="1"/>
  <c r="CI170" i="1"/>
  <c r="CH170" i="1"/>
  <c r="CG170" i="1"/>
  <c r="CF170" i="1"/>
  <c r="CE170" i="1"/>
  <c r="CD170" i="1"/>
  <c r="CC170" i="1"/>
  <c r="CB170" i="1"/>
  <c r="BY170" i="1"/>
  <c r="BX170" i="1"/>
  <c r="BW170" i="1"/>
  <c r="BV170" i="1"/>
  <c r="BU170" i="1"/>
  <c r="BT170" i="1"/>
  <c r="BR170" i="1"/>
  <c r="BM170" i="1"/>
  <c r="BM171" i="1" s="1"/>
  <c r="BL170" i="1"/>
  <c r="BL171" i="1" s="1"/>
  <c r="BK170" i="1"/>
  <c r="BK171" i="1" s="1"/>
  <c r="FS169" i="1"/>
  <c r="FR169" i="1"/>
  <c r="FL169" i="1"/>
  <c r="FK169" i="1"/>
  <c r="FF169" i="1"/>
  <c r="FE169" i="1"/>
  <c r="EY169" i="1"/>
  <c r="ES169" i="1"/>
  <c r="EM169" i="1"/>
  <c r="EH169" i="1"/>
  <c r="EC169" i="1"/>
  <c r="EB169" i="1"/>
  <c r="EA169" i="1"/>
  <c r="DZ169" i="1"/>
  <c r="DX169" i="1"/>
  <c r="DW169" i="1"/>
  <c r="DN169" i="1"/>
  <c r="DM169" i="1"/>
  <c r="DJ169" i="1"/>
  <c r="DK169" i="1" s="1"/>
  <c r="DI169" i="1"/>
  <c r="DB169" i="1"/>
  <c r="CZ169" i="1"/>
  <c r="CY169" i="1"/>
  <c r="CU169" i="1"/>
  <c r="CN169" i="1"/>
  <c r="CB169" i="1"/>
  <c r="BT169" i="1"/>
  <c r="BN169" i="1"/>
  <c r="BE169" i="1"/>
  <c r="BD169" i="1"/>
  <c r="FS152" i="1"/>
  <c r="FL152" i="1"/>
  <c r="FF152" i="1"/>
  <c r="EC152" i="1"/>
  <c r="EA152" i="1"/>
  <c r="DN152" i="1"/>
  <c r="DC152" i="1"/>
  <c r="J151" i="1" s="1"/>
  <c r="DA152" i="1"/>
  <c r="CZ152" i="1" s="1"/>
  <c r="CK152" i="1"/>
  <c r="CJ152" i="1"/>
  <c r="CI152" i="1"/>
  <c r="CH152" i="1"/>
  <c r="CG152" i="1"/>
  <c r="CF152" i="1"/>
  <c r="CE152" i="1"/>
  <c r="CD152" i="1"/>
  <c r="CC152" i="1"/>
  <c r="CB152" i="1"/>
  <c r="BY152" i="1"/>
  <c r="BX152" i="1"/>
  <c r="BW152" i="1"/>
  <c r="BV152" i="1"/>
  <c r="BU152" i="1"/>
  <c r="BT152" i="1"/>
  <c r="BR152" i="1"/>
  <c r="BM152" i="1"/>
  <c r="BL152" i="1"/>
  <c r="BK152" i="1"/>
  <c r="BN152" i="1" s="1"/>
  <c r="FS151" i="1"/>
  <c r="FR151" i="1"/>
  <c r="FL151" i="1"/>
  <c r="FK151" i="1"/>
  <c r="FF151" i="1"/>
  <c r="FE151" i="1"/>
  <c r="EY151" i="1"/>
  <c r="ES151" i="1"/>
  <c r="EM151" i="1"/>
  <c r="EH151" i="1"/>
  <c r="EC151" i="1"/>
  <c r="EB151" i="1"/>
  <c r="EA151" i="1"/>
  <c r="DZ151" i="1"/>
  <c r="DX151" i="1"/>
  <c r="DW151" i="1"/>
  <c r="DN151" i="1"/>
  <c r="DM151" i="1"/>
  <c r="DJ151" i="1"/>
  <c r="DK151" i="1" s="1"/>
  <c r="DI151" i="1"/>
  <c r="DB151" i="1"/>
  <c r="CZ151" i="1"/>
  <c r="CY151" i="1"/>
  <c r="CU151" i="1"/>
  <c r="CN151" i="1"/>
  <c r="CB151" i="1"/>
  <c r="BT151" i="1"/>
  <c r="BN151" i="1"/>
  <c r="BE151" i="1"/>
  <c r="BD151" i="1"/>
  <c r="FS134" i="1"/>
  <c r="FL134" i="1"/>
  <c r="FF134" i="1"/>
  <c r="EC134" i="1"/>
  <c r="EA134" i="1"/>
  <c r="DN134" i="1"/>
  <c r="DB134" i="1"/>
  <c r="CZ134" i="1"/>
  <c r="CK134" i="1"/>
  <c r="CJ134" i="1"/>
  <c r="CI134" i="1"/>
  <c r="CH134" i="1"/>
  <c r="CG134" i="1"/>
  <c r="CF134" i="1"/>
  <c r="CE134" i="1"/>
  <c r="CD134" i="1"/>
  <c r="CC134" i="1"/>
  <c r="CB134" i="1"/>
  <c r="BY134" i="1"/>
  <c r="BX134" i="1"/>
  <c r="BW134" i="1"/>
  <c r="BV134" i="1"/>
  <c r="BU134" i="1"/>
  <c r="BT134" i="1"/>
  <c r="BR134" i="1"/>
  <c r="BM134" i="1"/>
  <c r="BL134" i="1"/>
  <c r="BK134" i="1"/>
  <c r="CN134" i="1"/>
  <c r="FS136" i="1"/>
  <c r="FL136" i="1"/>
  <c r="FF136" i="1"/>
  <c r="EC136" i="1"/>
  <c r="EA136" i="1"/>
  <c r="DN136" i="1"/>
  <c r="DB136" i="1"/>
  <c r="CZ136" i="1"/>
  <c r="CK136" i="1"/>
  <c r="CJ136" i="1"/>
  <c r="CI136" i="1"/>
  <c r="CH136" i="1"/>
  <c r="CG136" i="1"/>
  <c r="CF136" i="1"/>
  <c r="CE136" i="1"/>
  <c r="CD136" i="1"/>
  <c r="CC136" i="1"/>
  <c r="CB136" i="1"/>
  <c r="BY136" i="1"/>
  <c r="BX136" i="1"/>
  <c r="BW136" i="1"/>
  <c r="BV136" i="1"/>
  <c r="BU136" i="1"/>
  <c r="BT136" i="1"/>
  <c r="BR136" i="1"/>
  <c r="CN136" i="1"/>
  <c r="FS135" i="1"/>
  <c r="FL135" i="1"/>
  <c r="FF135" i="1"/>
  <c r="EC135" i="1"/>
  <c r="EA135" i="1"/>
  <c r="DN135" i="1"/>
  <c r="DB135" i="1"/>
  <c r="CZ135" i="1"/>
  <c r="CK135" i="1"/>
  <c r="CJ135" i="1"/>
  <c r="CI135" i="1"/>
  <c r="CH135" i="1"/>
  <c r="CG135" i="1"/>
  <c r="CF135" i="1"/>
  <c r="CE135" i="1"/>
  <c r="CD135" i="1"/>
  <c r="CC135" i="1"/>
  <c r="CB135" i="1"/>
  <c r="BY135" i="1"/>
  <c r="BX135" i="1"/>
  <c r="BW135" i="1"/>
  <c r="BV135" i="1"/>
  <c r="BU135" i="1"/>
  <c r="BT135" i="1"/>
  <c r="BR135" i="1"/>
  <c r="CN135" i="1"/>
  <c r="FS133" i="1"/>
  <c r="FL133" i="1"/>
  <c r="FF133" i="1"/>
  <c r="EC133" i="1"/>
  <c r="EA133" i="1"/>
  <c r="DN133" i="1"/>
  <c r="DC133" i="1"/>
  <c r="J132" i="1" s="1"/>
  <c r="DA133" i="1"/>
  <c r="CZ133" i="1" s="1"/>
  <c r="CK133" i="1"/>
  <c r="CJ133" i="1"/>
  <c r="CI133" i="1"/>
  <c r="CH133" i="1"/>
  <c r="CG133" i="1"/>
  <c r="CF133" i="1"/>
  <c r="CE133" i="1"/>
  <c r="CD133" i="1"/>
  <c r="CC133" i="1"/>
  <c r="CB133" i="1"/>
  <c r="BY133" i="1"/>
  <c r="BX133" i="1"/>
  <c r="BW133" i="1"/>
  <c r="BV133" i="1"/>
  <c r="BU133" i="1"/>
  <c r="BT133" i="1"/>
  <c r="BR133" i="1"/>
  <c r="BM133" i="1"/>
  <c r="BM135" i="1" s="1"/>
  <c r="BM136" i="1" s="1"/>
  <c r="BL133" i="1"/>
  <c r="BL135" i="1" s="1"/>
  <c r="BL136" i="1" s="1"/>
  <c r="BK133" i="1"/>
  <c r="FS132" i="1"/>
  <c r="FR132" i="1"/>
  <c r="FL132" i="1"/>
  <c r="FK132" i="1"/>
  <c r="FF132" i="1"/>
  <c r="FE132" i="1"/>
  <c r="EY132" i="1"/>
  <c r="ES132" i="1"/>
  <c r="EM132" i="1"/>
  <c r="EH132" i="1"/>
  <c r="EC132" i="1"/>
  <c r="EB132" i="1"/>
  <c r="EA132" i="1"/>
  <c r="DZ132" i="1"/>
  <c r="DX132" i="1"/>
  <c r="DW132" i="1"/>
  <c r="DN132" i="1"/>
  <c r="DM132" i="1"/>
  <c r="DJ132" i="1"/>
  <c r="DK132" i="1" s="1"/>
  <c r="DI132" i="1"/>
  <c r="DB132" i="1"/>
  <c r="CZ132" i="1"/>
  <c r="CY132" i="1"/>
  <c r="CU132" i="1"/>
  <c r="CN132" i="1"/>
  <c r="CB132" i="1"/>
  <c r="BT132" i="1"/>
  <c r="BN132" i="1"/>
  <c r="BE132" i="1"/>
  <c r="BD132" i="1"/>
  <c r="BA67" i="1"/>
  <c r="BA59" i="1"/>
  <c r="BA55" i="1"/>
  <c r="BA21" i="1"/>
  <c r="BA22" i="1" s="1"/>
  <c r="BA23" i="1" s="1"/>
  <c r="BB49" i="1"/>
  <c r="BB50" i="1" s="1"/>
  <c r="BB51" i="1" s="1"/>
  <c r="BB52" i="1" s="1"/>
  <c r="BB53" i="1" s="1"/>
  <c r="BA49" i="1"/>
  <c r="BB111" i="1"/>
  <c r="BB112" i="1" s="1"/>
  <c r="BB113" i="1" s="1"/>
  <c r="BA102" i="1"/>
  <c r="BA88" i="1"/>
  <c r="BA82" i="1"/>
  <c r="BA83" i="1" s="1"/>
  <c r="BA84" i="1" s="1"/>
  <c r="BA85" i="1" s="1"/>
  <c r="BA86" i="1" s="1"/>
  <c r="BA78" i="1"/>
  <c r="BB72" i="1"/>
  <c r="BB73" i="1" s="1"/>
  <c r="BA72" i="1"/>
  <c r="BA73" i="1" s="1"/>
  <c r="BA36" i="1"/>
  <c r="BA25" i="1"/>
  <c r="BA26" i="1" s="1"/>
  <c r="BA27" i="1" s="1"/>
  <c r="BB12" i="1"/>
  <c r="BB13" i="1" s="1"/>
  <c r="BB14" i="1" s="1"/>
  <c r="BA12" i="1"/>
  <c r="BA13" i="1" s="1"/>
  <c r="BA14" i="1" s="1"/>
  <c r="BA111" i="1"/>
  <c r="BA92" i="1"/>
  <c r="BB92" i="1"/>
  <c r="BB93" i="1" s="1"/>
  <c r="BB94" i="1" s="1"/>
  <c r="BB95" i="1" s="1"/>
  <c r="BB96" i="1" s="1"/>
  <c r="BB88" i="1"/>
  <c r="BB89" i="1" s="1"/>
  <c r="BB90" i="1" s="1"/>
  <c r="BB45" i="1"/>
  <c r="BB46" i="1" s="1"/>
  <c r="BB47" i="1" s="1"/>
  <c r="A83" i="4"/>
  <c r="FS131" i="1"/>
  <c r="FL131" i="1"/>
  <c r="FF131" i="1"/>
  <c r="EC131" i="1"/>
  <c r="EA131" i="1"/>
  <c r="DN131" i="1"/>
  <c r="DB131" i="1"/>
  <c r="CZ131" i="1"/>
  <c r="CK131" i="1"/>
  <c r="CJ131" i="1"/>
  <c r="CI131" i="1"/>
  <c r="CH131" i="1"/>
  <c r="CG131" i="1"/>
  <c r="CF131" i="1"/>
  <c r="CE131" i="1"/>
  <c r="CD131" i="1"/>
  <c r="CC131" i="1"/>
  <c r="CB131" i="1"/>
  <c r="BY131" i="1"/>
  <c r="BX131" i="1"/>
  <c r="BW131" i="1"/>
  <c r="BV131" i="1"/>
  <c r="BU131" i="1"/>
  <c r="BT131" i="1"/>
  <c r="BR131" i="1"/>
  <c r="FS130" i="1"/>
  <c r="FL130" i="1"/>
  <c r="FF130" i="1"/>
  <c r="EC130" i="1"/>
  <c r="EA130" i="1"/>
  <c r="DN130" i="1"/>
  <c r="DB130" i="1"/>
  <c r="CZ130" i="1"/>
  <c r="CK130" i="1"/>
  <c r="CJ130" i="1"/>
  <c r="CI130" i="1"/>
  <c r="CH130" i="1"/>
  <c r="CG130" i="1"/>
  <c r="CF130" i="1"/>
  <c r="CE130" i="1"/>
  <c r="CD130" i="1"/>
  <c r="CC130" i="1"/>
  <c r="CB130" i="1"/>
  <c r="BY130" i="1"/>
  <c r="BX130" i="1"/>
  <c r="BW130" i="1"/>
  <c r="BV130" i="1"/>
  <c r="BU130" i="1"/>
  <c r="BT130" i="1"/>
  <c r="BR130" i="1"/>
  <c r="FS129" i="1"/>
  <c r="FL129" i="1"/>
  <c r="FF129" i="1"/>
  <c r="EC129" i="1"/>
  <c r="EA129" i="1"/>
  <c r="DN129" i="1"/>
  <c r="DB129" i="1"/>
  <c r="CZ129" i="1"/>
  <c r="CK129" i="1"/>
  <c r="CJ129" i="1"/>
  <c r="CI129" i="1"/>
  <c r="CH129" i="1"/>
  <c r="CG129" i="1"/>
  <c r="CF129" i="1"/>
  <c r="CE129" i="1"/>
  <c r="CD129" i="1"/>
  <c r="CC129" i="1"/>
  <c r="CB129" i="1"/>
  <c r="BY129" i="1"/>
  <c r="BX129" i="1"/>
  <c r="BW129" i="1"/>
  <c r="BV129" i="1"/>
  <c r="BU129" i="1"/>
  <c r="BT129" i="1"/>
  <c r="BR129" i="1"/>
  <c r="CN129" i="1"/>
  <c r="FS128" i="1"/>
  <c r="FL128" i="1"/>
  <c r="FF128" i="1"/>
  <c r="EC128" i="1"/>
  <c r="EA128" i="1"/>
  <c r="DN128" i="1"/>
  <c r="DC128" i="1"/>
  <c r="J127" i="1" s="1"/>
  <c r="DA128" i="1"/>
  <c r="CK128" i="1"/>
  <c r="CJ128" i="1"/>
  <c r="CI128" i="1"/>
  <c r="CH128" i="1"/>
  <c r="CG128" i="1"/>
  <c r="CF128" i="1"/>
  <c r="CE128" i="1"/>
  <c r="CD128" i="1"/>
  <c r="CC128" i="1"/>
  <c r="CB128" i="1"/>
  <c r="BY128" i="1"/>
  <c r="BX128" i="1"/>
  <c r="BW128" i="1"/>
  <c r="BV128" i="1"/>
  <c r="BU128" i="1"/>
  <c r="BT128" i="1"/>
  <c r="BR128" i="1"/>
  <c r="BM128" i="1"/>
  <c r="BM129" i="1" s="1"/>
  <c r="BM130" i="1" s="1"/>
  <c r="BM131" i="1" s="1"/>
  <c r="BL128" i="1"/>
  <c r="BL129" i="1" s="1"/>
  <c r="BL130" i="1" s="1"/>
  <c r="BL131" i="1" s="1"/>
  <c r="BK128" i="1"/>
  <c r="BN128" i="1" s="1"/>
  <c r="FW127" i="1"/>
  <c r="FV127" i="1"/>
  <c r="FU127" i="1"/>
  <c r="FS127" i="1"/>
  <c r="FR127" i="1"/>
  <c r="FQ127" i="1"/>
  <c r="FP127" i="1"/>
  <c r="FO127" i="1"/>
  <c r="FN127" i="1"/>
  <c r="FL127" i="1"/>
  <c r="FK127" i="1"/>
  <c r="FJ127" i="1"/>
  <c r="FI127" i="1"/>
  <c r="FH127" i="1"/>
  <c r="FF127" i="1"/>
  <c r="FE127" i="1"/>
  <c r="FD127" i="1"/>
  <c r="FC127" i="1"/>
  <c r="FB127" i="1"/>
  <c r="EY127" i="1"/>
  <c r="EX127" i="1"/>
  <c r="EW127" i="1"/>
  <c r="EV127" i="1"/>
  <c r="EU127" i="1"/>
  <c r="ES127" i="1"/>
  <c r="ER127" i="1"/>
  <c r="EQ127" i="1"/>
  <c r="EP127" i="1"/>
  <c r="EO127" i="1"/>
  <c r="EM127" i="1"/>
  <c r="EL127" i="1"/>
  <c r="EK127" i="1"/>
  <c r="EJ127" i="1"/>
  <c r="EH127" i="1"/>
  <c r="EF127" i="1"/>
  <c r="EE127" i="1"/>
  <c r="ED127" i="1"/>
  <c r="EC127" i="1"/>
  <c r="EB127" i="1"/>
  <c r="EA127" i="1"/>
  <c r="DZ127" i="1"/>
  <c r="DX127" i="1"/>
  <c r="DW127" i="1"/>
  <c r="DU127" i="1"/>
  <c r="DT127" i="1"/>
  <c r="DS127" i="1"/>
  <c r="DR127" i="1"/>
  <c r="DQ127" i="1"/>
  <c r="DP127" i="1"/>
  <c r="DO127" i="1" s="1"/>
  <c r="DN127" i="1"/>
  <c r="DM127" i="1"/>
  <c r="DJ127" i="1"/>
  <c r="DK127" i="1" s="1"/>
  <c r="DI127" i="1"/>
  <c r="DB127" i="1"/>
  <c r="CY127" i="1"/>
  <c r="CU127" i="1"/>
  <c r="CN127" i="1"/>
  <c r="CB127" i="1"/>
  <c r="BT127" i="1"/>
  <c r="BN127" i="1"/>
  <c r="BE127" i="1"/>
  <c r="BD127" i="1"/>
  <c r="M122" i="4"/>
  <c r="C12" i="1"/>
  <c r="C13" i="1" s="1"/>
  <c r="C14" i="1" s="1"/>
  <c r="C25" i="1"/>
  <c r="C26" i="1" s="1"/>
  <c r="C27" i="1" s="1"/>
  <c r="B1" i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DH1" i="1" s="1"/>
  <c r="DI1" i="1" s="1"/>
  <c r="DJ1" i="1" s="1"/>
  <c r="DK1" i="1" s="1"/>
  <c r="DL1" i="1" s="1"/>
  <c r="DM1" i="1" s="1"/>
  <c r="DN1" i="1" s="1"/>
  <c r="DO1" i="1" s="1"/>
  <c r="DP1" i="1" s="1"/>
  <c r="DQ1" i="1" s="1"/>
  <c r="DR1" i="1" s="1"/>
  <c r="DS1" i="1" s="1"/>
  <c r="DT1" i="1" s="1"/>
  <c r="DU1" i="1" s="1"/>
  <c r="DV1" i="1" s="1"/>
  <c r="DW1" i="1" s="1"/>
  <c r="DX1" i="1" s="1"/>
  <c r="DY1" i="1" s="1"/>
  <c r="DZ1" i="1" s="1"/>
  <c r="EA1" i="1" s="1"/>
  <c r="EB1" i="1" s="1"/>
  <c r="EC1" i="1" s="1"/>
  <c r="ED1" i="1" s="1"/>
  <c r="EE1" i="1" s="1"/>
  <c r="EF1" i="1" s="1"/>
  <c r="EG1" i="1" s="1"/>
  <c r="EH1" i="1" s="1"/>
  <c r="EI1" i="1" s="1"/>
  <c r="EJ1" i="1" s="1"/>
  <c r="EK1" i="1" s="1"/>
  <c r="EL1" i="1" s="1"/>
  <c r="EM1" i="1" s="1"/>
  <c r="EN1" i="1" s="1"/>
  <c r="EO1" i="1" s="1"/>
  <c r="EP1" i="1" s="1"/>
  <c r="EQ1" i="1" s="1"/>
  <c r="ER1" i="1" s="1"/>
  <c r="ES1" i="1" s="1"/>
  <c r="ET1" i="1" s="1"/>
  <c r="EU1" i="1" s="1"/>
  <c r="EV1" i="1" s="1"/>
  <c r="EW1" i="1" s="1"/>
  <c r="EX1" i="1" s="1"/>
  <c r="EY1" i="1" s="1"/>
  <c r="EZ1" i="1" s="1"/>
  <c r="FA1" i="1" s="1"/>
  <c r="FB1" i="1" s="1"/>
  <c r="FC1" i="1" s="1"/>
  <c r="FD1" i="1" s="1"/>
  <c r="FE1" i="1" s="1"/>
  <c r="FF1" i="1" s="1"/>
  <c r="FG1" i="1" s="1"/>
  <c r="FH1" i="1" s="1"/>
  <c r="FI1" i="1" s="1"/>
  <c r="FJ1" i="1" s="1"/>
  <c r="FK1" i="1" s="1"/>
  <c r="FL1" i="1" s="1"/>
  <c r="FM1" i="1" s="1"/>
  <c r="FN1" i="1" s="1"/>
  <c r="FO1" i="1" s="1"/>
  <c r="FP1" i="1" s="1"/>
  <c r="FQ1" i="1" s="1"/>
  <c r="FR1" i="1" s="1"/>
  <c r="FS1" i="1" s="1"/>
  <c r="FT1" i="1" s="1"/>
  <c r="FU1" i="1" s="1"/>
  <c r="FV1" i="1" s="1"/>
  <c r="FW1" i="1" s="1"/>
  <c r="FX1" i="1" s="1"/>
  <c r="FY1" i="1" s="1"/>
  <c r="FZ1" i="1" s="1"/>
  <c r="GA1" i="1" s="1"/>
  <c r="GB1" i="1" s="1"/>
  <c r="GC1" i="1" s="1"/>
  <c r="GD1" i="1" s="1"/>
  <c r="GE1" i="1" s="1"/>
  <c r="GF1" i="1" s="1"/>
  <c r="GG1" i="1" s="1"/>
  <c r="GH1" i="1" s="1"/>
  <c r="GI1" i="1" s="1"/>
  <c r="GJ1" i="1" s="1"/>
  <c r="GK1" i="1" s="1"/>
  <c r="GL1" i="1" s="1"/>
  <c r="GM1" i="1" s="1"/>
  <c r="GN1" i="1" s="1"/>
  <c r="GO1" i="1" s="1"/>
  <c r="GP1" i="1" s="1"/>
  <c r="GQ1" i="1" s="1"/>
  <c r="GR1" i="1" s="1"/>
  <c r="GS1" i="1" s="1"/>
  <c r="GT1" i="1" s="1"/>
  <c r="GU1" i="1" s="1"/>
  <c r="GV1" i="1" s="1"/>
  <c r="GW1" i="1" s="1"/>
  <c r="GX1" i="1" s="1"/>
  <c r="GY1" i="1" s="1"/>
  <c r="GZ1" i="1" s="1"/>
  <c r="BR10" i="1"/>
  <c r="BT10" i="1"/>
  <c r="BU10" i="1"/>
  <c r="BV10" i="1"/>
  <c r="BW10" i="1"/>
  <c r="BX10" i="1"/>
  <c r="CB10" i="1"/>
  <c r="CC10" i="1"/>
  <c r="CD10" i="1"/>
  <c r="CF10" i="1"/>
  <c r="CG10" i="1"/>
  <c r="CH10" i="1"/>
  <c r="CI10" i="1"/>
  <c r="CJ10" i="1"/>
  <c r="CK10" i="1"/>
  <c r="AO10" i="1"/>
  <c r="BN10" i="1"/>
  <c r="DB7" i="1"/>
  <c r="DB214" i="1" s="1"/>
  <c r="DC176" i="1"/>
  <c r="J175" i="1" s="1"/>
  <c r="BR176" i="1"/>
  <c r="BT176" i="1"/>
  <c r="BU176" i="1"/>
  <c r="BV176" i="1"/>
  <c r="BW176" i="1"/>
  <c r="BX176" i="1"/>
  <c r="BY176" i="1"/>
  <c r="CB176" i="1"/>
  <c r="CC176" i="1"/>
  <c r="CD176" i="1"/>
  <c r="CE176" i="1"/>
  <c r="CF176" i="1"/>
  <c r="CG176" i="1"/>
  <c r="CH176" i="1"/>
  <c r="CI176" i="1"/>
  <c r="CJ176" i="1"/>
  <c r="CK176" i="1"/>
  <c r="AJ67" i="1"/>
  <c r="AJ59" i="1"/>
  <c r="AJ60" i="1" s="1"/>
  <c r="AJ61" i="1" s="1"/>
  <c r="AJ55" i="1"/>
  <c r="AJ56" i="1" s="1"/>
  <c r="AJ57" i="1" s="1"/>
  <c r="AJ21" i="1"/>
  <c r="AJ22" i="1" s="1"/>
  <c r="AJ23" i="1" s="1"/>
  <c r="AJ16" i="1"/>
  <c r="AJ17" i="1" s="1"/>
  <c r="AJ18" i="1" s="1"/>
  <c r="AJ19" i="1" s="1"/>
  <c r="AJ49" i="1"/>
  <c r="AJ50" i="1" s="1"/>
  <c r="AJ51" i="1" s="1"/>
  <c r="AJ52" i="1" s="1"/>
  <c r="AJ53" i="1" s="1"/>
  <c r="AJ111" i="1"/>
  <c r="AJ112" i="1" s="1"/>
  <c r="AJ113" i="1" s="1"/>
  <c r="AJ92" i="1"/>
  <c r="AJ93" i="1" s="1"/>
  <c r="AJ94" i="1" s="1"/>
  <c r="AJ95" i="1" s="1"/>
  <c r="AJ96" i="1" s="1"/>
  <c r="AJ88" i="1"/>
  <c r="AJ89" i="1" s="1"/>
  <c r="AJ90" i="1" s="1"/>
  <c r="AJ82" i="1"/>
  <c r="AJ83" i="1" s="1"/>
  <c r="AJ84" i="1" s="1"/>
  <c r="AJ85" i="1" s="1"/>
  <c r="AJ86" i="1" s="1"/>
  <c r="AJ78" i="1"/>
  <c r="AJ102" i="1"/>
  <c r="AJ103" i="1" s="1"/>
  <c r="AJ104" i="1" s="1"/>
  <c r="AJ105" i="1" s="1"/>
  <c r="AJ106" i="1" s="1"/>
  <c r="AJ107" i="1" s="1"/>
  <c r="AJ108" i="1" s="1"/>
  <c r="AJ109" i="1" s="1"/>
  <c r="AJ72" i="1"/>
  <c r="AJ73" i="1" s="1"/>
  <c r="AJ45" i="1"/>
  <c r="AJ46" i="1" s="1"/>
  <c r="AJ47" i="1" s="1"/>
  <c r="AJ36" i="1"/>
  <c r="AJ25" i="1"/>
  <c r="AJ26" i="1" s="1"/>
  <c r="AJ27" i="1" s="1"/>
  <c r="AJ12" i="1"/>
  <c r="AJ13" i="1" s="1"/>
  <c r="AJ14" i="1" s="1"/>
  <c r="CI182" i="1"/>
  <c r="AO71" i="1"/>
  <c r="AO44" i="1"/>
  <c r="G90" i="4"/>
  <c r="X107" i="1"/>
  <c r="CB107" i="1" s="1"/>
  <c r="BU103" i="1"/>
  <c r="U102" i="1"/>
  <c r="BR177" i="1"/>
  <c r="BT177" i="1"/>
  <c r="BU177" i="1"/>
  <c r="BV177" i="1"/>
  <c r="BW177" i="1"/>
  <c r="BX177" i="1"/>
  <c r="BY177" i="1"/>
  <c r="CB177" i="1"/>
  <c r="CC177" i="1"/>
  <c r="CD177" i="1"/>
  <c r="CE177" i="1"/>
  <c r="CF177" i="1"/>
  <c r="CG177" i="1"/>
  <c r="CH177" i="1"/>
  <c r="CI177" i="1"/>
  <c r="CJ177" i="1"/>
  <c r="CK177" i="1"/>
  <c r="BR80" i="1"/>
  <c r="BT80" i="1"/>
  <c r="BU80" i="1"/>
  <c r="BV80" i="1"/>
  <c r="BW80" i="1"/>
  <c r="BX80" i="1"/>
  <c r="BY80" i="1"/>
  <c r="CB80" i="1"/>
  <c r="CC80" i="1"/>
  <c r="CD80" i="1"/>
  <c r="CE80" i="1"/>
  <c r="CF80" i="1"/>
  <c r="CG80" i="1"/>
  <c r="CH80" i="1"/>
  <c r="CI80" i="1"/>
  <c r="CJ80" i="1"/>
  <c r="CK80" i="1"/>
  <c r="AQ78" i="1"/>
  <c r="AP78" i="1"/>
  <c r="AR78" i="1"/>
  <c r="AU78" i="1"/>
  <c r="FS177" i="1"/>
  <c r="FL177" i="1"/>
  <c r="FF177" i="1"/>
  <c r="EC177" i="1"/>
  <c r="EA177" i="1"/>
  <c r="AS78" i="1"/>
  <c r="DN177" i="1"/>
  <c r="DB177" i="1"/>
  <c r="CZ177" i="1"/>
  <c r="J10" i="1"/>
  <c r="K7" i="1" s="1"/>
  <c r="BK176" i="1"/>
  <c r="BN176" i="1" s="1"/>
  <c r="BM176" i="1"/>
  <c r="BM177" i="1" s="1"/>
  <c r="BL176" i="1"/>
  <c r="BL177" i="1" s="1"/>
  <c r="FS176" i="1"/>
  <c r="FL176" i="1"/>
  <c r="FF176" i="1"/>
  <c r="EC176" i="1"/>
  <c r="EA176" i="1"/>
  <c r="DN176" i="1"/>
  <c r="DA176" i="1"/>
  <c r="CZ176" i="1" s="1"/>
  <c r="FS175" i="1"/>
  <c r="FR175" i="1"/>
  <c r="FL175" i="1"/>
  <c r="FK175" i="1"/>
  <c r="FF175" i="1"/>
  <c r="FE175" i="1"/>
  <c r="EY175" i="1"/>
  <c r="ES175" i="1"/>
  <c r="EM175" i="1"/>
  <c r="EH175" i="1"/>
  <c r="EC175" i="1"/>
  <c r="EB175" i="1"/>
  <c r="EA175" i="1"/>
  <c r="DZ175" i="1"/>
  <c r="DX175" i="1"/>
  <c r="DW175" i="1"/>
  <c r="DN175" i="1"/>
  <c r="DM175" i="1"/>
  <c r="DJ175" i="1"/>
  <c r="DK175" i="1" s="1"/>
  <c r="DI175" i="1"/>
  <c r="DB175" i="1"/>
  <c r="CZ175" i="1"/>
  <c r="CY175" i="1"/>
  <c r="CU175" i="1"/>
  <c r="CN175" i="1"/>
  <c r="CB175" i="1"/>
  <c r="BT175" i="1"/>
  <c r="BN175" i="1"/>
  <c r="BJ10" i="1"/>
  <c r="BJ7" i="1" s="1"/>
  <c r="BI10" i="1"/>
  <c r="BI7" i="1" s="1"/>
  <c r="BH10" i="1"/>
  <c r="BH7" i="1" s="1"/>
  <c r="BG10" i="1"/>
  <c r="BG7" i="1" s="1"/>
  <c r="BF7" i="1"/>
  <c r="BE175" i="1"/>
  <c r="BD175" i="1"/>
  <c r="BR183" i="1"/>
  <c r="BU183" i="1"/>
  <c r="BV183" i="1"/>
  <c r="BW183" i="1"/>
  <c r="BX183" i="1"/>
  <c r="CB183" i="1"/>
  <c r="CC183" i="1"/>
  <c r="CD183" i="1"/>
  <c r="CE183" i="1"/>
  <c r="CF183" i="1"/>
  <c r="CG183" i="1"/>
  <c r="CH183" i="1"/>
  <c r="CI183" i="1"/>
  <c r="CJ183" i="1"/>
  <c r="CK183" i="1"/>
  <c r="BR182" i="1"/>
  <c r="BU182" i="1"/>
  <c r="BV182" i="1"/>
  <c r="BW182" i="1"/>
  <c r="BX182" i="1"/>
  <c r="CB182" i="1"/>
  <c r="CC182" i="1"/>
  <c r="CD182" i="1"/>
  <c r="CE182" i="1"/>
  <c r="CF182" i="1"/>
  <c r="CG182" i="1"/>
  <c r="CH182" i="1"/>
  <c r="CJ182" i="1"/>
  <c r="CK182" i="1"/>
  <c r="BR83" i="1"/>
  <c r="BT83" i="1"/>
  <c r="BU83" i="1"/>
  <c r="BV83" i="1"/>
  <c r="BW83" i="1"/>
  <c r="BX83" i="1"/>
  <c r="BY83" i="1"/>
  <c r="CB83" i="1"/>
  <c r="CC83" i="1"/>
  <c r="CD83" i="1"/>
  <c r="CE83" i="1"/>
  <c r="CF83" i="1"/>
  <c r="CG83" i="1"/>
  <c r="CH83" i="1"/>
  <c r="CI83" i="1"/>
  <c r="CJ83" i="1"/>
  <c r="CK83" i="1"/>
  <c r="AQ82" i="1"/>
  <c r="AQ83" i="1" s="1"/>
  <c r="AQ84" i="1" s="1"/>
  <c r="AQ85" i="1" s="1"/>
  <c r="AQ86" i="1" s="1"/>
  <c r="AP82" i="1"/>
  <c r="AP83" i="1" s="1"/>
  <c r="AP84" i="1" s="1"/>
  <c r="AP85" i="1" s="1"/>
  <c r="AP86" i="1" s="1"/>
  <c r="AR82" i="1"/>
  <c r="AR83" i="1" s="1"/>
  <c r="AR84" i="1" s="1"/>
  <c r="AR85" i="1" s="1"/>
  <c r="AR86" i="1" s="1"/>
  <c r="AU82" i="1"/>
  <c r="FS183" i="1"/>
  <c r="DJ10" i="1"/>
  <c r="DK10" i="1" s="1"/>
  <c r="BK182" i="1"/>
  <c r="BK183" i="1" s="1"/>
  <c r="BN183" i="1" s="1"/>
  <c r="FL183" i="1"/>
  <c r="FF183" i="1"/>
  <c r="EC183" i="1"/>
  <c r="EA183" i="1"/>
  <c r="AS82" i="1"/>
  <c r="DN183" i="1"/>
  <c r="DI10" i="1"/>
  <c r="DI7" i="1" s="1"/>
  <c r="DB183" i="1"/>
  <c r="CZ183" i="1"/>
  <c r="BM182" i="1"/>
  <c r="BM183" i="1" s="1"/>
  <c r="BL182" i="1"/>
  <c r="BL183" i="1" s="1"/>
  <c r="FS182" i="1"/>
  <c r="FL182" i="1"/>
  <c r="FF182" i="1"/>
  <c r="EC182" i="1"/>
  <c r="EA182" i="1"/>
  <c r="DN182" i="1"/>
  <c r="DC182" i="1"/>
  <c r="J181" i="1" s="1"/>
  <c r="DA182" i="1"/>
  <c r="CZ182" i="1" s="1"/>
  <c r="FS181" i="1"/>
  <c r="FR181" i="1"/>
  <c r="FL181" i="1"/>
  <c r="FK181" i="1"/>
  <c r="FF181" i="1"/>
  <c r="FE181" i="1"/>
  <c r="EY181" i="1"/>
  <c r="ES181" i="1"/>
  <c r="EM181" i="1"/>
  <c r="EH181" i="1"/>
  <c r="EC181" i="1"/>
  <c r="EB181" i="1"/>
  <c r="EA181" i="1"/>
  <c r="DZ181" i="1"/>
  <c r="DX181" i="1"/>
  <c r="DW181" i="1"/>
  <c r="DN181" i="1"/>
  <c r="DM181" i="1"/>
  <c r="DJ181" i="1"/>
  <c r="DK181" i="1" s="1"/>
  <c r="DI181" i="1"/>
  <c r="DB181" i="1"/>
  <c r="CZ181" i="1"/>
  <c r="CY181" i="1"/>
  <c r="CU181" i="1"/>
  <c r="CN181" i="1"/>
  <c r="CB181" i="1"/>
  <c r="BT181" i="1"/>
  <c r="BN181" i="1"/>
  <c r="BE181" i="1"/>
  <c r="BD181" i="1"/>
  <c r="BR160" i="1"/>
  <c r="BT160" i="1"/>
  <c r="BU160" i="1"/>
  <c r="BV160" i="1"/>
  <c r="BW160" i="1"/>
  <c r="BX160" i="1"/>
  <c r="BY160" i="1"/>
  <c r="CB160" i="1"/>
  <c r="CC160" i="1"/>
  <c r="CD160" i="1"/>
  <c r="CE160" i="1"/>
  <c r="CF160" i="1"/>
  <c r="CG160" i="1"/>
  <c r="CH160" i="1"/>
  <c r="CI160" i="1"/>
  <c r="CJ160" i="1"/>
  <c r="CK160" i="1"/>
  <c r="BR159" i="1"/>
  <c r="BT159" i="1"/>
  <c r="BU159" i="1"/>
  <c r="BV159" i="1"/>
  <c r="BW159" i="1"/>
  <c r="BX159" i="1"/>
  <c r="BY159" i="1"/>
  <c r="CB159" i="1"/>
  <c r="CC159" i="1"/>
  <c r="CD159" i="1"/>
  <c r="CE159" i="1"/>
  <c r="CF159" i="1"/>
  <c r="CG159" i="1"/>
  <c r="CH159" i="1"/>
  <c r="CI159" i="1"/>
  <c r="CJ159" i="1"/>
  <c r="CK159" i="1"/>
  <c r="FW77" i="1"/>
  <c r="FW158" i="1" s="1"/>
  <c r="FV77" i="1"/>
  <c r="FV158" i="1" s="1"/>
  <c r="FU77" i="1"/>
  <c r="FU158" i="1" s="1"/>
  <c r="FS160" i="1"/>
  <c r="BK159" i="1"/>
  <c r="BK160" i="1" s="1"/>
  <c r="BN160" i="1" s="1"/>
  <c r="FQ77" i="1"/>
  <c r="FQ158" i="1" s="1"/>
  <c r="FP77" i="1"/>
  <c r="FP158" i="1" s="1"/>
  <c r="FO77" i="1"/>
  <c r="FO158" i="1" s="1"/>
  <c r="FN77" i="1"/>
  <c r="FN158" i="1" s="1"/>
  <c r="FL160" i="1"/>
  <c r="FJ77" i="1"/>
  <c r="FJ158" i="1" s="1"/>
  <c r="FI77" i="1"/>
  <c r="FI158" i="1" s="1"/>
  <c r="FH77" i="1"/>
  <c r="FH158" i="1" s="1"/>
  <c r="FF160" i="1"/>
  <c r="FD77" i="1"/>
  <c r="FD158" i="1" s="1"/>
  <c r="FC77" i="1"/>
  <c r="FC158" i="1" s="1"/>
  <c r="FB77" i="1"/>
  <c r="FB158" i="1" s="1"/>
  <c r="EX77" i="1"/>
  <c r="EX158" i="1" s="1"/>
  <c r="EW77" i="1"/>
  <c r="EW158" i="1" s="1"/>
  <c r="EV77" i="1"/>
  <c r="EV158" i="1" s="1"/>
  <c r="EU77" i="1"/>
  <c r="EU158" i="1" s="1"/>
  <c r="ER77" i="1"/>
  <c r="ER158" i="1" s="1"/>
  <c r="EQ77" i="1"/>
  <c r="EQ158" i="1" s="1"/>
  <c r="EP77" i="1"/>
  <c r="EP158" i="1" s="1"/>
  <c r="EO77" i="1"/>
  <c r="EO158" i="1" s="1"/>
  <c r="EL77" i="1"/>
  <c r="EL158" i="1" s="1"/>
  <c r="EK77" i="1"/>
  <c r="EK158" i="1" s="1"/>
  <c r="EJ77" i="1"/>
  <c r="EJ158" i="1" s="1"/>
  <c r="EF77" i="1"/>
  <c r="EF158" i="1" s="1"/>
  <c r="EE77" i="1"/>
  <c r="EE158" i="1" s="1"/>
  <c r="ED77" i="1"/>
  <c r="ED158" i="1" s="1"/>
  <c r="EC160" i="1"/>
  <c r="EA160" i="1"/>
  <c r="DU77" i="1"/>
  <c r="DU158" i="1" s="1"/>
  <c r="DT77" i="1"/>
  <c r="DT158" i="1" s="1"/>
  <c r="DS77" i="1"/>
  <c r="DS158" i="1" s="1"/>
  <c r="DR77" i="1"/>
  <c r="DR158" i="1" s="1"/>
  <c r="DQ77" i="1"/>
  <c r="DQ158" i="1" s="1"/>
  <c r="DP77" i="1"/>
  <c r="DN160" i="1"/>
  <c r="DB160" i="1"/>
  <c r="CZ160" i="1"/>
  <c r="CN160" i="1"/>
  <c r="BM159" i="1"/>
  <c r="BM160" i="1" s="1"/>
  <c r="BL159" i="1"/>
  <c r="BL160" i="1" s="1"/>
  <c r="FS159" i="1"/>
  <c r="FL159" i="1"/>
  <c r="FF159" i="1"/>
  <c r="EC159" i="1"/>
  <c r="EA159" i="1"/>
  <c r="DN159" i="1"/>
  <c r="DC159" i="1"/>
  <c r="J158" i="1" s="1"/>
  <c r="DA159" i="1"/>
  <c r="CZ159" i="1" s="1"/>
  <c r="FS158" i="1"/>
  <c r="FR158" i="1"/>
  <c r="FL158" i="1"/>
  <c r="FK158" i="1"/>
  <c r="FF158" i="1"/>
  <c r="FE158" i="1"/>
  <c r="EY158" i="1"/>
  <c r="ES158" i="1"/>
  <c r="EM158" i="1"/>
  <c r="EH158" i="1"/>
  <c r="EC158" i="1"/>
  <c r="EB158" i="1"/>
  <c r="EA158" i="1"/>
  <c r="DZ158" i="1"/>
  <c r="DX158" i="1"/>
  <c r="DW158" i="1"/>
  <c r="DN158" i="1"/>
  <c r="DM158" i="1"/>
  <c r="DJ158" i="1"/>
  <c r="DK158" i="1" s="1"/>
  <c r="DI158" i="1"/>
  <c r="DB158" i="1"/>
  <c r="CZ158" i="1"/>
  <c r="CY158" i="1"/>
  <c r="CU158" i="1"/>
  <c r="CN158" i="1"/>
  <c r="CB158" i="1"/>
  <c r="BT158" i="1"/>
  <c r="BN158" i="1"/>
  <c r="BE158" i="1"/>
  <c r="BD158" i="1"/>
  <c r="BR166" i="1"/>
  <c r="BT166" i="1"/>
  <c r="BU166" i="1"/>
  <c r="BV166" i="1"/>
  <c r="BW166" i="1"/>
  <c r="BX166" i="1"/>
  <c r="BY166" i="1"/>
  <c r="CB166" i="1"/>
  <c r="CC166" i="1"/>
  <c r="CD166" i="1"/>
  <c r="CE166" i="1"/>
  <c r="CF166" i="1"/>
  <c r="CG166" i="1"/>
  <c r="CH166" i="1"/>
  <c r="CI166" i="1"/>
  <c r="CJ166" i="1"/>
  <c r="CK166" i="1"/>
  <c r="BR165" i="1"/>
  <c r="BT165" i="1"/>
  <c r="BU165" i="1"/>
  <c r="BV165" i="1"/>
  <c r="BW165" i="1"/>
  <c r="BX165" i="1"/>
  <c r="BY165" i="1"/>
  <c r="CB165" i="1"/>
  <c r="CC165" i="1"/>
  <c r="CD165" i="1"/>
  <c r="CE165" i="1"/>
  <c r="CF165" i="1"/>
  <c r="CG165" i="1"/>
  <c r="CH165" i="1"/>
  <c r="CI165" i="1"/>
  <c r="CJ165" i="1"/>
  <c r="CK165" i="1"/>
  <c r="FS166" i="1"/>
  <c r="FL166" i="1"/>
  <c r="FF166" i="1"/>
  <c r="EC166" i="1"/>
  <c r="EA166" i="1"/>
  <c r="DN166" i="1"/>
  <c r="DB166" i="1"/>
  <c r="CZ166" i="1"/>
  <c r="CN166" i="1"/>
  <c r="BK165" i="1"/>
  <c r="BN165" i="1" s="1"/>
  <c r="BM165" i="1"/>
  <c r="BM166" i="1" s="1"/>
  <c r="BL165" i="1"/>
  <c r="BL166" i="1" s="1"/>
  <c r="FS165" i="1"/>
  <c r="FL165" i="1"/>
  <c r="FF165" i="1"/>
  <c r="EC165" i="1"/>
  <c r="EA165" i="1"/>
  <c r="DN165" i="1"/>
  <c r="DC165" i="1"/>
  <c r="DA165" i="1"/>
  <c r="CZ165" i="1" s="1"/>
  <c r="CN165" i="1"/>
  <c r="FS164" i="1"/>
  <c r="FR164" i="1"/>
  <c r="FL164" i="1"/>
  <c r="FK164" i="1"/>
  <c r="FF164" i="1"/>
  <c r="FE164" i="1"/>
  <c r="EY164" i="1"/>
  <c r="ES164" i="1"/>
  <c r="EM164" i="1"/>
  <c r="EH164" i="1"/>
  <c r="EC164" i="1"/>
  <c r="EB164" i="1"/>
  <c r="EA164" i="1"/>
  <c r="DZ164" i="1"/>
  <c r="DX164" i="1"/>
  <c r="DW164" i="1"/>
  <c r="DN164" i="1"/>
  <c r="DM164" i="1"/>
  <c r="DJ164" i="1"/>
  <c r="DK164" i="1" s="1"/>
  <c r="DI164" i="1"/>
  <c r="DB164" i="1"/>
  <c r="CZ164" i="1"/>
  <c r="CY164" i="1"/>
  <c r="CU164" i="1"/>
  <c r="CN164" i="1"/>
  <c r="CB164" i="1"/>
  <c r="BT164" i="1"/>
  <c r="BN164" i="1"/>
  <c r="BE164" i="1"/>
  <c r="BD164" i="1"/>
  <c r="BR174" i="1"/>
  <c r="BT174" i="1"/>
  <c r="BU174" i="1"/>
  <c r="BV174" i="1"/>
  <c r="BW174" i="1"/>
  <c r="BX174" i="1"/>
  <c r="BY174" i="1"/>
  <c r="CB174" i="1"/>
  <c r="CC174" i="1"/>
  <c r="CD174" i="1"/>
  <c r="CE174" i="1"/>
  <c r="CF174" i="1"/>
  <c r="CG174" i="1"/>
  <c r="CH174" i="1"/>
  <c r="CI174" i="1"/>
  <c r="CJ174" i="1"/>
  <c r="CK174" i="1"/>
  <c r="BR173" i="1"/>
  <c r="BT173" i="1"/>
  <c r="BU173" i="1"/>
  <c r="BV173" i="1"/>
  <c r="BW173" i="1"/>
  <c r="BX173" i="1"/>
  <c r="BY173" i="1"/>
  <c r="CB173" i="1"/>
  <c r="CC173" i="1"/>
  <c r="CD173" i="1"/>
  <c r="CE173" i="1"/>
  <c r="CF173" i="1"/>
  <c r="CG173" i="1"/>
  <c r="CH173" i="1"/>
  <c r="CI173" i="1"/>
  <c r="CJ173" i="1"/>
  <c r="CK173" i="1"/>
  <c r="FS174" i="1"/>
  <c r="FL174" i="1"/>
  <c r="FF174" i="1"/>
  <c r="EC174" i="1"/>
  <c r="EA174" i="1"/>
  <c r="DN174" i="1"/>
  <c r="DB174" i="1"/>
  <c r="CZ174" i="1"/>
  <c r="BK173" i="1"/>
  <c r="BN173" i="1" s="1"/>
  <c r="BM173" i="1"/>
  <c r="BM174" i="1" s="1"/>
  <c r="BL173" i="1"/>
  <c r="BL174" i="1" s="1"/>
  <c r="FS173" i="1"/>
  <c r="FL173" i="1"/>
  <c r="FF173" i="1"/>
  <c r="EC173" i="1"/>
  <c r="EA173" i="1"/>
  <c r="DN173" i="1"/>
  <c r="DC173" i="1"/>
  <c r="J172" i="1" s="1"/>
  <c r="CZ173" i="1"/>
  <c r="FS172" i="1"/>
  <c r="FR172" i="1"/>
  <c r="FL172" i="1"/>
  <c r="FK172" i="1"/>
  <c r="FF172" i="1"/>
  <c r="FE172" i="1"/>
  <c r="EY172" i="1"/>
  <c r="ES172" i="1"/>
  <c r="EM172" i="1"/>
  <c r="EH172" i="1"/>
  <c r="EC172" i="1"/>
  <c r="EB172" i="1"/>
  <c r="EA172" i="1"/>
  <c r="DZ172" i="1"/>
  <c r="DX172" i="1"/>
  <c r="DW172" i="1"/>
  <c r="DN172" i="1"/>
  <c r="DM172" i="1"/>
  <c r="DJ172" i="1"/>
  <c r="DK172" i="1" s="1"/>
  <c r="DI172" i="1"/>
  <c r="DB172" i="1"/>
  <c r="CZ172" i="1"/>
  <c r="CY172" i="1"/>
  <c r="CU172" i="1"/>
  <c r="CN172" i="1"/>
  <c r="CB172" i="1"/>
  <c r="BT172" i="1"/>
  <c r="BN172" i="1"/>
  <c r="BE172" i="1"/>
  <c r="BD172" i="1"/>
  <c r="BR275" i="1"/>
  <c r="BT275" i="1"/>
  <c r="BU275" i="1"/>
  <c r="BV275" i="1"/>
  <c r="BW275" i="1"/>
  <c r="BX275" i="1"/>
  <c r="BY275" i="1"/>
  <c r="CB275" i="1"/>
  <c r="CC275" i="1"/>
  <c r="CD275" i="1"/>
  <c r="CE275" i="1"/>
  <c r="CF275" i="1"/>
  <c r="CG275" i="1"/>
  <c r="CH275" i="1"/>
  <c r="CI275" i="1"/>
  <c r="CJ275" i="1"/>
  <c r="CK275" i="1"/>
  <c r="BR274" i="1"/>
  <c r="BT274" i="1"/>
  <c r="BU274" i="1"/>
  <c r="BV274" i="1"/>
  <c r="BW274" i="1"/>
  <c r="BX274" i="1"/>
  <c r="BY274" i="1"/>
  <c r="CB274" i="1"/>
  <c r="CC274" i="1"/>
  <c r="CD274" i="1"/>
  <c r="CE274" i="1"/>
  <c r="CF274" i="1"/>
  <c r="CG274" i="1"/>
  <c r="CH274" i="1"/>
  <c r="CI274" i="1"/>
  <c r="CJ274" i="1"/>
  <c r="CK274" i="1"/>
  <c r="BR86" i="1"/>
  <c r="BT86" i="1"/>
  <c r="BU86" i="1"/>
  <c r="BV86" i="1"/>
  <c r="BW86" i="1"/>
  <c r="BX86" i="1"/>
  <c r="BY86" i="1"/>
  <c r="CB86" i="1"/>
  <c r="CC86" i="1"/>
  <c r="CD86" i="1"/>
  <c r="CE86" i="1"/>
  <c r="CF86" i="1"/>
  <c r="CG86" i="1"/>
  <c r="CH86" i="1"/>
  <c r="CI86" i="1"/>
  <c r="CJ86" i="1"/>
  <c r="CK86" i="1"/>
  <c r="FS275" i="1"/>
  <c r="FL275" i="1"/>
  <c r="FF275" i="1"/>
  <c r="EC275" i="1"/>
  <c r="EA275" i="1"/>
  <c r="DN275" i="1"/>
  <c r="DB275" i="1"/>
  <c r="CZ275" i="1"/>
  <c r="CN275" i="1"/>
  <c r="BK274" i="1"/>
  <c r="BN274" i="1" s="1"/>
  <c r="BM274" i="1"/>
  <c r="BM275" i="1" s="1"/>
  <c r="BL274" i="1"/>
  <c r="BL275" i="1" s="1"/>
  <c r="FS274" i="1"/>
  <c r="FL274" i="1"/>
  <c r="FF274" i="1"/>
  <c r="EC274" i="1"/>
  <c r="EA274" i="1"/>
  <c r="DN274" i="1"/>
  <c r="DC274" i="1"/>
  <c r="DA274" i="1"/>
  <c r="CZ274" i="1" s="1"/>
  <c r="FS273" i="1"/>
  <c r="FR273" i="1"/>
  <c r="FL273" i="1"/>
  <c r="FK273" i="1"/>
  <c r="FF273" i="1"/>
  <c r="FE273" i="1"/>
  <c r="EY273" i="1"/>
  <c r="ES273" i="1"/>
  <c r="EM273" i="1"/>
  <c r="EH273" i="1"/>
  <c r="EC273" i="1"/>
  <c r="EB273" i="1"/>
  <c r="EA273" i="1"/>
  <c r="DZ273" i="1"/>
  <c r="DX273" i="1"/>
  <c r="DW273" i="1"/>
  <c r="DN273" i="1"/>
  <c r="DM273" i="1"/>
  <c r="DJ273" i="1"/>
  <c r="DK273" i="1" s="1"/>
  <c r="DI273" i="1"/>
  <c r="DB273" i="1"/>
  <c r="CZ273" i="1"/>
  <c r="CY273" i="1"/>
  <c r="CU273" i="1"/>
  <c r="CN273" i="1"/>
  <c r="CB273" i="1"/>
  <c r="BT273" i="1"/>
  <c r="BN273" i="1"/>
  <c r="BE273" i="1"/>
  <c r="BD273" i="1"/>
  <c r="BD167" i="1"/>
  <c r="BE167" i="1"/>
  <c r="BN167" i="1"/>
  <c r="BT167" i="1"/>
  <c r="CB167" i="1"/>
  <c r="CN167" i="1"/>
  <c r="CU167" i="1"/>
  <c r="CY167" i="1"/>
  <c r="CZ167" i="1"/>
  <c r="DB167" i="1"/>
  <c r="DI167" i="1"/>
  <c r="DJ167" i="1"/>
  <c r="DK167" i="1" s="1"/>
  <c r="DM167" i="1"/>
  <c r="DN167" i="1"/>
  <c r="DP167" i="1"/>
  <c r="DO167" i="1" s="1"/>
  <c r="DQ167" i="1"/>
  <c r="DR167" i="1"/>
  <c r="DS167" i="1"/>
  <c r="DT167" i="1"/>
  <c r="DU167" i="1"/>
  <c r="DW167" i="1"/>
  <c r="DX167" i="1"/>
  <c r="DZ167" i="1"/>
  <c r="EA167" i="1"/>
  <c r="EB167" i="1"/>
  <c r="EC167" i="1"/>
  <c r="ED167" i="1"/>
  <c r="EE167" i="1"/>
  <c r="EF167" i="1"/>
  <c r="EH167" i="1"/>
  <c r="EJ167" i="1"/>
  <c r="EK167" i="1"/>
  <c r="EL167" i="1"/>
  <c r="EM167" i="1"/>
  <c r="EO167" i="1"/>
  <c r="EP167" i="1"/>
  <c r="EQ167" i="1"/>
  <c r="ER167" i="1"/>
  <c r="ES167" i="1"/>
  <c r="EU167" i="1"/>
  <c r="EV167" i="1"/>
  <c r="EW167" i="1"/>
  <c r="EX167" i="1"/>
  <c r="EY167" i="1"/>
  <c r="FB167" i="1"/>
  <c r="FC167" i="1"/>
  <c r="FD167" i="1"/>
  <c r="FE167" i="1"/>
  <c r="FF167" i="1"/>
  <c r="FH167" i="1"/>
  <c r="FI167" i="1"/>
  <c r="FJ167" i="1"/>
  <c r="FK167" i="1"/>
  <c r="FL167" i="1"/>
  <c r="FN167" i="1"/>
  <c r="FO167" i="1"/>
  <c r="FP167" i="1"/>
  <c r="FQ167" i="1"/>
  <c r="FR167" i="1"/>
  <c r="FS167" i="1"/>
  <c r="FU167" i="1"/>
  <c r="FV167" i="1"/>
  <c r="FW167" i="1"/>
  <c r="BR168" i="1"/>
  <c r="BT168" i="1"/>
  <c r="BU168" i="1"/>
  <c r="BV168" i="1"/>
  <c r="BW168" i="1"/>
  <c r="BX168" i="1"/>
  <c r="BY168" i="1"/>
  <c r="CB168" i="1"/>
  <c r="CC168" i="1"/>
  <c r="CD168" i="1"/>
  <c r="CE168" i="1"/>
  <c r="CF168" i="1"/>
  <c r="CG168" i="1"/>
  <c r="CH168" i="1"/>
  <c r="CI168" i="1"/>
  <c r="CJ168" i="1"/>
  <c r="CK168" i="1"/>
  <c r="BK168" i="1"/>
  <c r="BN168" i="1" s="1"/>
  <c r="BO168" i="1"/>
  <c r="BL168" i="1"/>
  <c r="BM168" i="1"/>
  <c r="CZ168" i="1"/>
  <c r="DC168" i="1"/>
  <c r="J167" i="1" s="1"/>
  <c r="DH168" i="1"/>
  <c r="CU187" i="1"/>
  <c r="CY187" i="1"/>
  <c r="CZ187" i="1"/>
  <c r="DB187" i="1"/>
  <c r="DB137" i="1"/>
  <c r="CZ137" i="1"/>
  <c r="CY137" i="1"/>
  <c r="CU137" i="1"/>
  <c r="BV39" i="1"/>
  <c r="AZ110" i="1"/>
  <c r="AZ111" i="1" s="1"/>
  <c r="AZ112" i="1" s="1"/>
  <c r="AZ113" i="1" s="1"/>
  <c r="R111" i="1"/>
  <c r="U111" i="1"/>
  <c r="X111" i="1"/>
  <c r="X112" i="1" s="1"/>
  <c r="AA111" i="1"/>
  <c r="CF111" i="1" s="1"/>
  <c r="BX110" i="1"/>
  <c r="BR113" i="1"/>
  <c r="BT113" i="1"/>
  <c r="BU113" i="1"/>
  <c r="BV113" i="1"/>
  <c r="BW113" i="1"/>
  <c r="CC113" i="1"/>
  <c r="CD113" i="1"/>
  <c r="CE113" i="1"/>
  <c r="CF113" i="1"/>
  <c r="CG113" i="1"/>
  <c r="CH113" i="1"/>
  <c r="CI113" i="1"/>
  <c r="CJ113" i="1"/>
  <c r="CK113" i="1"/>
  <c r="BR112" i="1"/>
  <c r="BT112" i="1"/>
  <c r="BV112" i="1"/>
  <c r="BW112" i="1"/>
  <c r="CC112" i="1"/>
  <c r="CD112" i="1"/>
  <c r="CE112" i="1"/>
  <c r="CF112" i="1"/>
  <c r="CG112" i="1"/>
  <c r="CH112" i="1"/>
  <c r="CI112" i="1"/>
  <c r="CJ112" i="1"/>
  <c r="CK112" i="1"/>
  <c r="BR111" i="1"/>
  <c r="BT111" i="1"/>
  <c r="BV111" i="1"/>
  <c r="BW111" i="1"/>
  <c r="CC111" i="1"/>
  <c r="CD111" i="1"/>
  <c r="CE111" i="1"/>
  <c r="CG111" i="1"/>
  <c r="CH111" i="1"/>
  <c r="CI111" i="1"/>
  <c r="CJ111" i="1"/>
  <c r="CK111" i="1"/>
  <c r="BR96" i="1"/>
  <c r="BT96" i="1"/>
  <c r="BU96" i="1"/>
  <c r="BV96" i="1"/>
  <c r="BW96" i="1"/>
  <c r="BX96" i="1"/>
  <c r="BY96" i="1"/>
  <c r="CB96" i="1"/>
  <c r="CC96" i="1"/>
  <c r="Z91" i="1"/>
  <c r="Z96" i="1" s="1"/>
  <c r="CD96" i="1" s="1"/>
  <c r="CE96" i="1"/>
  <c r="CF96" i="1"/>
  <c r="CG96" i="1"/>
  <c r="CH96" i="1"/>
  <c r="CI96" i="1"/>
  <c r="CJ96" i="1"/>
  <c r="CK96" i="1"/>
  <c r="AQ92" i="1"/>
  <c r="AQ93" i="1" s="1"/>
  <c r="AQ94" i="1" s="1"/>
  <c r="AQ95" i="1" s="1"/>
  <c r="AQ96" i="1" s="1"/>
  <c r="AQ111" i="1"/>
  <c r="AQ112" i="1" s="1"/>
  <c r="AQ113" i="1" s="1"/>
  <c r="AP92" i="1"/>
  <c r="AP93" i="1" s="1"/>
  <c r="AP94" i="1" s="1"/>
  <c r="AP95" i="1" s="1"/>
  <c r="AP96" i="1" s="1"/>
  <c r="AR92" i="1"/>
  <c r="AR93" i="1" s="1"/>
  <c r="AR94" i="1" s="1"/>
  <c r="AR95" i="1" s="1"/>
  <c r="AR96" i="1" s="1"/>
  <c r="AP111" i="1"/>
  <c r="AP112" i="1" s="1"/>
  <c r="AP113" i="1" s="1"/>
  <c r="AR111" i="1"/>
  <c r="AU92" i="1"/>
  <c r="AU93" i="1" s="1"/>
  <c r="AU94" i="1" s="1"/>
  <c r="AU111" i="1"/>
  <c r="AU112" i="1" s="1"/>
  <c r="AU113" i="1" s="1"/>
  <c r="FS113" i="1"/>
  <c r="FL113" i="1"/>
  <c r="FF113" i="1"/>
  <c r="EC113" i="1"/>
  <c r="EA113" i="1"/>
  <c r="AS92" i="1"/>
  <c r="AS111" i="1"/>
  <c r="DN113" i="1"/>
  <c r="DB113" i="1"/>
  <c r="CZ113" i="1"/>
  <c r="BK111" i="1"/>
  <c r="BK112" i="1" s="1"/>
  <c r="BL111" i="1"/>
  <c r="BL112" i="1" s="1"/>
  <c r="BL113" i="1" s="1"/>
  <c r="BM111" i="1"/>
  <c r="BM112" i="1" s="1"/>
  <c r="BM113" i="1" s="1"/>
  <c r="AX111" i="1"/>
  <c r="AX112" i="1" s="1"/>
  <c r="AX113" i="1" s="1"/>
  <c r="AY111" i="1"/>
  <c r="AY112" i="1" s="1"/>
  <c r="AY113" i="1" s="1"/>
  <c r="AW111" i="1"/>
  <c r="AW112" i="1" s="1"/>
  <c r="AW113" i="1" s="1"/>
  <c r="AV111" i="1"/>
  <c r="AV112" i="1" s="1"/>
  <c r="AV113" i="1" s="1"/>
  <c r="AN111" i="1"/>
  <c r="AN112" i="1" s="1"/>
  <c r="AN113" i="1" s="1"/>
  <c r="AO113" i="1" s="1"/>
  <c r="AL111" i="1"/>
  <c r="AL112" i="1" s="1"/>
  <c r="AL113" i="1" s="1"/>
  <c r="AI111" i="1"/>
  <c r="AI112" i="1" s="1"/>
  <c r="AI113" i="1" s="1"/>
  <c r="C111" i="1"/>
  <c r="C112" i="1" s="1"/>
  <c r="C113" i="1" s="1"/>
  <c r="FS112" i="1"/>
  <c r="FL112" i="1"/>
  <c r="FF112" i="1"/>
  <c r="EC112" i="1"/>
  <c r="EA112" i="1"/>
  <c r="DN112" i="1"/>
  <c r="DB112" i="1"/>
  <c r="CZ112" i="1"/>
  <c r="FS111" i="1"/>
  <c r="FL111" i="1"/>
  <c r="FF111" i="1"/>
  <c r="EC111" i="1"/>
  <c r="EA111" i="1"/>
  <c r="DN111" i="1"/>
  <c r="DC111" i="1"/>
  <c r="J110" i="1" s="1"/>
  <c r="DA111" i="1"/>
  <c r="CZ111" i="1" s="1"/>
  <c r="FS110" i="1"/>
  <c r="FR110" i="1"/>
  <c r="FL110" i="1"/>
  <c r="FK110" i="1"/>
  <c r="FF110" i="1"/>
  <c r="FE110" i="1"/>
  <c r="EY110" i="1"/>
  <c r="ES110" i="1"/>
  <c r="EM110" i="1"/>
  <c r="EH110" i="1"/>
  <c r="EC110" i="1"/>
  <c r="EB110" i="1"/>
  <c r="EA110" i="1"/>
  <c r="DZ110" i="1"/>
  <c r="DX110" i="1"/>
  <c r="DW110" i="1"/>
  <c r="DN110" i="1"/>
  <c r="DM110" i="1"/>
  <c r="DJ110" i="1"/>
  <c r="DK110" i="1" s="1"/>
  <c r="DI110" i="1"/>
  <c r="DB110" i="1"/>
  <c r="CZ110" i="1"/>
  <c r="CY110" i="1"/>
  <c r="CU110" i="1"/>
  <c r="CN110" i="1"/>
  <c r="CB110" i="1"/>
  <c r="BT110" i="1"/>
  <c r="BN110" i="1"/>
  <c r="BE110" i="1"/>
  <c r="BD110" i="1"/>
  <c r="AO110" i="1"/>
  <c r="B110" i="1"/>
  <c r="CF36" i="1"/>
  <c r="CF12" i="1"/>
  <c r="BU12" i="1"/>
  <c r="BX12" i="1"/>
  <c r="CB12" i="1"/>
  <c r="CE25" i="1"/>
  <c r="CB26" i="1"/>
  <c r="CF25" i="1"/>
  <c r="BR27" i="1"/>
  <c r="BT27" i="1"/>
  <c r="BU27" i="1"/>
  <c r="BV27" i="1"/>
  <c r="BW27" i="1"/>
  <c r="BX27" i="1"/>
  <c r="BY27" i="1"/>
  <c r="CB27" i="1"/>
  <c r="CC27" i="1"/>
  <c r="CD27" i="1"/>
  <c r="CE27" i="1"/>
  <c r="CF27" i="1"/>
  <c r="CG27" i="1"/>
  <c r="CH27" i="1"/>
  <c r="CI27" i="1"/>
  <c r="CJ27" i="1"/>
  <c r="CK27" i="1"/>
  <c r="AU25" i="1"/>
  <c r="AU26" i="1" s="1"/>
  <c r="AU27" i="1" s="1"/>
  <c r="AP25" i="1"/>
  <c r="AP26" i="1" s="1"/>
  <c r="AP27" i="1" s="1"/>
  <c r="AR25" i="1"/>
  <c r="AR26" i="1" s="1"/>
  <c r="AR27" i="1" s="1"/>
  <c r="AS25" i="1"/>
  <c r="AQ25" i="1"/>
  <c r="BR26" i="1"/>
  <c r="BT26" i="1"/>
  <c r="BV26" i="1"/>
  <c r="BW26" i="1"/>
  <c r="CC26" i="1"/>
  <c r="CD26" i="1"/>
  <c r="CF26" i="1"/>
  <c r="CG26" i="1"/>
  <c r="CH26" i="1"/>
  <c r="CI26" i="1"/>
  <c r="CJ26" i="1"/>
  <c r="CK26" i="1"/>
  <c r="FS27" i="1"/>
  <c r="BK25" i="1"/>
  <c r="BK26" i="1" s="1"/>
  <c r="BK27" i="1" s="1"/>
  <c r="FL27" i="1"/>
  <c r="FF27" i="1"/>
  <c r="EC27" i="1"/>
  <c r="EA27" i="1"/>
  <c r="AI25" i="1"/>
  <c r="AI26" i="1" s="1"/>
  <c r="AI27" i="1" s="1"/>
  <c r="DN27" i="1"/>
  <c r="DB27" i="1"/>
  <c r="CZ27" i="1"/>
  <c r="AN25" i="1"/>
  <c r="AO25" i="1" s="1"/>
  <c r="J27" i="1"/>
  <c r="BM25" i="1"/>
  <c r="BM26" i="1" s="1"/>
  <c r="BM27" i="1" s="1"/>
  <c r="BL25" i="1"/>
  <c r="BL26" i="1" s="1"/>
  <c r="BL27" i="1" s="1"/>
  <c r="AX25" i="1"/>
  <c r="AZ25" i="1"/>
  <c r="AZ26" i="1" s="1"/>
  <c r="AZ27" i="1" s="1"/>
  <c r="AY25" i="1"/>
  <c r="AY26" i="1" s="1"/>
  <c r="AY27" i="1" s="1"/>
  <c r="AW25" i="1"/>
  <c r="AW26" i="1" s="1"/>
  <c r="AW27" i="1" s="1"/>
  <c r="AV25" i="1"/>
  <c r="AV26" i="1" s="1"/>
  <c r="AV27" i="1" s="1"/>
  <c r="AL25" i="1"/>
  <c r="AL26" i="1" s="1"/>
  <c r="AL27" i="1" s="1"/>
  <c r="I27" i="1"/>
  <c r="FS26" i="1"/>
  <c r="FL26" i="1"/>
  <c r="FF26" i="1"/>
  <c r="EC26" i="1"/>
  <c r="EA26" i="1"/>
  <c r="DN26" i="1"/>
  <c r="DB26" i="1"/>
  <c r="CZ26" i="1"/>
  <c r="BR25" i="1"/>
  <c r="BT25" i="1"/>
  <c r="BV25" i="1"/>
  <c r="BW25" i="1"/>
  <c r="CC25" i="1"/>
  <c r="CD25" i="1"/>
  <c r="CG25" i="1"/>
  <c r="CH25" i="1"/>
  <c r="CI25" i="1"/>
  <c r="CJ25" i="1"/>
  <c r="CK25" i="1"/>
  <c r="DC25" i="1"/>
  <c r="J24" i="1" s="1"/>
  <c r="DA25" i="1"/>
  <c r="CZ7" i="1"/>
  <c r="CZ41" i="1" s="1"/>
  <c r="FW24" i="1"/>
  <c r="FV24" i="1"/>
  <c r="FU24" i="1"/>
  <c r="FS24" i="1"/>
  <c r="FR24" i="1"/>
  <c r="FQ24" i="1"/>
  <c r="FP24" i="1"/>
  <c r="FO24" i="1"/>
  <c r="FN24" i="1"/>
  <c r="FL24" i="1"/>
  <c r="FK24" i="1"/>
  <c r="FJ24" i="1"/>
  <c r="FI24" i="1"/>
  <c r="FH24" i="1"/>
  <c r="FF24" i="1"/>
  <c r="FE24" i="1"/>
  <c r="FD24" i="1"/>
  <c r="FC24" i="1"/>
  <c r="FB24" i="1"/>
  <c r="EY24" i="1"/>
  <c r="EX24" i="1"/>
  <c r="EW24" i="1"/>
  <c r="EV24" i="1"/>
  <c r="EU24" i="1"/>
  <c r="ES24" i="1"/>
  <c r="ER24" i="1"/>
  <c r="EQ24" i="1"/>
  <c r="EP24" i="1"/>
  <c r="EO24" i="1"/>
  <c r="EM24" i="1"/>
  <c r="EL24" i="1"/>
  <c r="EK24" i="1"/>
  <c r="EJ24" i="1"/>
  <c r="EH24" i="1"/>
  <c r="EF24" i="1"/>
  <c r="EE24" i="1"/>
  <c r="ED24" i="1"/>
  <c r="EC24" i="1"/>
  <c r="EB24" i="1"/>
  <c r="EA24" i="1"/>
  <c r="DZ24" i="1"/>
  <c r="DX24" i="1"/>
  <c r="DW24" i="1"/>
  <c r="DU24" i="1"/>
  <c r="DT24" i="1"/>
  <c r="DS24" i="1"/>
  <c r="DR24" i="1"/>
  <c r="DQ24" i="1"/>
  <c r="DP24" i="1"/>
  <c r="DO24" i="1" s="1"/>
  <c r="DN24" i="1"/>
  <c r="DM24" i="1"/>
  <c r="DJ24" i="1"/>
  <c r="DK24" i="1" s="1"/>
  <c r="DI24" i="1"/>
  <c r="DB24" i="1"/>
  <c r="CY24" i="1"/>
  <c r="CU24" i="1"/>
  <c r="CN24" i="1"/>
  <c r="CB24" i="1"/>
  <c r="BT24" i="1"/>
  <c r="BE24" i="1"/>
  <c r="BD24" i="1"/>
  <c r="AO24" i="1"/>
  <c r="B24" i="1"/>
  <c r="BR12" i="1"/>
  <c r="BT12" i="1"/>
  <c r="BV12" i="1"/>
  <c r="BW12" i="1"/>
  <c r="CC12" i="1"/>
  <c r="CD12" i="1"/>
  <c r="CG12" i="1"/>
  <c r="CH12" i="1"/>
  <c r="CI12" i="1"/>
  <c r="CJ12" i="1"/>
  <c r="CK12" i="1"/>
  <c r="AI12" i="1"/>
  <c r="AI13" i="1" s="1"/>
  <c r="AI14" i="1" s="1"/>
  <c r="AQ12" i="1"/>
  <c r="AQ13" i="1" s="1"/>
  <c r="AQ14" i="1" s="1"/>
  <c r="AP12" i="1"/>
  <c r="AP13" i="1" s="1"/>
  <c r="AP14" i="1" s="1"/>
  <c r="AR12" i="1"/>
  <c r="AR13" i="1" s="1"/>
  <c r="AN12" i="1"/>
  <c r="BK12" i="1"/>
  <c r="BK13" i="1" s="1"/>
  <c r="BK14" i="1" s="1"/>
  <c r="BN14" i="1" s="1"/>
  <c r="BR13" i="1"/>
  <c r="BT13" i="1"/>
  <c r="BV13" i="1"/>
  <c r="BW13" i="1"/>
  <c r="CC13" i="1"/>
  <c r="CD13" i="1"/>
  <c r="CF13" i="1"/>
  <c r="CG13" i="1"/>
  <c r="CH13" i="1"/>
  <c r="CI13" i="1"/>
  <c r="CJ13" i="1"/>
  <c r="CK13" i="1"/>
  <c r="BR14" i="1"/>
  <c r="BT14" i="1"/>
  <c r="BU14" i="1"/>
  <c r="BV14" i="1"/>
  <c r="BW14" i="1"/>
  <c r="CC14" i="1"/>
  <c r="CD14" i="1"/>
  <c r="CF14" i="1"/>
  <c r="CG14" i="1"/>
  <c r="CH14" i="1"/>
  <c r="CI14" i="1"/>
  <c r="CJ14" i="1"/>
  <c r="CK14" i="1"/>
  <c r="CU48" i="1"/>
  <c r="BR49" i="1"/>
  <c r="BT49" i="1"/>
  <c r="BU49" i="1"/>
  <c r="BV49" i="1"/>
  <c r="BW49" i="1"/>
  <c r="BX49" i="1"/>
  <c r="BY49" i="1"/>
  <c r="CB49" i="1"/>
  <c r="CC49" i="1"/>
  <c r="CD49" i="1"/>
  <c r="CE49" i="1"/>
  <c r="CF49" i="1"/>
  <c r="CG49" i="1"/>
  <c r="CH49" i="1"/>
  <c r="CI49" i="1"/>
  <c r="CJ49" i="1"/>
  <c r="CK49" i="1"/>
  <c r="AI49" i="1"/>
  <c r="AQ49" i="1"/>
  <c r="AQ50" i="1" s="1"/>
  <c r="AQ51" i="1" s="1"/>
  <c r="AQ52" i="1" s="1"/>
  <c r="AQ53" i="1" s="1"/>
  <c r="AU49" i="1"/>
  <c r="AU50" i="1" s="1"/>
  <c r="AP49" i="1"/>
  <c r="AP50" i="1" s="1"/>
  <c r="AP51" i="1" s="1"/>
  <c r="AP52" i="1" s="1"/>
  <c r="AP53" i="1" s="1"/>
  <c r="AR49" i="1"/>
  <c r="AR50" i="1" s="1"/>
  <c r="AR51" i="1" s="1"/>
  <c r="AR52" i="1" s="1"/>
  <c r="AR53" i="1" s="1"/>
  <c r="AN49" i="1"/>
  <c r="BK49" i="1"/>
  <c r="BN49" i="1" s="1"/>
  <c r="BR50" i="1"/>
  <c r="BT50" i="1"/>
  <c r="BU50" i="1"/>
  <c r="BV50" i="1"/>
  <c r="BW50" i="1"/>
  <c r="BX50" i="1"/>
  <c r="BY50" i="1"/>
  <c r="CB50" i="1"/>
  <c r="CC50" i="1"/>
  <c r="CD50" i="1"/>
  <c r="CE50" i="1"/>
  <c r="CF50" i="1"/>
  <c r="CG50" i="1"/>
  <c r="CH50" i="1"/>
  <c r="CI50" i="1"/>
  <c r="CJ50" i="1"/>
  <c r="CK50" i="1"/>
  <c r="AI50" i="1"/>
  <c r="AI51" i="1" s="1"/>
  <c r="AI52" i="1" s="1"/>
  <c r="AI53" i="1" s="1"/>
  <c r="BR51" i="1"/>
  <c r="BT51" i="1"/>
  <c r="BU51" i="1"/>
  <c r="BV51" i="1"/>
  <c r="BW51" i="1"/>
  <c r="BX51" i="1"/>
  <c r="BY51" i="1"/>
  <c r="CB51" i="1"/>
  <c r="CC51" i="1"/>
  <c r="CD51" i="1"/>
  <c r="CE51" i="1"/>
  <c r="CF51" i="1"/>
  <c r="CG51" i="1"/>
  <c r="CH51" i="1"/>
  <c r="CI51" i="1"/>
  <c r="CJ51" i="1"/>
  <c r="CK51" i="1"/>
  <c r="BR52" i="1"/>
  <c r="BT52" i="1"/>
  <c r="BU52" i="1"/>
  <c r="BV52" i="1"/>
  <c r="BW52" i="1"/>
  <c r="BX52" i="1"/>
  <c r="BY52" i="1"/>
  <c r="CB52" i="1"/>
  <c r="CC52" i="1"/>
  <c r="CD52" i="1"/>
  <c r="CE52" i="1"/>
  <c r="CF52" i="1"/>
  <c r="CG52" i="1"/>
  <c r="CH52" i="1"/>
  <c r="CI52" i="1"/>
  <c r="CJ52" i="1"/>
  <c r="CK52" i="1"/>
  <c r="BR53" i="1"/>
  <c r="BT53" i="1"/>
  <c r="BU53" i="1"/>
  <c r="BV53" i="1"/>
  <c r="BW53" i="1"/>
  <c r="BX53" i="1"/>
  <c r="BY53" i="1"/>
  <c r="CB53" i="1"/>
  <c r="CC53" i="1"/>
  <c r="CD53" i="1"/>
  <c r="CE53" i="1"/>
  <c r="CF53" i="1"/>
  <c r="CG53" i="1"/>
  <c r="CH53" i="1"/>
  <c r="CI53" i="1"/>
  <c r="CJ53" i="1"/>
  <c r="CK53" i="1"/>
  <c r="CU71" i="1"/>
  <c r="BR72" i="1"/>
  <c r="BT72" i="1"/>
  <c r="BU72" i="1"/>
  <c r="BV72" i="1"/>
  <c r="BW72" i="1"/>
  <c r="BX72" i="1"/>
  <c r="BY72" i="1"/>
  <c r="CB72" i="1"/>
  <c r="CC72" i="1"/>
  <c r="CD72" i="1"/>
  <c r="CE72" i="1"/>
  <c r="CF72" i="1"/>
  <c r="CG72" i="1"/>
  <c r="CH72" i="1"/>
  <c r="CI72" i="1"/>
  <c r="CJ72" i="1"/>
  <c r="CK72" i="1"/>
  <c r="AI72" i="1"/>
  <c r="AI73" i="1" s="1"/>
  <c r="AI75" i="1" s="1"/>
  <c r="CY75" i="1" s="1"/>
  <c r="AQ72" i="1"/>
  <c r="AQ73" i="1" s="1"/>
  <c r="AQ75" i="1" s="1"/>
  <c r="AU72" i="1"/>
  <c r="AU73" i="1" s="1"/>
  <c r="AU75" i="1" s="1"/>
  <c r="AP72" i="1"/>
  <c r="AP73" i="1" s="1"/>
  <c r="AP75" i="1" s="1"/>
  <c r="AR72" i="1"/>
  <c r="AR73" i="1" s="1"/>
  <c r="AN72" i="1"/>
  <c r="AN73" i="1" s="1"/>
  <c r="AN75" i="1" s="1"/>
  <c r="AO75" i="1" s="1"/>
  <c r="BK72" i="1"/>
  <c r="BK73" i="1" s="1"/>
  <c r="BK75" i="1" s="1"/>
  <c r="BN75" i="1" s="1"/>
  <c r="CU101" i="1"/>
  <c r="BR102" i="1"/>
  <c r="BT102" i="1"/>
  <c r="BV102" i="1"/>
  <c r="BW102" i="1"/>
  <c r="CC102" i="1"/>
  <c r="CD102" i="1"/>
  <c r="CE102" i="1"/>
  <c r="CF102" i="1"/>
  <c r="CG102" i="1"/>
  <c r="CH102" i="1"/>
  <c r="CI102" i="1"/>
  <c r="CJ102" i="1"/>
  <c r="CK102" i="1"/>
  <c r="AI102" i="1"/>
  <c r="AI103" i="1" s="1"/>
  <c r="AI104" i="1" s="1"/>
  <c r="AI105" i="1" s="1"/>
  <c r="AI106" i="1" s="1"/>
  <c r="AI107" i="1" s="1"/>
  <c r="AI108" i="1" s="1"/>
  <c r="AI109" i="1" s="1"/>
  <c r="AQ102" i="1"/>
  <c r="AQ103" i="1" s="1"/>
  <c r="AQ104" i="1" s="1"/>
  <c r="AQ105" i="1" s="1"/>
  <c r="AQ106" i="1" s="1"/>
  <c r="AQ107" i="1" s="1"/>
  <c r="AQ108" i="1" s="1"/>
  <c r="AQ109" i="1" s="1"/>
  <c r="AU102" i="1"/>
  <c r="AU103" i="1" s="1"/>
  <c r="AU104" i="1" s="1"/>
  <c r="AU105" i="1" s="1"/>
  <c r="AU106" i="1" s="1"/>
  <c r="AU107" i="1" s="1"/>
  <c r="AU108" i="1" s="1"/>
  <c r="AU109" i="1" s="1"/>
  <c r="AP102" i="1"/>
  <c r="AP103" i="1" s="1"/>
  <c r="AP104" i="1" s="1"/>
  <c r="AP105" i="1" s="1"/>
  <c r="AP106" i="1" s="1"/>
  <c r="AP107" i="1" s="1"/>
  <c r="AP108" i="1" s="1"/>
  <c r="AP109" i="1" s="1"/>
  <c r="AR102" i="1"/>
  <c r="AR103" i="1" s="1"/>
  <c r="AR104" i="1" s="1"/>
  <c r="AR105" i="1" s="1"/>
  <c r="AR106" i="1" s="1"/>
  <c r="AR107" i="1" s="1"/>
  <c r="AR108" i="1" s="1"/>
  <c r="AR109" i="1" s="1"/>
  <c r="AN102" i="1"/>
  <c r="AO102" i="1" s="1"/>
  <c r="BK102" i="1"/>
  <c r="BK103" i="1" s="1"/>
  <c r="BN103" i="1" s="1"/>
  <c r="BR103" i="1"/>
  <c r="BT103" i="1"/>
  <c r="BV103" i="1"/>
  <c r="BW103" i="1"/>
  <c r="CC103" i="1"/>
  <c r="CD103" i="1"/>
  <c r="CE103" i="1"/>
  <c r="CF103" i="1"/>
  <c r="CG103" i="1"/>
  <c r="CH103" i="1"/>
  <c r="CI103" i="1"/>
  <c r="CJ103" i="1"/>
  <c r="CK103" i="1"/>
  <c r="BR104" i="1"/>
  <c r="BT104" i="1"/>
  <c r="BU104" i="1"/>
  <c r="BV104" i="1"/>
  <c r="BW104" i="1"/>
  <c r="CD104" i="1"/>
  <c r="CE104" i="1"/>
  <c r="CF104" i="1"/>
  <c r="CG104" i="1"/>
  <c r="CH104" i="1"/>
  <c r="CI104" i="1"/>
  <c r="CJ104" i="1"/>
  <c r="CK104" i="1"/>
  <c r="BR105" i="1"/>
  <c r="BT105" i="1"/>
  <c r="BU105" i="1"/>
  <c r="BV105" i="1"/>
  <c r="BW105" i="1"/>
  <c r="CC105" i="1"/>
  <c r="CD105" i="1"/>
  <c r="CE105" i="1"/>
  <c r="CF105" i="1"/>
  <c r="CG105" i="1"/>
  <c r="CH105" i="1"/>
  <c r="CI105" i="1"/>
  <c r="CJ105" i="1"/>
  <c r="CK105" i="1"/>
  <c r="BR106" i="1"/>
  <c r="BT106" i="1"/>
  <c r="BU106" i="1"/>
  <c r="BV106" i="1"/>
  <c r="BW106" i="1"/>
  <c r="CB106" i="1"/>
  <c r="Y101" i="1"/>
  <c r="CD106" i="1"/>
  <c r="CE106" i="1"/>
  <c r="CF106" i="1"/>
  <c r="CG106" i="1"/>
  <c r="CH106" i="1"/>
  <c r="CI106" i="1"/>
  <c r="CJ106" i="1"/>
  <c r="CK106" i="1"/>
  <c r="BR107" i="1"/>
  <c r="BT107" i="1"/>
  <c r="BU107" i="1"/>
  <c r="BV107" i="1"/>
  <c r="BW107" i="1"/>
  <c r="CC107" i="1"/>
  <c r="CD107" i="1"/>
  <c r="CE107" i="1"/>
  <c r="CF107" i="1"/>
  <c r="CG107" i="1"/>
  <c r="CH107" i="1"/>
  <c r="CI107" i="1"/>
  <c r="CJ107" i="1"/>
  <c r="CK107" i="1"/>
  <c r="BR108" i="1"/>
  <c r="BT108" i="1"/>
  <c r="BU108" i="1"/>
  <c r="BV108" i="1"/>
  <c r="BW108" i="1"/>
  <c r="CB108" i="1"/>
  <c r="CD108" i="1"/>
  <c r="CE108" i="1"/>
  <c r="CF108" i="1"/>
  <c r="CG108" i="1"/>
  <c r="CH108" i="1"/>
  <c r="CI108" i="1"/>
  <c r="CJ108" i="1"/>
  <c r="CK108" i="1"/>
  <c r="BR109" i="1"/>
  <c r="BT109" i="1"/>
  <c r="BU109" i="1"/>
  <c r="BV109" i="1"/>
  <c r="BW109" i="1"/>
  <c r="CB109" i="1"/>
  <c r="CC109" i="1"/>
  <c r="Z101" i="1"/>
  <c r="Z109" i="1" s="1"/>
  <c r="CE109" i="1"/>
  <c r="CF109" i="1"/>
  <c r="CG109" i="1"/>
  <c r="CH109" i="1"/>
  <c r="CI109" i="1"/>
  <c r="CJ109" i="1"/>
  <c r="CK109" i="1"/>
  <c r="CU15" i="1"/>
  <c r="BR16" i="1"/>
  <c r="BT16" i="1"/>
  <c r="BU16" i="1"/>
  <c r="BV16" i="1"/>
  <c r="BW16" i="1"/>
  <c r="BX16" i="1"/>
  <c r="BY16" i="1"/>
  <c r="CB16" i="1"/>
  <c r="CC16" i="1"/>
  <c r="CD16" i="1"/>
  <c r="CE16" i="1"/>
  <c r="CF16" i="1"/>
  <c r="CG16" i="1"/>
  <c r="CH16" i="1"/>
  <c r="CI16" i="1"/>
  <c r="CJ16" i="1"/>
  <c r="CK16" i="1"/>
  <c r="AI16" i="1"/>
  <c r="AI17" i="1" s="1"/>
  <c r="AI18" i="1" s="1"/>
  <c r="AI19" i="1" s="1"/>
  <c r="AQ16" i="1"/>
  <c r="AQ17" i="1" s="1"/>
  <c r="AQ18" i="1" s="1"/>
  <c r="AQ19" i="1" s="1"/>
  <c r="AP16" i="1"/>
  <c r="AP17" i="1" s="1"/>
  <c r="AP18" i="1" s="1"/>
  <c r="AP19" i="1" s="1"/>
  <c r="AR16" i="1"/>
  <c r="AR17" i="1" s="1"/>
  <c r="AR18" i="1" s="1"/>
  <c r="AR19" i="1" s="1"/>
  <c r="AN16" i="1"/>
  <c r="AO16" i="1" s="1"/>
  <c r="BK16" i="1"/>
  <c r="BK17" i="1" s="1"/>
  <c r="BR17" i="1"/>
  <c r="BT17" i="1"/>
  <c r="BU17" i="1"/>
  <c r="BV17" i="1"/>
  <c r="BW17" i="1"/>
  <c r="BX17" i="1"/>
  <c r="BY17" i="1"/>
  <c r="CB17" i="1"/>
  <c r="CC17" i="1"/>
  <c r="CD17" i="1"/>
  <c r="CE17" i="1"/>
  <c r="CF17" i="1"/>
  <c r="CG17" i="1"/>
  <c r="CH17" i="1"/>
  <c r="CI17" i="1"/>
  <c r="CJ17" i="1"/>
  <c r="CK17" i="1"/>
  <c r="BR18" i="1"/>
  <c r="BT18" i="1"/>
  <c r="BU18" i="1"/>
  <c r="BV18" i="1"/>
  <c r="BW18" i="1"/>
  <c r="BX18" i="1"/>
  <c r="BY18" i="1"/>
  <c r="CB18" i="1"/>
  <c r="CC18" i="1"/>
  <c r="CD18" i="1"/>
  <c r="CE18" i="1"/>
  <c r="CF18" i="1"/>
  <c r="CG18" i="1"/>
  <c r="CH18" i="1"/>
  <c r="CI18" i="1"/>
  <c r="CJ18" i="1"/>
  <c r="CK18" i="1"/>
  <c r="BR19" i="1"/>
  <c r="BT19" i="1"/>
  <c r="BU19" i="1"/>
  <c r="BV19" i="1"/>
  <c r="BW19" i="1"/>
  <c r="BX19" i="1"/>
  <c r="BY19" i="1"/>
  <c r="CB19" i="1"/>
  <c r="CC19" i="1"/>
  <c r="CD19" i="1"/>
  <c r="CE19" i="1"/>
  <c r="CF19" i="1"/>
  <c r="CG19" i="1"/>
  <c r="CH19" i="1"/>
  <c r="CI19" i="1"/>
  <c r="CJ19" i="1"/>
  <c r="CK19" i="1"/>
  <c r="CU20" i="1"/>
  <c r="BR21" i="1"/>
  <c r="BT21" i="1"/>
  <c r="BU21" i="1"/>
  <c r="BV21" i="1"/>
  <c r="BW21" i="1"/>
  <c r="BX21" i="1"/>
  <c r="BY21" i="1"/>
  <c r="CB21" i="1"/>
  <c r="CC21" i="1"/>
  <c r="CD21" i="1"/>
  <c r="CE21" i="1"/>
  <c r="CF21" i="1"/>
  <c r="CG21" i="1"/>
  <c r="CH21" i="1"/>
  <c r="CI21" i="1"/>
  <c r="CJ21" i="1"/>
  <c r="CK21" i="1"/>
  <c r="AI21" i="1"/>
  <c r="AI22" i="1" s="1"/>
  <c r="AI23" i="1" s="1"/>
  <c r="AQ21" i="1"/>
  <c r="AQ22" i="1" s="1"/>
  <c r="AQ23" i="1" s="1"/>
  <c r="AU21" i="1"/>
  <c r="AP21" i="1"/>
  <c r="AP22" i="1" s="1"/>
  <c r="AP23" i="1" s="1"/>
  <c r="AR21" i="1"/>
  <c r="AR22" i="1" s="1"/>
  <c r="AR23" i="1" s="1"/>
  <c r="AN21" i="1"/>
  <c r="BK21" i="1"/>
  <c r="BN21" i="1" s="1"/>
  <c r="BR22" i="1"/>
  <c r="BT22" i="1"/>
  <c r="BU22" i="1"/>
  <c r="BV22" i="1"/>
  <c r="BW22" i="1"/>
  <c r="BX22" i="1"/>
  <c r="BY22" i="1"/>
  <c r="CB22" i="1"/>
  <c r="CC22" i="1"/>
  <c r="CD22" i="1"/>
  <c r="CE22" i="1"/>
  <c r="CF22" i="1"/>
  <c r="CG22" i="1"/>
  <c r="CH22" i="1"/>
  <c r="CI22" i="1"/>
  <c r="CJ22" i="1"/>
  <c r="CK22" i="1"/>
  <c r="BR23" i="1"/>
  <c r="BT23" i="1"/>
  <c r="BU23" i="1"/>
  <c r="BV23" i="1"/>
  <c r="BW23" i="1"/>
  <c r="BX23" i="1"/>
  <c r="BY23" i="1"/>
  <c r="CB23" i="1"/>
  <c r="CC23" i="1"/>
  <c r="CD23" i="1"/>
  <c r="CE23" i="1"/>
  <c r="CF23" i="1"/>
  <c r="CG23" i="1"/>
  <c r="CH23" i="1"/>
  <c r="CI23" i="1"/>
  <c r="CJ23" i="1"/>
  <c r="CK23" i="1"/>
  <c r="CU28" i="1"/>
  <c r="BR29" i="1"/>
  <c r="BT29" i="1"/>
  <c r="BU29" i="1"/>
  <c r="BV29" i="1"/>
  <c r="BW29" i="1"/>
  <c r="BX29" i="1"/>
  <c r="BY29" i="1"/>
  <c r="CB29" i="1"/>
  <c r="CC29" i="1"/>
  <c r="CD29" i="1"/>
  <c r="CE29" i="1"/>
  <c r="CF29" i="1"/>
  <c r="CG29" i="1"/>
  <c r="CH29" i="1"/>
  <c r="CI29" i="1"/>
  <c r="CJ29" i="1"/>
  <c r="CK29" i="1"/>
  <c r="BK29" i="1"/>
  <c r="BR30" i="1"/>
  <c r="BT30" i="1"/>
  <c r="BU30" i="1"/>
  <c r="BV30" i="1"/>
  <c r="BW30" i="1"/>
  <c r="BX30" i="1"/>
  <c r="BY30" i="1"/>
  <c r="CB30" i="1"/>
  <c r="CC30" i="1"/>
  <c r="CD30" i="1"/>
  <c r="CE30" i="1"/>
  <c r="CF30" i="1"/>
  <c r="CG30" i="1"/>
  <c r="CH30" i="1"/>
  <c r="CI30" i="1"/>
  <c r="CJ30" i="1"/>
  <c r="CK30" i="1"/>
  <c r="CU35" i="1"/>
  <c r="BR36" i="1"/>
  <c r="BT36" i="1"/>
  <c r="BV36" i="1"/>
  <c r="BW36" i="1"/>
  <c r="CC36" i="1"/>
  <c r="CD36" i="1"/>
  <c r="CG36" i="1"/>
  <c r="CH36" i="1"/>
  <c r="CI36" i="1"/>
  <c r="CJ36" i="1"/>
  <c r="CK36" i="1"/>
  <c r="AI36" i="1"/>
  <c r="AQ36" i="1"/>
  <c r="AU36" i="1"/>
  <c r="AP36" i="1"/>
  <c r="AR36" i="1"/>
  <c r="AN36" i="1"/>
  <c r="BK36" i="1"/>
  <c r="BR37" i="1"/>
  <c r="BT37" i="1"/>
  <c r="BV37" i="1"/>
  <c r="BW37" i="1"/>
  <c r="CC37" i="1"/>
  <c r="CD37" i="1"/>
  <c r="CF37" i="1"/>
  <c r="CG37" i="1"/>
  <c r="CH37" i="1"/>
  <c r="CI37" i="1"/>
  <c r="CJ37" i="1"/>
  <c r="CK37" i="1"/>
  <c r="BR39" i="1"/>
  <c r="BT39" i="1"/>
  <c r="BU39" i="1"/>
  <c r="BW39" i="1"/>
  <c r="CC39" i="1"/>
  <c r="CD39" i="1"/>
  <c r="CF39" i="1"/>
  <c r="CG39" i="1"/>
  <c r="CH39" i="1"/>
  <c r="CI39" i="1"/>
  <c r="CJ39" i="1"/>
  <c r="CK39" i="1"/>
  <c r="CU44" i="1"/>
  <c r="BR45" i="1"/>
  <c r="BT45" i="1"/>
  <c r="BU45" i="1"/>
  <c r="BV45" i="1"/>
  <c r="BW45" i="1"/>
  <c r="BX45" i="1"/>
  <c r="BY45" i="1"/>
  <c r="CB45" i="1"/>
  <c r="CC45" i="1"/>
  <c r="CD45" i="1"/>
  <c r="CE45" i="1"/>
  <c r="CF45" i="1"/>
  <c r="CG45" i="1"/>
  <c r="CH45" i="1"/>
  <c r="CI45" i="1"/>
  <c r="CJ45" i="1"/>
  <c r="CK45" i="1"/>
  <c r="AI45" i="1"/>
  <c r="AI46" i="1" s="1"/>
  <c r="AI47" i="1" s="1"/>
  <c r="AQ45" i="1"/>
  <c r="AQ46" i="1" s="1"/>
  <c r="AU45" i="1"/>
  <c r="AP45" i="1"/>
  <c r="AP46" i="1" s="1"/>
  <c r="AP47" i="1" s="1"/>
  <c r="AR45" i="1"/>
  <c r="AR46" i="1" s="1"/>
  <c r="AR47" i="1" s="1"/>
  <c r="AN45" i="1"/>
  <c r="AO45" i="1" s="1"/>
  <c r="BK45" i="1"/>
  <c r="BN45" i="1" s="1"/>
  <c r="BR46" i="1"/>
  <c r="BT46" i="1"/>
  <c r="BU46" i="1"/>
  <c r="BV46" i="1"/>
  <c r="BW46" i="1"/>
  <c r="BX46" i="1"/>
  <c r="BY46" i="1"/>
  <c r="CB46" i="1"/>
  <c r="CC46" i="1"/>
  <c r="CD46" i="1"/>
  <c r="CE46" i="1"/>
  <c r="CF46" i="1"/>
  <c r="CG46" i="1"/>
  <c r="CH46" i="1"/>
  <c r="CI46" i="1"/>
  <c r="CJ46" i="1"/>
  <c r="CK46" i="1"/>
  <c r="BR47" i="1"/>
  <c r="BT47" i="1"/>
  <c r="BU47" i="1"/>
  <c r="BV47" i="1"/>
  <c r="BW47" i="1"/>
  <c r="BX47" i="1"/>
  <c r="BY47" i="1"/>
  <c r="CB47" i="1"/>
  <c r="CC47" i="1"/>
  <c r="CD47" i="1"/>
  <c r="CE47" i="1"/>
  <c r="CF47" i="1"/>
  <c r="CG47" i="1"/>
  <c r="CH47" i="1"/>
  <c r="CI47" i="1"/>
  <c r="CJ47" i="1"/>
  <c r="CK47" i="1"/>
  <c r="CU54" i="1"/>
  <c r="BR55" i="1"/>
  <c r="BT55" i="1"/>
  <c r="BU55" i="1"/>
  <c r="BV55" i="1"/>
  <c r="BW55" i="1"/>
  <c r="BX55" i="1"/>
  <c r="BY55" i="1"/>
  <c r="CB55" i="1"/>
  <c r="CC55" i="1"/>
  <c r="CD55" i="1"/>
  <c r="CE55" i="1"/>
  <c r="CF55" i="1"/>
  <c r="CG55" i="1"/>
  <c r="CH55" i="1"/>
  <c r="CI55" i="1"/>
  <c r="CJ55" i="1"/>
  <c r="CK55" i="1"/>
  <c r="AI55" i="1"/>
  <c r="AI56" i="1" s="1"/>
  <c r="AI57" i="1" s="1"/>
  <c r="AQ55" i="1"/>
  <c r="AQ56" i="1" s="1"/>
  <c r="AQ57" i="1" s="1"/>
  <c r="AU55" i="1"/>
  <c r="AU56" i="1" s="1"/>
  <c r="AU57" i="1" s="1"/>
  <c r="AP55" i="1"/>
  <c r="AP56" i="1" s="1"/>
  <c r="AP57" i="1" s="1"/>
  <c r="AR55" i="1"/>
  <c r="AR56" i="1" s="1"/>
  <c r="AR57" i="1" s="1"/>
  <c r="AN55" i="1"/>
  <c r="AO55" i="1" s="1"/>
  <c r="BK55" i="1"/>
  <c r="BK56" i="1" s="1"/>
  <c r="BK57" i="1" s="1"/>
  <c r="BN57" i="1" s="1"/>
  <c r="BR56" i="1"/>
  <c r="BT56" i="1"/>
  <c r="BU56" i="1"/>
  <c r="BV56" i="1"/>
  <c r="BW56" i="1"/>
  <c r="BX56" i="1"/>
  <c r="BY56" i="1"/>
  <c r="CB56" i="1"/>
  <c r="CC56" i="1"/>
  <c r="CD56" i="1"/>
  <c r="CE56" i="1"/>
  <c r="CF56" i="1"/>
  <c r="CG56" i="1"/>
  <c r="CH56" i="1"/>
  <c r="CI56" i="1"/>
  <c r="CJ56" i="1"/>
  <c r="CK56" i="1"/>
  <c r="BR57" i="1"/>
  <c r="BT57" i="1"/>
  <c r="BU57" i="1"/>
  <c r="BV57" i="1"/>
  <c r="BW57" i="1"/>
  <c r="BX57" i="1"/>
  <c r="BY57" i="1"/>
  <c r="CB57" i="1"/>
  <c r="CC57" i="1"/>
  <c r="CD57" i="1"/>
  <c r="CE57" i="1"/>
  <c r="CF57" i="1"/>
  <c r="CG57" i="1"/>
  <c r="CH57" i="1"/>
  <c r="CI57" i="1"/>
  <c r="CJ57" i="1"/>
  <c r="CK57" i="1"/>
  <c r="CU58" i="1"/>
  <c r="BR59" i="1"/>
  <c r="BT59" i="1"/>
  <c r="BU59" i="1"/>
  <c r="BV59" i="1"/>
  <c r="BW59" i="1"/>
  <c r="BX59" i="1"/>
  <c r="BY59" i="1"/>
  <c r="CB59" i="1"/>
  <c r="CC59" i="1"/>
  <c r="CD59" i="1"/>
  <c r="CE59" i="1"/>
  <c r="CF59" i="1"/>
  <c r="CG59" i="1"/>
  <c r="CH59" i="1"/>
  <c r="CI59" i="1"/>
  <c r="CJ59" i="1"/>
  <c r="CK59" i="1"/>
  <c r="AI59" i="1"/>
  <c r="AI60" i="1" s="1"/>
  <c r="AI61" i="1" s="1"/>
  <c r="AQ59" i="1"/>
  <c r="AQ60" i="1" s="1"/>
  <c r="AQ61" i="1" s="1"/>
  <c r="AU59" i="1"/>
  <c r="AU60" i="1" s="1"/>
  <c r="AP59" i="1"/>
  <c r="AP60" i="1" s="1"/>
  <c r="AP61" i="1" s="1"/>
  <c r="AR59" i="1"/>
  <c r="AR60" i="1" s="1"/>
  <c r="AN59" i="1"/>
  <c r="AO59" i="1" s="1"/>
  <c r="BN59" i="1"/>
  <c r="BR60" i="1"/>
  <c r="BT60" i="1"/>
  <c r="BU60" i="1"/>
  <c r="BV60" i="1"/>
  <c r="BW60" i="1"/>
  <c r="BX60" i="1"/>
  <c r="BY60" i="1"/>
  <c r="CB60" i="1"/>
  <c r="CC60" i="1"/>
  <c r="CD60" i="1"/>
  <c r="CE60" i="1"/>
  <c r="CF60" i="1"/>
  <c r="CG60" i="1"/>
  <c r="CH60" i="1"/>
  <c r="CI60" i="1"/>
  <c r="CJ60" i="1"/>
  <c r="CK60" i="1"/>
  <c r="BR61" i="1"/>
  <c r="BT61" i="1"/>
  <c r="BU61" i="1"/>
  <c r="BV61" i="1"/>
  <c r="BW61" i="1"/>
  <c r="BX61" i="1"/>
  <c r="BY61" i="1"/>
  <c r="CB61" i="1"/>
  <c r="CC61" i="1"/>
  <c r="CD61" i="1"/>
  <c r="CE61" i="1"/>
  <c r="CF61" i="1"/>
  <c r="CG61" i="1"/>
  <c r="CH61" i="1"/>
  <c r="CI61" i="1"/>
  <c r="CJ61" i="1"/>
  <c r="CK61" i="1"/>
  <c r="CU66" i="1"/>
  <c r="BR67" i="1"/>
  <c r="BT67" i="1"/>
  <c r="BU67" i="1"/>
  <c r="BV67" i="1"/>
  <c r="BW67" i="1"/>
  <c r="BX67" i="1"/>
  <c r="BY67" i="1"/>
  <c r="CB67" i="1"/>
  <c r="CC67" i="1"/>
  <c r="CD67" i="1"/>
  <c r="CE67" i="1"/>
  <c r="CF67" i="1"/>
  <c r="CG67" i="1"/>
  <c r="CH67" i="1"/>
  <c r="CI67" i="1"/>
  <c r="CJ67" i="1"/>
  <c r="CK67" i="1"/>
  <c r="AI67" i="1"/>
  <c r="AQ67" i="1"/>
  <c r="AU67" i="1"/>
  <c r="AP67" i="1"/>
  <c r="AR67" i="1"/>
  <c r="AN67" i="1"/>
  <c r="BK67" i="1"/>
  <c r="BR68" i="1"/>
  <c r="BT68" i="1"/>
  <c r="BU68" i="1"/>
  <c r="BV68" i="1"/>
  <c r="BW68" i="1"/>
  <c r="BX68" i="1"/>
  <c r="BY68" i="1"/>
  <c r="CB68" i="1"/>
  <c r="CC68" i="1"/>
  <c r="CD68" i="1"/>
  <c r="CE68" i="1"/>
  <c r="CF68" i="1"/>
  <c r="CG68" i="1"/>
  <c r="CH68" i="1"/>
  <c r="CI68" i="1"/>
  <c r="CJ68" i="1"/>
  <c r="CK68" i="1"/>
  <c r="BR70" i="1"/>
  <c r="BT70" i="1"/>
  <c r="BU70" i="1"/>
  <c r="BV70" i="1"/>
  <c r="BW70" i="1"/>
  <c r="BX70" i="1"/>
  <c r="BY70" i="1"/>
  <c r="CB70" i="1"/>
  <c r="CC70" i="1"/>
  <c r="CD70" i="1"/>
  <c r="CE70" i="1"/>
  <c r="CF70" i="1"/>
  <c r="CG70" i="1"/>
  <c r="CH70" i="1"/>
  <c r="CI70" i="1"/>
  <c r="CJ70" i="1"/>
  <c r="CK70" i="1"/>
  <c r="CU62" i="1"/>
  <c r="BR63" i="1"/>
  <c r="BT63" i="1"/>
  <c r="BU63" i="1"/>
  <c r="BV63" i="1"/>
  <c r="BW63" i="1"/>
  <c r="BX63" i="1"/>
  <c r="BY63" i="1"/>
  <c r="CB63" i="1"/>
  <c r="CC63" i="1"/>
  <c r="CD63" i="1"/>
  <c r="CE63" i="1"/>
  <c r="CF63" i="1"/>
  <c r="CG63" i="1"/>
  <c r="CH63" i="1"/>
  <c r="CI63" i="1"/>
  <c r="CJ63" i="1"/>
  <c r="CK63" i="1"/>
  <c r="BK63" i="1"/>
  <c r="BN63" i="1" s="1"/>
  <c r="BR64" i="1"/>
  <c r="BT64" i="1"/>
  <c r="BU64" i="1"/>
  <c r="BV64" i="1"/>
  <c r="BW64" i="1"/>
  <c r="BX64" i="1"/>
  <c r="BY64" i="1"/>
  <c r="CB64" i="1"/>
  <c r="CC64" i="1"/>
  <c r="CD64" i="1"/>
  <c r="CE64" i="1"/>
  <c r="CF64" i="1"/>
  <c r="CG64" i="1"/>
  <c r="CH64" i="1"/>
  <c r="CI64" i="1"/>
  <c r="CJ64" i="1"/>
  <c r="CK64" i="1"/>
  <c r="BR65" i="1"/>
  <c r="BT65" i="1"/>
  <c r="BU65" i="1"/>
  <c r="BV65" i="1"/>
  <c r="BW65" i="1"/>
  <c r="BX65" i="1"/>
  <c r="BY65" i="1"/>
  <c r="CB65" i="1"/>
  <c r="CC65" i="1"/>
  <c r="CD65" i="1"/>
  <c r="CE65" i="1"/>
  <c r="CF65" i="1"/>
  <c r="CG65" i="1"/>
  <c r="CH65" i="1"/>
  <c r="CI65" i="1"/>
  <c r="CJ65" i="1"/>
  <c r="CK65" i="1"/>
  <c r="CU192" i="1"/>
  <c r="BR193" i="1"/>
  <c r="BT193" i="1"/>
  <c r="BU193" i="1"/>
  <c r="BV193" i="1"/>
  <c r="BW193" i="1"/>
  <c r="BX193" i="1"/>
  <c r="BY193" i="1"/>
  <c r="CB193" i="1"/>
  <c r="CC193" i="1"/>
  <c r="CD193" i="1"/>
  <c r="CE193" i="1"/>
  <c r="CF193" i="1"/>
  <c r="CG193" i="1"/>
  <c r="CH193" i="1"/>
  <c r="CI193" i="1"/>
  <c r="CJ193" i="1"/>
  <c r="CK193" i="1"/>
  <c r="BK193" i="1"/>
  <c r="BN193" i="1" s="1"/>
  <c r="BR194" i="1"/>
  <c r="BT194" i="1"/>
  <c r="BU194" i="1"/>
  <c r="BV194" i="1"/>
  <c r="BW194" i="1"/>
  <c r="BX194" i="1"/>
  <c r="BY194" i="1"/>
  <c r="CB194" i="1"/>
  <c r="CC194" i="1"/>
  <c r="CD194" i="1"/>
  <c r="CE194" i="1"/>
  <c r="CF194" i="1"/>
  <c r="CG194" i="1"/>
  <c r="CH194" i="1"/>
  <c r="CI194" i="1"/>
  <c r="CJ194" i="1"/>
  <c r="CK194" i="1"/>
  <c r="BR195" i="1"/>
  <c r="BT195" i="1"/>
  <c r="BU195" i="1"/>
  <c r="BV195" i="1"/>
  <c r="BW195" i="1"/>
  <c r="BX195" i="1"/>
  <c r="BY195" i="1"/>
  <c r="CB195" i="1"/>
  <c r="CC195" i="1"/>
  <c r="CD195" i="1"/>
  <c r="CE195" i="1"/>
  <c r="CF195" i="1"/>
  <c r="CG195" i="1"/>
  <c r="CH195" i="1"/>
  <c r="CI195" i="1"/>
  <c r="CJ195" i="1"/>
  <c r="CK195" i="1"/>
  <c r="BR196" i="1"/>
  <c r="BT196" i="1"/>
  <c r="BU196" i="1"/>
  <c r="BV196" i="1"/>
  <c r="BW196" i="1"/>
  <c r="BX196" i="1"/>
  <c r="BY196" i="1"/>
  <c r="CB196" i="1"/>
  <c r="CC196" i="1"/>
  <c r="CD196" i="1"/>
  <c r="CE196" i="1"/>
  <c r="CF196" i="1"/>
  <c r="CG196" i="1"/>
  <c r="CH196" i="1"/>
  <c r="CI196" i="1"/>
  <c r="CJ196" i="1"/>
  <c r="CK196" i="1"/>
  <c r="BR197" i="1"/>
  <c r="BT197" i="1"/>
  <c r="BU197" i="1"/>
  <c r="BV197" i="1"/>
  <c r="BW197" i="1"/>
  <c r="BX197" i="1"/>
  <c r="BY197" i="1"/>
  <c r="CB197" i="1"/>
  <c r="CC197" i="1"/>
  <c r="CD197" i="1"/>
  <c r="CE197" i="1"/>
  <c r="CF197" i="1"/>
  <c r="CG197" i="1"/>
  <c r="CH197" i="1"/>
  <c r="CI197" i="1"/>
  <c r="CJ197" i="1"/>
  <c r="CK197" i="1"/>
  <c r="CU198" i="1"/>
  <c r="BR199" i="1"/>
  <c r="BT199" i="1"/>
  <c r="BU199" i="1"/>
  <c r="BV199" i="1"/>
  <c r="BW199" i="1"/>
  <c r="BX199" i="1"/>
  <c r="BY199" i="1"/>
  <c r="CB199" i="1"/>
  <c r="CC199" i="1"/>
  <c r="CD199" i="1"/>
  <c r="CE199" i="1"/>
  <c r="CF199" i="1"/>
  <c r="CG199" i="1"/>
  <c r="CH199" i="1"/>
  <c r="CI199" i="1"/>
  <c r="CJ199" i="1"/>
  <c r="CK199" i="1"/>
  <c r="BK199" i="1"/>
  <c r="BN199" i="1" s="1"/>
  <c r="BR200" i="1"/>
  <c r="BT200" i="1"/>
  <c r="BU200" i="1"/>
  <c r="BV200" i="1"/>
  <c r="BW200" i="1"/>
  <c r="BX200" i="1"/>
  <c r="BY200" i="1"/>
  <c r="CB200" i="1"/>
  <c r="CC200" i="1"/>
  <c r="CD200" i="1"/>
  <c r="CE200" i="1"/>
  <c r="CF200" i="1"/>
  <c r="CG200" i="1"/>
  <c r="CH200" i="1"/>
  <c r="CI200" i="1"/>
  <c r="CJ200" i="1"/>
  <c r="CK200" i="1"/>
  <c r="BR201" i="1"/>
  <c r="BT201" i="1"/>
  <c r="BU201" i="1"/>
  <c r="BV201" i="1"/>
  <c r="BW201" i="1"/>
  <c r="BX201" i="1"/>
  <c r="BY201" i="1"/>
  <c r="CB201" i="1"/>
  <c r="CC201" i="1"/>
  <c r="CD201" i="1"/>
  <c r="CE201" i="1"/>
  <c r="CF201" i="1"/>
  <c r="CG201" i="1"/>
  <c r="CH201" i="1"/>
  <c r="CI201" i="1"/>
  <c r="CJ201" i="1"/>
  <c r="CK201" i="1"/>
  <c r="CU77" i="1"/>
  <c r="BR78" i="1"/>
  <c r="BT78" i="1"/>
  <c r="BU78" i="1"/>
  <c r="BV78" i="1"/>
  <c r="BW78" i="1"/>
  <c r="BX78" i="1"/>
  <c r="BY78" i="1"/>
  <c r="CB78" i="1"/>
  <c r="CC78" i="1"/>
  <c r="CD78" i="1"/>
  <c r="CE78" i="1"/>
  <c r="CF78" i="1"/>
  <c r="CG78" i="1"/>
  <c r="CH78" i="1"/>
  <c r="CI78" i="1"/>
  <c r="CJ78" i="1"/>
  <c r="CK78" i="1"/>
  <c r="AI78" i="1"/>
  <c r="AN78" i="1"/>
  <c r="BK78" i="1"/>
  <c r="BM78" i="1"/>
  <c r="BL78" i="1"/>
  <c r="BR79" i="1"/>
  <c r="BT79" i="1"/>
  <c r="BU79" i="1"/>
  <c r="BV79" i="1"/>
  <c r="BW79" i="1"/>
  <c r="BX79" i="1"/>
  <c r="BY79" i="1"/>
  <c r="CB79" i="1"/>
  <c r="CC79" i="1"/>
  <c r="CD79" i="1"/>
  <c r="CE79" i="1"/>
  <c r="CF79" i="1"/>
  <c r="CG79" i="1"/>
  <c r="CH79" i="1"/>
  <c r="CI79" i="1"/>
  <c r="CJ79" i="1"/>
  <c r="CK79" i="1"/>
  <c r="CU81" i="1"/>
  <c r="BR82" i="1"/>
  <c r="BT82" i="1"/>
  <c r="BU82" i="1"/>
  <c r="BV82" i="1"/>
  <c r="BW82" i="1"/>
  <c r="BX82" i="1"/>
  <c r="BY82" i="1"/>
  <c r="CB82" i="1"/>
  <c r="CC82" i="1"/>
  <c r="CD82" i="1"/>
  <c r="CE82" i="1"/>
  <c r="CF82" i="1"/>
  <c r="CG82" i="1"/>
  <c r="CH82" i="1"/>
  <c r="CI82" i="1"/>
  <c r="CJ82" i="1"/>
  <c r="CK82" i="1"/>
  <c r="AI82" i="1"/>
  <c r="AI83" i="1" s="1"/>
  <c r="AI84" i="1" s="1"/>
  <c r="AI85" i="1" s="1"/>
  <c r="AI86" i="1" s="1"/>
  <c r="AN82" i="1"/>
  <c r="AN83" i="1" s="1"/>
  <c r="BK82" i="1"/>
  <c r="BK83" i="1" s="1"/>
  <c r="BR84" i="1"/>
  <c r="BT84" i="1"/>
  <c r="BU84" i="1"/>
  <c r="BV84" i="1"/>
  <c r="BW84" i="1"/>
  <c r="BX84" i="1"/>
  <c r="BY84" i="1"/>
  <c r="CB84" i="1"/>
  <c r="CC84" i="1"/>
  <c r="CD84" i="1"/>
  <c r="CE84" i="1"/>
  <c r="CF84" i="1"/>
  <c r="CG84" i="1"/>
  <c r="CH84" i="1"/>
  <c r="CI84" i="1"/>
  <c r="CJ84" i="1"/>
  <c r="CK84" i="1"/>
  <c r="BR85" i="1"/>
  <c r="BT85" i="1"/>
  <c r="BU85" i="1"/>
  <c r="BV85" i="1"/>
  <c r="BW85" i="1"/>
  <c r="BX85" i="1"/>
  <c r="BY85" i="1"/>
  <c r="CB85" i="1"/>
  <c r="CC85" i="1"/>
  <c r="CD85" i="1"/>
  <c r="CE85" i="1"/>
  <c r="CF85" i="1"/>
  <c r="CG85" i="1"/>
  <c r="CH85" i="1"/>
  <c r="CI85" i="1"/>
  <c r="CJ85" i="1"/>
  <c r="CK85" i="1"/>
  <c r="CU87" i="1"/>
  <c r="BR88" i="1"/>
  <c r="BT88" i="1"/>
  <c r="BU88" i="1"/>
  <c r="BV88" i="1"/>
  <c r="BW88" i="1"/>
  <c r="BX88" i="1"/>
  <c r="BY88" i="1"/>
  <c r="CB88" i="1"/>
  <c r="CC88" i="1"/>
  <c r="CD88" i="1"/>
  <c r="CE88" i="1"/>
  <c r="CF88" i="1"/>
  <c r="CG88" i="1"/>
  <c r="CH88" i="1"/>
  <c r="CI88" i="1"/>
  <c r="CJ88" i="1"/>
  <c r="CK88" i="1"/>
  <c r="AI88" i="1"/>
  <c r="AI89" i="1" s="1"/>
  <c r="AI90" i="1" s="1"/>
  <c r="AQ88" i="1"/>
  <c r="AQ89" i="1" s="1"/>
  <c r="AQ90" i="1" s="1"/>
  <c r="AU88" i="1"/>
  <c r="AU89" i="1" s="1"/>
  <c r="AU90" i="1" s="1"/>
  <c r="AP88" i="1"/>
  <c r="AP89" i="1" s="1"/>
  <c r="AP90" i="1" s="1"/>
  <c r="AR88" i="1"/>
  <c r="AR89" i="1" s="1"/>
  <c r="AR90" i="1" s="1"/>
  <c r="AN88" i="1"/>
  <c r="BK88" i="1"/>
  <c r="BK89" i="1" s="1"/>
  <c r="BK90" i="1" s="1"/>
  <c r="BM88" i="1"/>
  <c r="BM89" i="1" s="1"/>
  <c r="BM90" i="1" s="1"/>
  <c r="BL88" i="1"/>
  <c r="BL89" i="1" s="1"/>
  <c r="BL90" i="1" s="1"/>
  <c r="BR89" i="1"/>
  <c r="BT89" i="1"/>
  <c r="BU89" i="1"/>
  <c r="BV89" i="1"/>
  <c r="BW89" i="1"/>
  <c r="BX89" i="1"/>
  <c r="BY89" i="1"/>
  <c r="CB89" i="1"/>
  <c r="CC89" i="1"/>
  <c r="CD89" i="1"/>
  <c r="CE89" i="1"/>
  <c r="CF89" i="1"/>
  <c r="CG89" i="1"/>
  <c r="CH89" i="1"/>
  <c r="CI89" i="1"/>
  <c r="CJ89" i="1"/>
  <c r="CK89" i="1"/>
  <c r="BR90" i="1"/>
  <c r="BT90" i="1"/>
  <c r="BU90" i="1"/>
  <c r="BV90" i="1"/>
  <c r="BW90" i="1"/>
  <c r="BX90" i="1"/>
  <c r="BY90" i="1"/>
  <c r="CB90" i="1"/>
  <c r="CC90" i="1"/>
  <c r="CD90" i="1"/>
  <c r="CE90" i="1"/>
  <c r="CF90" i="1"/>
  <c r="CG90" i="1"/>
  <c r="CH90" i="1"/>
  <c r="CI90" i="1"/>
  <c r="CJ90" i="1"/>
  <c r="CK90" i="1"/>
  <c r="CU91" i="1"/>
  <c r="BR92" i="1"/>
  <c r="BT92" i="1"/>
  <c r="BU92" i="1"/>
  <c r="BV92" i="1"/>
  <c r="BW92" i="1"/>
  <c r="BX92" i="1"/>
  <c r="BY92" i="1"/>
  <c r="CB92" i="1"/>
  <c r="CC92" i="1"/>
  <c r="CD92" i="1"/>
  <c r="CE92" i="1"/>
  <c r="CF92" i="1"/>
  <c r="CG92" i="1"/>
  <c r="CH92" i="1"/>
  <c r="CI92" i="1"/>
  <c r="CJ92" i="1"/>
  <c r="CK92" i="1"/>
  <c r="AI92" i="1"/>
  <c r="AI93" i="1" s="1"/>
  <c r="AI94" i="1" s="1"/>
  <c r="AI95" i="1" s="1"/>
  <c r="AI96" i="1" s="1"/>
  <c r="AN92" i="1"/>
  <c r="BK92" i="1"/>
  <c r="BK93" i="1" s="1"/>
  <c r="BK94" i="1" s="1"/>
  <c r="BM92" i="1"/>
  <c r="BM93" i="1" s="1"/>
  <c r="BM94" i="1" s="1"/>
  <c r="BM95" i="1" s="1"/>
  <c r="BM96" i="1" s="1"/>
  <c r="BL92" i="1"/>
  <c r="BL93" i="1" s="1"/>
  <c r="BL94" i="1" s="1"/>
  <c r="BL95" i="1" s="1"/>
  <c r="BL96" i="1" s="1"/>
  <c r="BR93" i="1"/>
  <c r="BT93" i="1"/>
  <c r="BU93" i="1"/>
  <c r="BV93" i="1"/>
  <c r="BW93" i="1"/>
  <c r="BX93" i="1"/>
  <c r="BY93" i="1"/>
  <c r="CB93" i="1"/>
  <c r="CC93" i="1"/>
  <c r="CD93" i="1"/>
  <c r="CE93" i="1"/>
  <c r="CF93" i="1"/>
  <c r="CG93" i="1"/>
  <c r="CH93" i="1"/>
  <c r="CI93" i="1"/>
  <c r="CJ93" i="1"/>
  <c r="CK93" i="1"/>
  <c r="BR94" i="1"/>
  <c r="BT94" i="1"/>
  <c r="BU94" i="1"/>
  <c r="BV94" i="1"/>
  <c r="BW94" i="1"/>
  <c r="BX94" i="1"/>
  <c r="BY94" i="1"/>
  <c r="CB94" i="1"/>
  <c r="CC94" i="1"/>
  <c r="CD94" i="1"/>
  <c r="CE94" i="1"/>
  <c r="CF94" i="1"/>
  <c r="CG94" i="1"/>
  <c r="CH94" i="1"/>
  <c r="CI94" i="1"/>
  <c r="CJ94" i="1"/>
  <c r="CK94" i="1"/>
  <c r="BR95" i="1"/>
  <c r="BT95" i="1"/>
  <c r="BU95" i="1"/>
  <c r="BV95" i="1"/>
  <c r="BW95" i="1"/>
  <c r="BX95" i="1"/>
  <c r="BY95" i="1"/>
  <c r="CB95" i="1"/>
  <c r="Y91" i="1"/>
  <c r="Y95" i="1" s="1"/>
  <c r="CC95" i="1" s="1"/>
  <c r="CD95" i="1"/>
  <c r="CE95" i="1"/>
  <c r="CF95" i="1"/>
  <c r="CG95" i="1"/>
  <c r="CH95" i="1"/>
  <c r="CI95" i="1"/>
  <c r="CJ95" i="1"/>
  <c r="CK95" i="1"/>
  <c r="CU114" i="1"/>
  <c r="BR115" i="1"/>
  <c r="BT115" i="1"/>
  <c r="BU115" i="1"/>
  <c r="BV115" i="1"/>
  <c r="BW115" i="1"/>
  <c r="BX115" i="1"/>
  <c r="BY115" i="1"/>
  <c r="CB115" i="1"/>
  <c r="CC115" i="1"/>
  <c r="CD115" i="1"/>
  <c r="CE115" i="1"/>
  <c r="CF115" i="1"/>
  <c r="CG115" i="1"/>
  <c r="CH115" i="1"/>
  <c r="CI115" i="1"/>
  <c r="CJ115" i="1"/>
  <c r="CK115" i="1"/>
  <c r="BK115" i="1"/>
  <c r="BK116" i="1" s="1"/>
  <c r="BK117" i="1" s="1"/>
  <c r="BR116" i="1"/>
  <c r="BT116" i="1"/>
  <c r="BU116" i="1"/>
  <c r="BV116" i="1"/>
  <c r="BW116" i="1"/>
  <c r="BX116" i="1"/>
  <c r="BY116" i="1"/>
  <c r="CB116" i="1"/>
  <c r="CC116" i="1"/>
  <c r="CD116" i="1"/>
  <c r="CE116" i="1"/>
  <c r="CF116" i="1"/>
  <c r="CG116" i="1"/>
  <c r="CH116" i="1"/>
  <c r="CI116" i="1"/>
  <c r="CJ116" i="1"/>
  <c r="CK116" i="1"/>
  <c r="BR117" i="1"/>
  <c r="BT117" i="1"/>
  <c r="BU117" i="1"/>
  <c r="BV117" i="1"/>
  <c r="BX117" i="1"/>
  <c r="CB117" i="1"/>
  <c r="CC117" i="1"/>
  <c r="CD117" i="1"/>
  <c r="CE117" i="1"/>
  <c r="CF117" i="1"/>
  <c r="CG117" i="1"/>
  <c r="CH117" i="1"/>
  <c r="CI117" i="1"/>
  <c r="CJ117" i="1"/>
  <c r="CK117" i="1"/>
  <c r="BR118" i="1"/>
  <c r="BT118" i="1"/>
  <c r="BU118" i="1"/>
  <c r="BV118" i="1"/>
  <c r="BW118" i="1"/>
  <c r="BX118" i="1"/>
  <c r="BY118" i="1"/>
  <c r="CB118" i="1"/>
  <c r="CC118" i="1"/>
  <c r="CD118" i="1"/>
  <c r="CE118" i="1"/>
  <c r="CF118" i="1"/>
  <c r="CG118" i="1"/>
  <c r="CH118" i="1"/>
  <c r="CI118" i="1"/>
  <c r="CJ118" i="1"/>
  <c r="CK118" i="1"/>
  <c r="BR119" i="1"/>
  <c r="BT119" i="1"/>
  <c r="BU119" i="1"/>
  <c r="BV119" i="1"/>
  <c r="BW119" i="1"/>
  <c r="BX119" i="1"/>
  <c r="BY119" i="1"/>
  <c r="CB119" i="1"/>
  <c r="CC119" i="1"/>
  <c r="CD119" i="1"/>
  <c r="CE119" i="1"/>
  <c r="CF119" i="1"/>
  <c r="CG119" i="1"/>
  <c r="CH119" i="1"/>
  <c r="CI119" i="1"/>
  <c r="CJ119" i="1"/>
  <c r="CK119" i="1"/>
  <c r="BR121" i="1"/>
  <c r="BT121" i="1"/>
  <c r="BU121" i="1"/>
  <c r="BV121" i="1"/>
  <c r="BW121" i="1"/>
  <c r="BX121" i="1"/>
  <c r="BY121" i="1"/>
  <c r="CB121" i="1"/>
  <c r="CC121" i="1"/>
  <c r="CD121" i="1"/>
  <c r="CE121" i="1"/>
  <c r="CF121" i="1"/>
  <c r="CG121" i="1"/>
  <c r="CH121" i="1"/>
  <c r="CI121" i="1"/>
  <c r="CJ121" i="1"/>
  <c r="CK121" i="1"/>
  <c r="CU202" i="1"/>
  <c r="BR203" i="1"/>
  <c r="BT203" i="1"/>
  <c r="BU203" i="1"/>
  <c r="BV203" i="1"/>
  <c r="BW203" i="1"/>
  <c r="BX203" i="1"/>
  <c r="BY203" i="1"/>
  <c r="CB203" i="1"/>
  <c r="CC203" i="1"/>
  <c r="CD203" i="1"/>
  <c r="CE203" i="1"/>
  <c r="CF203" i="1"/>
  <c r="CG203" i="1"/>
  <c r="CH203" i="1"/>
  <c r="CI203" i="1"/>
  <c r="CJ203" i="1"/>
  <c r="CK203" i="1"/>
  <c r="BK203" i="1"/>
  <c r="BN203" i="1" s="1"/>
  <c r="BO203" i="1"/>
  <c r="BO204" i="1" s="1"/>
  <c r="BO205" i="1" s="1"/>
  <c r="BO206" i="1" s="1"/>
  <c r="BO207" i="1" s="1"/>
  <c r="BO208" i="1" s="1"/>
  <c r="BO211" i="1" s="1"/>
  <c r="BR204" i="1"/>
  <c r="BT204" i="1"/>
  <c r="BU204" i="1"/>
  <c r="BV204" i="1"/>
  <c r="BW204" i="1"/>
  <c r="BX204" i="1"/>
  <c r="BY204" i="1"/>
  <c r="CB204" i="1"/>
  <c r="CC204" i="1"/>
  <c r="CD204" i="1"/>
  <c r="CE204" i="1"/>
  <c r="CF204" i="1"/>
  <c r="CG204" i="1"/>
  <c r="CH204" i="1"/>
  <c r="CI204" i="1"/>
  <c r="CJ204" i="1"/>
  <c r="CK204" i="1"/>
  <c r="BR205" i="1"/>
  <c r="BT205" i="1"/>
  <c r="BU205" i="1"/>
  <c r="BV205" i="1"/>
  <c r="BW205" i="1"/>
  <c r="BX205" i="1"/>
  <c r="BY205" i="1"/>
  <c r="CB205" i="1"/>
  <c r="CC205" i="1"/>
  <c r="CD205" i="1"/>
  <c r="CE205" i="1"/>
  <c r="CF205" i="1"/>
  <c r="CG205" i="1"/>
  <c r="CH205" i="1"/>
  <c r="CI205" i="1"/>
  <c r="CJ205" i="1"/>
  <c r="CK205" i="1"/>
  <c r="BR206" i="1"/>
  <c r="BT206" i="1"/>
  <c r="BU206" i="1"/>
  <c r="BV206" i="1"/>
  <c r="BW206" i="1"/>
  <c r="BX206" i="1"/>
  <c r="BY206" i="1"/>
  <c r="CB206" i="1"/>
  <c r="CC206" i="1"/>
  <c r="CD206" i="1"/>
  <c r="CE206" i="1"/>
  <c r="CF206" i="1"/>
  <c r="CG206" i="1"/>
  <c r="CH206" i="1"/>
  <c r="CI206" i="1"/>
  <c r="CJ206" i="1"/>
  <c r="CK206" i="1"/>
  <c r="BR207" i="1"/>
  <c r="BT207" i="1"/>
  <c r="BU207" i="1"/>
  <c r="BV207" i="1"/>
  <c r="BW207" i="1"/>
  <c r="BX207" i="1"/>
  <c r="BY207" i="1"/>
  <c r="CB207" i="1"/>
  <c r="CC207" i="1"/>
  <c r="CD207" i="1"/>
  <c r="CE207" i="1"/>
  <c r="CF207" i="1"/>
  <c r="CG207" i="1"/>
  <c r="CH207" i="1"/>
  <c r="CI207" i="1"/>
  <c r="CJ207" i="1"/>
  <c r="CK207" i="1"/>
  <c r="BR208" i="1"/>
  <c r="BT208" i="1"/>
  <c r="BU208" i="1"/>
  <c r="BV208" i="1"/>
  <c r="BW208" i="1"/>
  <c r="BX208" i="1"/>
  <c r="BY208" i="1"/>
  <c r="CB208" i="1"/>
  <c r="CD208" i="1"/>
  <c r="CE208" i="1"/>
  <c r="CF208" i="1"/>
  <c r="CG208" i="1"/>
  <c r="CH208" i="1"/>
  <c r="CI208" i="1"/>
  <c r="CJ208" i="1"/>
  <c r="CK208" i="1"/>
  <c r="BR209" i="1"/>
  <c r="BT209" i="1"/>
  <c r="BU209" i="1"/>
  <c r="BV209" i="1"/>
  <c r="BW209" i="1"/>
  <c r="BX209" i="1"/>
  <c r="BY209" i="1"/>
  <c r="CB209" i="1"/>
  <c r="CD209" i="1"/>
  <c r="CE209" i="1"/>
  <c r="CF209" i="1"/>
  <c r="CG209" i="1"/>
  <c r="CH209" i="1"/>
  <c r="CI209" i="1"/>
  <c r="CJ209" i="1"/>
  <c r="CK209" i="1"/>
  <c r="BR212" i="1"/>
  <c r="BT212" i="1"/>
  <c r="BU212" i="1"/>
  <c r="BV212" i="1"/>
  <c r="BW212" i="1"/>
  <c r="BX212" i="1"/>
  <c r="BY212" i="1"/>
  <c r="CB212" i="1"/>
  <c r="CD212" i="1"/>
  <c r="CE212" i="1"/>
  <c r="CF212" i="1"/>
  <c r="CG212" i="1"/>
  <c r="CH212" i="1"/>
  <c r="CI212" i="1"/>
  <c r="CJ212" i="1"/>
  <c r="CK212" i="1"/>
  <c r="CU213" i="1"/>
  <c r="CU214" i="1"/>
  <c r="BR215" i="1"/>
  <c r="BT215" i="1"/>
  <c r="BV215" i="1"/>
  <c r="BW215" i="1"/>
  <c r="CB215" i="1"/>
  <c r="CC215" i="1"/>
  <c r="CD215" i="1"/>
  <c r="CE215" i="1"/>
  <c r="CF215" i="1"/>
  <c r="CG215" i="1"/>
  <c r="CH215" i="1"/>
  <c r="CI215" i="1"/>
  <c r="CJ215" i="1"/>
  <c r="CK215" i="1"/>
  <c r="BK215" i="1"/>
  <c r="BN215" i="1" s="1"/>
  <c r="BO215" i="1"/>
  <c r="BO216" i="1" s="1"/>
  <c r="BO217" i="1" s="1"/>
  <c r="BO218" i="1" s="1"/>
  <c r="BR216" i="1"/>
  <c r="BT216" i="1"/>
  <c r="BV216" i="1"/>
  <c r="BW216" i="1"/>
  <c r="CC216" i="1"/>
  <c r="CD216" i="1"/>
  <c r="CE216" i="1"/>
  <c r="CF216" i="1"/>
  <c r="CG216" i="1"/>
  <c r="CH216" i="1"/>
  <c r="CI216" i="1"/>
  <c r="CJ216" i="1"/>
  <c r="CK216" i="1"/>
  <c r="BR217" i="1"/>
  <c r="BT217" i="1"/>
  <c r="BU217" i="1"/>
  <c r="BV217" i="1"/>
  <c r="BW217" i="1"/>
  <c r="CC217" i="1"/>
  <c r="CD217" i="1"/>
  <c r="CE217" i="1"/>
  <c r="CF217" i="1"/>
  <c r="CG217" i="1"/>
  <c r="CH217" i="1"/>
  <c r="CI217" i="1"/>
  <c r="CJ217" i="1"/>
  <c r="CK217" i="1"/>
  <c r="BR218" i="1"/>
  <c r="BT218" i="1"/>
  <c r="BU218" i="1"/>
  <c r="BV218" i="1"/>
  <c r="BW218" i="1"/>
  <c r="CC218" i="1"/>
  <c r="CD218" i="1"/>
  <c r="CE218" i="1"/>
  <c r="CF218" i="1"/>
  <c r="CG218" i="1"/>
  <c r="CH218" i="1"/>
  <c r="CI218" i="1"/>
  <c r="CJ218" i="1"/>
  <c r="CK218" i="1"/>
  <c r="CU219" i="1"/>
  <c r="BR220" i="1"/>
  <c r="BT220" i="1"/>
  <c r="BU220" i="1"/>
  <c r="BV220" i="1"/>
  <c r="BW220" i="1"/>
  <c r="BX220" i="1"/>
  <c r="BY220" i="1"/>
  <c r="CB220" i="1"/>
  <c r="CC220" i="1"/>
  <c r="CD220" i="1"/>
  <c r="CE220" i="1"/>
  <c r="CF220" i="1"/>
  <c r="CG220" i="1"/>
  <c r="CH220" i="1"/>
  <c r="CI220" i="1"/>
  <c r="CJ220" i="1"/>
  <c r="CK220" i="1"/>
  <c r="BK220" i="1"/>
  <c r="BK221" i="1" s="1"/>
  <c r="BM220" i="1"/>
  <c r="BM221" i="1" s="1"/>
  <c r="BM222" i="1" s="1"/>
  <c r="BL220" i="1"/>
  <c r="BL221" i="1" s="1"/>
  <c r="BL222" i="1" s="1"/>
  <c r="BR221" i="1"/>
  <c r="BT221" i="1"/>
  <c r="BU221" i="1"/>
  <c r="BV221" i="1"/>
  <c r="BW221" i="1"/>
  <c r="BX221" i="1"/>
  <c r="BY221" i="1"/>
  <c r="CC221" i="1"/>
  <c r="CD221" i="1"/>
  <c r="CE221" i="1"/>
  <c r="CF221" i="1"/>
  <c r="CG221" i="1"/>
  <c r="CH221" i="1"/>
  <c r="CI221" i="1"/>
  <c r="CJ221" i="1"/>
  <c r="CK221" i="1"/>
  <c r="BR222" i="1"/>
  <c r="BT222" i="1"/>
  <c r="BU222" i="1"/>
  <c r="BV222" i="1"/>
  <c r="BW222" i="1"/>
  <c r="BX222" i="1"/>
  <c r="BY222" i="1"/>
  <c r="CC222" i="1"/>
  <c r="CD222" i="1"/>
  <c r="CE222" i="1"/>
  <c r="CF222" i="1"/>
  <c r="CG222" i="1"/>
  <c r="CH222" i="1"/>
  <c r="CI222" i="1"/>
  <c r="CJ222" i="1"/>
  <c r="CK222" i="1"/>
  <c r="CU223" i="1"/>
  <c r="BR224" i="1"/>
  <c r="BT224" i="1"/>
  <c r="BU224" i="1"/>
  <c r="BV224" i="1"/>
  <c r="BW224" i="1"/>
  <c r="BX224" i="1"/>
  <c r="BY224" i="1"/>
  <c r="CB224" i="1"/>
  <c r="CC224" i="1"/>
  <c r="CD224" i="1"/>
  <c r="CE224" i="1"/>
  <c r="CF224" i="1"/>
  <c r="CG224" i="1"/>
  <c r="CH224" i="1"/>
  <c r="CI224" i="1"/>
  <c r="CJ224" i="1"/>
  <c r="CK224" i="1"/>
  <c r="BK224" i="1"/>
  <c r="BK225" i="1" s="1"/>
  <c r="BM224" i="1"/>
  <c r="BM225" i="1" s="1"/>
  <c r="BM226" i="1" s="1"/>
  <c r="BM227" i="1" s="1"/>
  <c r="BM228" i="1" s="1"/>
  <c r="BM229" i="1" s="1"/>
  <c r="BL224" i="1"/>
  <c r="BL225" i="1" s="1"/>
  <c r="BL226" i="1" s="1"/>
  <c r="BL227" i="1" s="1"/>
  <c r="BL228" i="1" s="1"/>
  <c r="BL229" i="1" s="1"/>
  <c r="BO224" i="1"/>
  <c r="BO225" i="1" s="1"/>
  <c r="BO226" i="1" s="1"/>
  <c r="BO227" i="1" s="1"/>
  <c r="BO228" i="1" s="1"/>
  <c r="BO229" i="1" s="1"/>
  <c r="BR225" i="1"/>
  <c r="BT225" i="1"/>
  <c r="BU225" i="1"/>
  <c r="BV225" i="1"/>
  <c r="BW225" i="1"/>
  <c r="BX225" i="1"/>
  <c r="BY225" i="1"/>
  <c r="CB225" i="1"/>
  <c r="CC225" i="1"/>
  <c r="CD225" i="1"/>
  <c r="CE225" i="1"/>
  <c r="CF225" i="1"/>
  <c r="CG225" i="1"/>
  <c r="CH225" i="1"/>
  <c r="CI225" i="1"/>
  <c r="CJ225" i="1"/>
  <c r="CK225" i="1"/>
  <c r="BR226" i="1"/>
  <c r="BT226" i="1"/>
  <c r="BU226" i="1"/>
  <c r="BV226" i="1"/>
  <c r="BW226" i="1"/>
  <c r="BX226" i="1"/>
  <c r="BY226" i="1"/>
  <c r="CB226" i="1"/>
  <c r="CC226" i="1"/>
  <c r="CD226" i="1"/>
  <c r="CE226" i="1"/>
  <c r="CF226" i="1"/>
  <c r="CG226" i="1"/>
  <c r="CH226" i="1"/>
  <c r="CI226" i="1"/>
  <c r="CJ226" i="1"/>
  <c r="CK226" i="1"/>
  <c r="BR227" i="1"/>
  <c r="BT227" i="1"/>
  <c r="BU227" i="1"/>
  <c r="BV227" i="1"/>
  <c r="BW227" i="1"/>
  <c r="BX227" i="1"/>
  <c r="BY227" i="1"/>
  <c r="CB227" i="1"/>
  <c r="CC227" i="1"/>
  <c r="CD227" i="1"/>
  <c r="CE227" i="1"/>
  <c r="CF227" i="1"/>
  <c r="CG227" i="1"/>
  <c r="CH227" i="1"/>
  <c r="CI227" i="1"/>
  <c r="CJ227" i="1"/>
  <c r="CK227" i="1"/>
  <c r="BR228" i="1"/>
  <c r="BT228" i="1"/>
  <c r="BU228" i="1"/>
  <c r="BV228" i="1"/>
  <c r="BW228" i="1"/>
  <c r="BX228" i="1"/>
  <c r="BY228" i="1"/>
  <c r="CB228" i="1"/>
  <c r="CC228" i="1"/>
  <c r="CD228" i="1"/>
  <c r="CE228" i="1"/>
  <c r="CF228" i="1"/>
  <c r="CG228" i="1"/>
  <c r="CH228" i="1"/>
  <c r="CI228" i="1"/>
  <c r="CJ228" i="1"/>
  <c r="CK228" i="1"/>
  <c r="BR229" i="1"/>
  <c r="BT229" i="1"/>
  <c r="BU229" i="1"/>
  <c r="BV229" i="1"/>
  <c r="BW229" i="1"/>
  <c r="BX229" i="1"/>
  <c r="BY229" i="1"/>
  <c r="CB229" i="1"/>
  <c r="CC229" i="1"/>
  <c r="CD229" i="1"/>
  <c r="CE229" i="1"/>
  <c r="CF229" i="1"/>
  <c r="CG229" i="1"/>
  <c r="CH229" i="1"/>
  <c r="CI229" i="1"/>
  <c r="CJ229" i="1"/>
  <c r="CK229" i="1"/>
  <c r="CU230" i="1"/>
  <c r="BR231" i="1"/>
  <c r="BT231" i="1"/>
  <c r="BU231" i="1"/>
  <c r="BV231" i="1"/>
  <c r="BW231" i="1"/>
  <c r="BX231" i="1"/>
  <c r="BY231" i="1"/>
  <c r="CB231" i="1"/>
  <c r="CC231" i="1"/>
  <c r="CD231" i="1"/>
  <c r="CE231" i="1"/>
  <c r="CF231" i="1"/>
  <c r="CG231" i="1"/>
  <c r="CH231" i="1"/>
  <c r="CI231" i="1"/>
  <c r="CJ231" i="1"/>
  <c r="CK231" i="1"/>
  <c r="BK231" i="1"/>
  <c r="BM231" i="1"/>
  <c r="BM232" i="1" s="1"/>
  <c r="BM233" i="1" s="1"/>
  <c r="BM234" i="1" s="1"/>
  <c r="BM235" i="1" s="1"/>
  <c r="BL231" i="1"/>
  <c r="BL232" i="1" s="1"/>
  <c r="BL233" i="1" s="1"/>
  <c r="BL234" i="1" s="1"/>
  <c r="BL235" i="1" s="1"/>
  <c r="BR232" i="1"/>
  <c r="BT232" i="1"/>
  <c r="BU232" i="1"/>
  <c r="BV232" i="1"/>
  <c r="BW232" i="1"/>
  <c r="BX232" i="1"/>
  <c r="BY232" i="1"/>
  <c r="CB232" i="1"/>
  <c r="CC232" i="1"/>
  <c r="CD232" i="1"/>
  <c r="CE232" i="1"/>
  <c r="CF232" i="1"/>
  <c r="CG232" i="1"/>
  <c r="CH232" i="1"/>
  <c r="CI232" i="1"/>
  <c r="CJ232" i="1"/>
  <c r="CK232" i="1"/>
  <c r="BR233" i="1"/>
  <c r="BT233" i="1"/>
  <c r="BU233" i="1"/>
  <c r="BV233" i="1"/>
  <c r="BW233" i="1"/>
  <c r="BX233" i="1"/>
  <c r="BY233" i="1"/>
  <c r="CB233" i="1"/>
  <c r="CC233" i="1"/>
  <c r="CD233" i="1"/>
  <c r="CE233" i="1"/>
  <c r="CF233" i="1"/>
  <c r="CG233" i="1"/>
  <c r="CH233" i="1"/>
  <c r="CI233" i="1"/>
  <c r="CJ233" i="1"/>
  <c r="CK233" i="1"/>
  <c r="BR234" i="1"/>
  <c r="BT234" i="1"/>
  <c r="BU234" i="1"/>
  <c r="BV234" i="1"/>
  <c r="BW234" i="1"/>
  <c r="BX234" i="1"/>
  <c r="BY234" i="1"/>
  <c r="CB234" i="1"/>
  <c r="CC234" i="1"/>
  <c r="CD234" i="1"/>
  <c r="CE234" i="1"/>
  <c r="CF234" i="1"/>
  <c r="CG234" i="1"/>
  <c r="CH234" i="1"/>
  <c r="CI234" i="1"/>
  <c r="CJ234" i="1"/>
  <c r="CK234" i="1"/>
  <c r="BR235" i="1"/>
  <c r="BT235" i="1"/>
  <c r="BU235" i="1"/>
  <c r="BV235" i="1"/>
  <c r="BW235" i="1"/>
  <c r="BX235" i="1"/>
  <c r="BY235" i="1"/>
  <c r="CB235" i="1"/>
  <c r="CC235" i="1"/>
  <c r="CD235" i="1"/>
  <c r="CE235" i="1"/>
  <c r="CF235" i="1"/>
  <c r="CG235" i="1"/>
  <c r="CH235" i="1"/>
  <c r="CI235" i="1"/>
  <c r="CJ235" i="1"/>
  <c r="CK235" i="1"/>
  <c r="CU236" i="1"/>
  <c r="BR237" i="1"/>
  <c r="BT237" i="1"/>
  <c r="BU237" i="1"/>
  <c r="BV237" i="1"/>
  <c r="BW237" i="1"/>
  <c r="BX237" i="1"/>
  <c r="BY237" i="1"/>
  <c r="CB237" i="1"/>
  <c r="CC237" i="1"/>
  <c r="CD237" i="1"/>
  <c r="CE237" i="1"/>
  <c r="CF237" i="1"/>
  <c r="CG237" i="1"/>
  <c r="CH237" i="1"/>
  <c r="CI237" i="1"/>
  <c r="CJ237" i="1"/>
  <c r="CK237" i="1"/>
  <c r="BK237" i="1"/>
  <c r="BK238" i="1" s="1"/>
  <c r="BM237" i="1"/>
  <c r="BM238" i="1" s="1"/>
  <c r="BM239" i="1" s="1"/>
  <c r="BM240" i="1" s="1"/>
  <c r="BM241" i="1" s="1"/>
  <c r="BM242" i="1" s="1"/>
  <c r="BL237" i="1"/>
  <c r="BL238" i="1" s="1"/>
  <c r="BL239" i="1" s="1"/>
  <c r="BL240" i="1" s="1"/>
  <c r="BL241" i="1" s="1"/>
  <c r="BL242" i="1" s="1"/>
  <c r="BR238" i="1"/>
  <c r="BT238" i="1"/>
  <c r="BU238" i="1"/>
  <c r="BV238" i="1"/>
  <c r="BW238" i="1"/>
  <c r="BX238" i="1"/>
  <c r="BY238" i="1"/>
  <c r="CB238" i="1"/>
  <c r="CC238" i="1"/>
  <c r="CD238" i="1"/>
  <c r="CE238" i="1"/>
  <c r="CF238" i="1"/>
  <c r="CG238" i="1"/>
  <c r="CH238" i="1"/>
  <c r="CI238" i="1"/>
  <c r="CJ238" i="1"/>
  <c r="CK238" i="1"/>
  <c r="BR239" i="1"/>
  <c r="BT239" i="1"/>
  <c r="BU239" i="1"/>
  <c r="BV239" i="1"/>
  <c r="BW239" i="1"/>
  <c r="BX239" i="1"/>
  <c r="BY239" i="1"/>
  <c r="CB239" i="1"/>
  <c r="CC239" i="1"/>
  <c r="CD239" i="1"/>
  <c r="CE239" i="1"/>
  <c r="CF239" i="1"/>
  <c r="CG239" i="1"/>
  <c r="CH239" i="1"/>
  <c r="CI239" i="1"/>
  <c r="CJ239" i="1"/>
  <c r="CK239" i="1"/>
  <c r="BR240" i="1"/>
  <c r="BT240" i="1"/>
  <c r="BU240" i="1"/>
  <c r="BV240" i="1"/>
  <c r="BW240" i="1"/>
  <c r="BX240" i="1"/>
  <c r="BY240" i="1"/>
  <c r="CB240" i="1"/>
  <c r="CC240" i="1"/>
  <c r="CD240" i="1"/>
  <c r="CE240" i="1"/>
  <c r="CF240" i="1"/>
  <c r="CG240" i="1"/>
  <c r="CH240" i="1"/>
  <c r="CI240" i="1"/>
  <c r="CJ240" i="1"/>
  <c r="CK240" i="1"/>
  <c r="BR241" i="1"/>
  <c r="BT241" i="1"/>
  <c r="BU241" i="1"/>
  <c r="BV241" i="1"/>
  <c r="BW241" i="1"/>
  <c r="BX241" i="1"/>
  <c r="BY241" i="1"/>
  <c r="CB241" i="1"/>
  <c r="CC241" i="1"/>
  <c r="CD241" i="1"/>
  <c r="CE241" i="1"/>
  <c r="CF241" i="1"/>
  <c r="CG241" i="1"/>
  <c r="CH241" i="1"/>
  <c r="CI241" i="1"/>
  <c r="CJ241" i="1"/>
  <c r="CK241" i="1"/>
  <c r="BR242" i="1"/>
  <c r="BT242" i="1"/>
  <c r="BU242" i="1"/>
  <c r="BV242" i="1"/>
  <c r="BW242" i="1"/>
  <c r="BX242" i="1"/>
  <c r="BY242" i="1"/>
  <c r="CB242" i="1"/>
  <c r="CC242" i="1"/>
  <c r="CD242" i="1"/>
  <c r="CE242" i="1"/>
  <c r="CF242" i="1"/>
  <c r="CG242" i="1"/>
  <c r="CH242" i="1"/>
  <c r="CI242" i="1"/>
  <c r="CJ242" i="1"/>
  <c r="CK242" i="1"/>
  <c r="CU122" i="1"/>
  <c r="BR123" i="1"/>
  <c r="BT123" i="1"/>
  <c r="BU123" i="1"/>
  <c r="BV123" i="1"/>
  <c r="BW123" i="1"/>
  <c r="BX123" i="1"/>
  <c r="BY123" i="1"/>
  <c r="CB123" i="1"/>
  <c r="CC123" i="1"/>
  <c r="CD123" i="1"/>
  <c r="CE123" i="1"/>
  <c r="CF123" i="1"/>
  <c r="CG123" i="1"/>
  <c r="CH123" i="1"/>
  <c r="CI123" i="1"/>
  <c r="CJ123" i="1"/>
  <c r="CK123" i="1"/>
  <c r="BK123" i="1"/>
  <c r="BM123" i="1"/>
  <c r="BM124" i="1" s="1"/>
  <c r="BM125" i="1" s="1"/>
  <c r="BM126" i="1" s="1"/>
  <c r="BL123" i="1"/>
  <c r="BL124" i="1" s="1"/>
  <c r="BL125" i="1" s="1"/>
  <c r="BL126" i="1" s="1"/>
  <c r="BR124" i="1"/>
  <c r="BT124" i="1"/>
  <c r="BU124" i="1"/>
  <c r="BV124" i="1"/>
  <c r="BW124" i="1"/>
  <c r="BX124" i="1"/>
  <c r="BY124" i="1"/>
  <c r="CB124" i="1"/>
  <c r="CC124" i="1"/>
  <c r="CD124" i="1"/>
  <c r="CE124" i="1"/>
  <c r="CF124" i="1"/>
  <c r="CG124" i="1"/>
  <c r="CH124" i="1"/>
  <c r="CI124" i="1"/>
  <c r="CJ124" i="1"/>
  <c r="CK124" i="1"/>
  <c r="BR125" i="1"/>
  <c r="BT125" i="1"/>
  <c r="BU125" i="1"/>
  <c r="BV125" i="1"/>
  <c r="BW125" i="1"/>
  <c r="BX125" i="1"/>
  <c r="BY125" i="1"/>
  <c r="CB125" i="1"/>
  <c r="CC125" i="1"/>
  <c r="CD125" i="1"/>
  <c r="CE125" i="1"/>
  <c r="CF125" i="1"/>
  <c r="CG125" i="1"/>
  <c r="CH125" i="1"/>
  <c r="CI125" i="1"/>
  <c r="CJ125" i="1"/>
  <c r="CK125" i="1"/>
  <c r="BR126" i="1"/>
  <c r="BT126" i="1"/>
  <c r="BU126" i="1"/>
  <c r="BV126" i="1"/>
  <c r="BW126" i="1"/>
  <c r="BX126" i="1"/>
  <c r="BY126" i="1"/>
  <c r="CB126" i="1"/>
  <c r="CC126" i="1"/>
  <c r="CD126" i="1"/>
  <c r="CE126" i="1"/>
  <c r="CF126" i="1"/>
  <c r="CG126" i="1"/>
  <c r="CH126" i="1"/>
  <c r="CI126" i="1"/>
  <c r="CJ126" i="1"/>
  <c r="CK126" i="1"/>
  <c r="CU243" i="1"/>
  <c r="BR244" i="1"/>
  <c r="BT244" i="1"/>
  <c r="BU244" i="1"/>
  <c r="BV244" i="1"/>
  <c r="BW244" i="1"/>
  <c r="BX244" i="1"/>
  <c r="BY244" i="1"/>
  <c r="CB244" i="1"/>
  <c r="CC244" i="1"/>
  <c r="CD244" i="1"/>
  <c r="CE244" i="1"/>
  <c r="CF244" i="1"/>
  <c r="CG244" i="1"/>
  <c r="CH244" i="1"/>
  <c r="CI244" i="1"/>
  <c r="CJ244" i="1"/>
  <c r="CK244" i="1"/>
  <c r="BR245" i="1"/>
  <c r="BT245" i="1"/>
  <c r="BU245" i="1"/>
  <c r="BV245" i="1"/>
  <c r="BW245" i="1"/>
  <c r="BX245" i="1"/>
  <c r="BY245" i="1"/>
  <c r="CB245" i="1"/>
  <c r="CC245" i="1"/>
  <c r="CD245" i="1"/>
  <c r="CE245" i="1"/>
  <c r="CF245" i="1"/>
  <c r="CG245" i="1"/>
  <c r="CH245" i="1"/>
  <c r="CI245" i="1"/>
  <c r="CJ245" i="1"/>
  <c r="CK245" i="1"/>
  <c r="BR246" i="1"/>
  <c r="BT246" i="1"/>
  <c r="BU246" i="1"/>
  <c r="BV246" i="1"/>
  <c r="BW246" i="1"/>
  <c r="BX246" i="1"/>
  <c r="BY246" i="1"/>
  <c r="CB246" i="1"/>
  <c r="CC246" i="1"/>
  <c r="CD246" i="1"/>
  <c r="CE246" i="1"/>
  <c r="CF246" i="1"/>
  <c r="CG246" i="1"/>
  <c r="CH246" i="1"/>
  <c r="CI246" i="1"/>
  <c r="CJ246" i="1"/>
  <c r="CK246" i="1"/>
  <c r="BR247" i="1"/>
  <c r="BT247" i="1"/>
  <c r="BU247" i="1"/>
  <c r="BV247" i="1"/>
  <c r="BW247" i="1"/>
  <c r="BX247" i="1"/>
  <c r="BY247" i="1"/>
  <c r="CB247" i="1"/>
  <c r="CC247" i="1"/>
  <c r="CD247" i="1"/>
  <c r="CE247" i="1"/>
  <c r="CF247" i="1"/>
  <c r="CG247" i="1"/>
  <c r="CH247" i="1"/>
  <c r="CI247" i="1"/>
  <c r="CJ247" i="1"/>
  <c r="CK247" i="1"/>
  <c r="CU248" i="1"/>
  <c r="CU249" i="1"/>
  <c r="CU276" i="1"/>
  <c r="BR277" i="1"/>
  <c r="BT277" i="1"/>
  <c r="BU277" i="1"/>
  <c r="BV277" i="1"/>
  <c r="BW277" i="1"/>
  <c r="BX277" i="1"/>
  <c r="BY277" i="1"/>
  <c r="CB277" i="1"/>
  <c r="CC277" i="1"/>
  <c r="CD277" i="1"/>
  <c r="CE277" i="1"/>
  <c r="CF277" i="1"/>
  <c r="CG277" i="1"/>
  <c r="CH277" i="1"/>
  <c r="CI277" i="1"/>
  <c r="CJ277" i="1"/>
  <c r="CK277" i="1"/>
  <c r="BR278" i="1"/>
  <c r="BT278" i="1"/>
  <c r="BU278" i="1"/>
  <c r="BV278" i="1"/>
  <c r="BW278" i="1"/>
  <c r="BX278" i="1"/>
  <c r="BY278" i="1"/>
  <c r="CB278" i="1"/>
  <c r="CC278" i="1"/>
  <c r="CD278" i="1"/>
  <c r="CE278" i="1"/>
  <c r="CF278" i="1"/>
  <c r="CG278" i="1"/>
  <c r="CH278" i="1"/>
  <c r="CI278" i="1"/>
  <c r="CJ278" i="1"/>
  <c r="CK278" i="1"/>
  <c r="BR279" i="1"/>
  <c r="BT279" i="1"/>
  <c r="BU279" i="1"/>
  <c r="BV279" i="1"/>
  <c r="BW279" i="1"/>
  <c r="BX279" i="1"/>
  <c r="BY279" i="1"/>
  <c r="CB279" i="1"/>
  <c r="CC279" i="1"/>
  <c r="CD279" i="1"/>
  <c r="CE279" i="1"/>
  <c r="CF279" i="1"/>
  <c r="CG279" i="1"/>
  <c r="CH279" i="1"/>
  <c r="CI279" i="1"/>
  <c r="CJ279" i="1"/>
  <c r="CK279" i="1"/>
  <c r="BR280" i="1"/>
  <c r="BT280" i="1"/>
  <c r="BU280" i="1"/>
  <c r="BV280" i="1"/>
  <c r="BW280" i="1"/>
  <c r="BX280" i="1"/>
  <c r="BY280" i="1"/>
  <c r="CB280" i="1"/>
  <c r="CC280" i="1"/>
  <c r="CD280" i="1"/>
  <c r="CE280" i="1"/>
  <c r="CF280" i="1"/>
  <c r="CG280" i="1"/>
  <c r="CH280" i="1"/>
  <c r="CI280" i="1"/>
  <c r="CJ280" i="1"/>
  <c r="CK280" i="1"/>
  <c r="CU250" i="1"/>
  <c r="BR251" i="1"/>
  <c r="BT251" i="1"/>
  <c r="BU251" i="1"/>
  <c r="BV251" i="1"/>
  <c r="BW251" i="1"/>
  <c r="BX251" i="1"/>
  <c r="BY251" i="1"/>
  <c r="CB251" i="1"/>
  <c r="CC251" i="1"/>
  <c r="CD251" i="1"/>
  <c r="CE251" i="1"/>
  <c r="CF251" i="1"/>
  <c r="CG251" i="1"/>
  <c r="CH251" i="1"/>
  <c r="CI251" i="1"/>
  <c r="CJ251" i="1"/>
  <c r="CK251" i="1"/>
  <c r="BK251" i="1"/>
  <c r="BK252" i="1" s="1"/>
  <c r="BM251" i="1"/>
  <c r="BM252" i="1" s="1"/>
  <c r="BM253" i="1" s="1"/>
  <c r="BL251" i="1"/>
  <c r="BL252" i="1" s="1"/>
  <c r="BL253" i="1" s="1"/>
  <c r="BR252" i="1"/>
  <c r="BT252" i="1"/>
  <c r="BU252" i="1"/>
  <c r="BV252" i="1"/>
  <c r="BW252" i="1"/>
  <c r="BX252" i="1"/>
  <c r="BY252" i="1"/>
  <c r="CB252" i="1"/>
  <c r="CC252" i="1"/>
  <c r="CD252" i="1"/>
  <c r="CE252" i="1"/>
  <c r="CF252" i="1"/>
  <c r="CG252" i="1"/>
  <c r="CH252" i="1"/>
  <c r="CI252" i="1"/>
  <c r="CJ252" i="1"/>
  <c r="CK252" i="1"/>
  <c r="BR253" i="1"/>
  <c r="BT253" i="1"/>
  <c r="BU253" i="1"/>
  <c r="BV253" i="1"/>
  <c r="BW253" i="1"/>
  <c r="BX253" i="1"/>
  <c r="BY253" i="1"/>
  <c r="CB253" i="1"/>
  <c r="CC253" i="1"/>
  <c r="CD253" i="1"/>
  <c r="CE253" i="1"/>
  <c r="CF253" i="1"/>
  <c r="CG253" i="1"/>
  <c r="CH253" i="1"/>
  <c r="CI253" i="1"/>
  <c r="CJ253" i="1"/>
  <c r="CK253" i="1"/>
  <c r="CU254" i="1"/>
  <c r="BR255" i="1"/>
  <c r="BT255" i="1"/>
  <c r="BU255" i="1"/>
  <c r="BV255" i="1"/>
  <c r="BW255" i="1"/>
  <c r="BX255" i="1"/>
  <c r="BY255" i="1"/>
  <c r="CB255" i="1"/>
  <c r="CC255" i="1"/>
  <c r="CD255" i="1"/>
  <c r="CE255" i="1"/>
  <c r="CF255" i="1"/>
  <c r="CG255" i="1"/>
  <c r="CH255" i="1"/>
  <c r="CI255" i="1"/>
  <c r="CJ255" i="1"/>
  <c r="CK255" i="1"/>
  <c r="BK255" i="1"/>
  <c r="BK256" i="1" s="1"/>
  <c r="BM255" i="1"/>
  <c r="BM256" i="1" s="1"/>
  <c r="BL255" i="1"/>
  <c r="BL256" i="1" s="1"/>
  <c r="BR256" i="1"/>
  <c r="BT256" i="1"/>
  <c r="BU256" i="1"/>
  <c r="BV256" i="1"/>
  <c r="BW256" i="1"/>
  <c r="BX256" i="1"/>
  <c r="BY256" i="1"/>
  <c r="CB256" i="1"/>
  <c r="CC256" i="1"/>
  <c r="CD256" i="1"/>
  <c r="CE256" i="1"/>
  <c r="CF256" i="1"/>
  <c r="CG256" i="1"/>
  <c r="CH256" i="1"/>
  <c r="CI256" i="1"/>
  <c r="CJ256" i="1"/>
  <c r="CK256" i="1"/>
  <c r="CU257" i="1"/>
  <c r="BR258" i="1"/>
  <c r="BT258" i="1"/>
  <c r="BU258" i="1"/>
  <c r="BV258" i="1"/>
  <c r="BW258" i="1"/>
  <c r="BX258" i="1"/>
  <c r="BY258" i="1"/>
  <c r="CB258" i="1"/>
  <c r="CC258" i="1"/>
  <c r="CD258" i="1"/>
  <c r="CE258" i="1"/>
  <c r="CF258" i="1"/>
  <c r="CG258" i="1"/>
  <c r="CH258" i="1"/>
  <c r="CI258" i="1"/>
  <c r="CJ258" i="1"/>
  <c r="CK258" i="1"/>
  <c r="BK258" i="1"/>
  <c r="BM258" i="1"/>
  <c r="BM259" i="1" s="1"/>
  <c r="BM260" i="1" s="1"/>
  <c r="BM261" i="1" s="1"/>
  <c r="BM262" i="1" s="1"/>
  <c r="BM263" i="1" s="1"/>
  <c r="BL258" i="1"/>
  <c r="BL259" i="1" s="1"/>
  <c r="BL260" i="1" s="1"/>
  <c r="BL261" i="1" s="1"/>
  <c r="BL262" i="1" s="1"/>
  <c r="BL263" i="1" s="1"/>
  <c r="BR259" i="1"/>
  <c r="BT259" i="1"/>
  <c r="BU259" i="1"/>
  <c r="BV259" i="1"/>
  <c r="BW259" i="1"/>
  <c r="BX259" i="1"/>
  <c r="BY259" i="1"/>
  <c r="CB259" i="1"/>
  <c r="CC259" i="1"/>
  <c r="CD259" i="1"/>
  <c r="CE259" i="1"/>
  <c r="CF259" i="1"/>
  <c r="CG259" i="1"/>
  <c r="CH259" i="1"/>
  <c r="CI259" i="1"/>
  <c r="CJ259" i="1"/>
  <c r="CK259" i="1"/>
  <c r="BR260" i="1"/>
  <c r="BT260" i="1"/>
  <c r="BU260" i="1"/>
  <c r="BV260" i="1"/>
  <c r="BW260" i="1"/>
  <c r="BX260" i="1"/>
  <c r="BY260" i="1"/>
  <c r="CB260" i="1"/>
  <c r="CC260" i="1"/>
  <c r="CD260" i="1"/>
  <c r="CE260" i="1"/>
  <c r="CF260" i="1"/>
  <c r="CG260" i="1"/>
  <c r="CH260" i="1"/>
  <c r="CI260" i="1"/>
  <c r="CJ260" i="1"/>
  <c r="CK260" i="1"/>
  <c r="BR261" i="1"/>
  <c r="BT261" i="1"/>
  <c r="BU261" i="1"/>
  <c r="BV261" i="1"/>
  <c r="BW261" i="1"/>
  <c r="BX261" i="1"/>
  <c r="BY261" i="1"/>
  <c r="CB261" i="1"/>
  <c r="CC261" i="1"/>
  <c r="CD261" i="1"/>
  <c r="CE261" i="1"/>
  <c r="CF261" i="1"/>
  <c r="CG261" i="1"/>
  <c r="CH261" i="1"/>
  <c r="CI261" i="1"/>
  <c r="CJ261" i="1"/>
  <c r="CK261" i="1"/>
  <c r="BR262" i="1"/>
  <c r="BT262" i="1"/>
  <c r="BU262" i="1"/>
  <c r="BV262" i="1"/>
  <c r="BW262" i="1"/>
  <c r="BX262" i="1"/>
  <c r="BY262" i="1"/>
  <c r="CB262" i="1"/>
  <c r="CC262" i="1"/>
  <c r="CD262" i="1"/>
  <c r="CE262" i="1"/>
  <c r="CF262" i="1"/>
  <c r="CG262" i="1"/>
  <c r="CH262" i="1"/>
  <c r="CI262" i="1"/>
  <c r="CJ262" i="1"/>
  <c r="CK262" i="1"/>
  <c r="BR263" i="1"/>
  <c r="BT263" i="1"/>
  <c r="BU263" i="1"/>
  <c r="BV263" i="1"/>
  <c r="BW263" i="1"/>
  <c r="BX263" i="1"/>
  <c r="BY263" i="1"/>
  <c r="CB263" i="1"/>
  <c r="CC263" i="1"/>
  <c r="CD263" i="1"/>
  <c r="CE263" i="1"/>
  <c r="CF263" i="1"/>
  <c r="CG263" i="1"/>
  <c r="CH263" i="1"/>
  <c r="CI263" i="1"/>
  <c r="CJ263" i="1"/>
  <c r="CK263" i="1"/>
  <c r="CU264" i="1"/>
  <c r="BR265" i="1"/>
  <c r="BT265" i="1"/>
  <c r="BU265" i="1"/>
  <c r="BV265" i="1"/>
  <c r="BW265" i="1"/>
  <c r="BX265" i="1"/>
  <c r="BY265" i="1"/>
  <c r="CB265" i="1"/>
  <c r="CC265" i="1"/>
  <c r="CD265" i="1"/>
  <c r="CE265" i="1"/>
  <c r="CF265" i="1"/>
  <c r="CG265" i="1"/>
  <c r="CH265" i="1"/>
  <c r="CI265" i="1"/>
  <c r="CJ265" i="1"/>
  <c r="CK265" i="1"/>
  <c r="BK265" i="1"/>
  <c r="BM265" i="1"/>
  <c r="BM266" i="1" s="1"/>
  <c r="BM267" i="1" s="1"/>
  <c r="BL265" i="1"/>
  <c r="BL266" i="1" s="1"/>
  <c r="BL267" i="1" s="1"/>
  <c r="BR266" i="1"/>
  <c r="BT266" i="1"/>
  <c r="BU266" i="1"/>
  <c r="BV266" i="1"/>
  <c r="BW266" i="1"/>
  <c r="BX266" i="1"/>
  <c r="BY266" i="1"/>
  <c r="CB266" i="1"/>
  <c r="CC266" i="1"/>
  <c r="CD266" i="1"/>
  <c r="CE266" i="1"/>
  <c r="CF266" i="1"/>
  <c r="CG266" i="1"/>
  <c r="CH266" i="1"/>
  <c r="CI266" i="1"/>
  <c r="CJ266" i="1"/>
  <c r="CK266" i="1"/>
  <c r="BR267" i="1"/>
  <c r="BT267" i="1"/>
  <c r="BU267" i="1"/>
  <c r="BV267" i="1"/>
  <c r="BW267" i="1"/>
  <c r="BX267" i="1"/>
  <c r="BY267" i="1"/>
  <c r="CB267" i="1"/>
  <c r="CC267" i="1"/>
  <c r="CD267" i="1"/>
  <c r="CE267" i="1"/>
  <c r="CF267" i="1"/>
  <c r="CG267" i="1"/>
  <c r="CH267" i="1"/>
  <c r="CI267" i="1"/>
  <c r="CJ267" i="1"/>
  <c r="CK267" i="1"/>
  <c r="CU268" i="1"/>
  <c r="BR269" i="1"/>
  <c r="BT269" i="1"/>
  <c r="BU269" i="1"/>
  <c r="BV269" i="1"/>
  <c r="BW269" i="1"/>
  <c r="BX269" i="1"/>
  <c r="BY269" i="1"/>
  <c r="CB269" i="1"/>
  <c r="CC269" i="1"/>
  <c r="CD269" i="1"/>
  <c r="CE269" i="1"/>
  <c r="CF269" i="1"/>
  <c r="CG269" i="1"/>
  <c r="CH269" i="1"/>
  <c r="CI269" i="1"/>
  <c r="CJ269" i="1"/>
  <c r="CK269" i="1"/>
  <c r="BK269" i="1"/>
  <c r="BN269" i="1" s="1"/>
  <c r="BR270" i="1"/>
  <c r="BT270" i="1"/>
  <c r="BU270" i="1"/>
  <c r="BV270" i="1"/>
  <c r="BW270" i="1"/>
  <c r="BX270" i="1"/>
  <c r="BY270" i="1"/>
  <c r="CB270" i="1"/>
  <c r="CC270" i="1"/>
  <c r="CD270" i="1"/>
  <c r="CE270" i="1"/>
  <c r="CF270" i="1"/>
  <c r="CG270" i="1"/>
  <c r="CH270" i="1"/>
  <c r="CI270" i="1"/>
  <c r="CJ270" i="1"/>
  <c r="CK270" i="1"/>
  <c r="BR271" i="1"/>
  <c r="BT271" i="1"/>
  <c r="BU271" i="1"/>
  <c r="BV271" i="1"/>
  <c r="BW271" i="1"/>
  <c r="BX271" i="1"/>
  <c r="BY271" i="1"/>
  <c r="CB271" i="1"/>
  <c r="CC271" i="1"/>
  <c r="CD271" i="1"/>
  <c r="CE271" i="1"/>
  <c r="CF271" i="1"/>
  <c r="CG271" i="1"/>
  <c r="CH271" i="1"/>
  <c r="CI271" i="1"/>
  <c r="CJ271" i="1"/>
  <c r="CK271" i="1"/>
  <c r="BR272" i="1"/>
  <c r="BT272" i="1"/>
  <c r="BU272" i="1"/>
  <c r="BV272" i="1"/>
  <c r="BW272" i="1"/>
  <c r="BX272" i="1"/>
  <c r="BY272" i="1"/>
  <c r="CB272" i="1"/>
  <c r="CC272" i="1"/>
  <c r="CD272" i="1"/>
  <c r="CE272" i="1"/>
  <c r="CF272" i="1"/>
  <c r="CG272" i="1"/>
  <c r="CH272" i="1"/>
  <c r="CI272" i="1"/>
  <c r="CJ272" i="1"/>
  <c r="CK272" i="1"/>
  <c r="CU306" i="1"/>
  <c r="BR307" i="1"/>
  <c r="BT307" i="1"/>
  <c r="BU307" i="1"/>
  <c r="BV307" i="1"/>
  <c r="BW307" i="1"/>
  <c r="BX307" i="1"/>
  <c r="BY307" i="1"/>
  <c r="CB307" i="1"/>
  <c r="CC307" i="1"/>
  <c r="CD307" i="1"/>
  <c r="CE307" i="1"/>
  <c r="CF307" i="1"/>
  <c r="CG307" i="1"/>
  <c r="CH307" i="1"/>
  <c r="CI307" i="1"/>
  <c r="CJ307" i="1"/>
  <c r="CK307" i="1"/>
  <c r="BK307" i="1"/>
  <c r="BK308" i="1" s="1"/>
  <c r="BM307" i="1"/>
  <c r="BM308" i="1" s="1"/>
  <c r="BM309" i="1" s="1"/>
  <c r="BM310" i="1" s="1"/>
  <c r="BM311" i="1" s="1"/>
  <c r="BL307" i="1"/>
  <c r="BL308" i="1" s="1"/>
  <c r="BL309" i="1" s="1"/>
  <c r="BL310" i="1" s="1"/>
  <c r="BL311" i="1" s="1"/>
  <c r="BR308" i="1"/>
  <c r="BT308" i="1"/>
  <c r="BU308" i="1"/>
  <c r="BV308" i="1"/>
  <c r="BW308" i="1"/>
  <c r="BX308" i="1"/>
  <c r="BY308" i="1"/>
  <c r="CB308" i="1"/>
  <c r="CC308" i="1"/>
  <c r="CD308" i="1"/>
  <c r="CE308" i="1"/>
  <c r="CF308" i="1"/>
  <c r="CG308" i="1"/>
  <c r="CH308" i="1"/>
  <c r="CI308" i="1"/>
  <c r="CJ308" i="1"/>
  <c r="CK308" i="1"/>
  <c r="BR309" i="1"/>
  <c r="BT309" i="1"/>
  <c r="BU309" i="1"/>
  <c r="BV309" i="1"/>
  <c r="BW309" i="1"/>
  <c r="BX309" i="1"/>
  <c r="BY309" i="1"/>
  <c r="CB309" i="1"/>
  <c r="CC309" i="1"/>
  <c r="CD309" i="1"/>
  <c r="CE309" i="1"/>
  <c r="CF309" i="1"/>
  <c r="CG309" i="1"/>
  <c r="CH309" i="1"/>
  <c r="CI309" i="1"/>
  <c r="CJ309" i="1"/>
  <c r="CK309" i="1"/>
  <c r="BR310" i="1"/>
  <c r="BT310" i="1"/>
  <c r="BU310" i="1"/>
  <c r="BV310" i="1"/>
  <c r="BW310" i="1"/>
  <c r="BX310" i="1"/>
  <c r="BY310" i="1"/>
  <c r="CB310" i="1"/>
  <c r="CC310" i="1"/>
  <c r="CD310" i="1"/>
  <c r="CE310" i="1"/>
  <c r="CF310" i="1"/>
  <c r="CG310" i="1"/>
  <c r="CH310" i="1"/>
  <c r="CI310" i="1"/>
  <c r="CJ310" i="1"/>
  <c r="CK310" i="1"/>
  <c r="BR311" i="1"/>
  <c r="BT311" i="1"/>
  <c r="BU311" i="1"/>
  <c r="BV311" i="1"/>
  <c r="BW311" i="1"/>
  <c r="BX311" i="1"/>
  <c r="BY311" i="1"/>
  <c r="CB311" i="1"/>
  <c r="CC311" i="1"/>
  <c r="CD311" i="1"/>
  <c r="CE311" i="1"/>
  <c r="CF311" i="1"/>
  <c r="CG311" i="1"/>
  <c r="CH311" i="1"/>
  <c r="CI311" i="1"/>
  <c r="CJ311" i="1"/>
  <c r="CK311" i="1"/>
  <c r="CU281" i="1"/>
  <c r="CU282" i="1"/>
  <c r="BR283" i="1"/>
  <c r="BT283" i="1"/>
  <c r="BU283" i="1"/>
  <c r="BV283" i="1"/>
  <c r="BW283" i="1"/>
  <c r="BX283" i="1"/>
  <c r="BY283" i="1"/>
  <c r="CB283" i="1"/>
  <c r="CC283" i="1"/>
  <c r="CD283" i="1"/>
  <c r="CE283" i="1"/>
  <c r="CF283" i="1"/>
  <c r="CG283" i="1"/>
  <c r="CH283" i="1"/>
  <c r="CI283" i="1"/>
  <c r="CJ283" i="1"/>
  <c r="CK283" i="1"/>
  <c r="BK283" i="1"/>
  <c r="BK284" i="1" s="1"/>
  <c r="BN284" i="1" s="1"/>
  <c r="BO283" i="1"/>
  <c r="BO284" i="1" s="1"/>
  <c r="BR284" i="1"/>
  <c r="BT284" i="1"/>
  <c r="BU284" i="1"/>
  <c r="BV284" i="1"/>
  <c r="BW284" i="1"/>
  <c r="BX284" i="1"/>
  <c r="BY284" i="1"/>
  <c r="CB284" i="1"/>
  <c r="CC284" i="1"/>
  <c r="CD284" i="1"/>
  <c r="CE284" i="1"/>
  <c r="CF284" i="1"/>
  <c r="CG284" i="1"/>
  <c r="CH284" i="1"/>
  <c r="CI284" i="1"/>
  <c r="CJ284" i="1"/>
  <c r="CK284" i="1"/>
  <c r="CU285" i="1"/>
  <c r="BR286" i="1"/>
  <c r="BT286" i="1"/>
  <c r="BU286" i="1"/>
  <c r="BV286" i="1"/>
  <c r="BW286" i="1"/>
  <c r="BX286" i="1"/>
  <c r="BY286" i="1"/>
  <c r="CB286" i="1"/>
  <c r="CC286" i="1"/>
  <c r="CD286" i="1"/>
  <c r="CE286" i="1"/>
  <c r="CF286" i="1"/>
  <c r="CG286" i="1"/>
  <c r="CH286" i="1"/>
  <c r="CI286" i="1"/>
  <c r="CJ286" i="1"/>
  <c r="CK286" i="1"/>
  <c r="CX287" i="1"/>
  <c r="BK286" i="1"/>
  <c r="BO286" i="1"/>
  <c r="BO287" i="1" s="1"/>
  <c r="CU288" i="1"/>
  <c r="BR289" i="1"/>
  <c r="BT289" i="1"/>
  <c r="BU289" i="1"/>
  <c r="BV289" i="1"/>
  <c r="BW289" i="1"/>
  <c r="BX289" i="1"/>
  <c r="BY289" i="1"/>
  <c r="CB289" i="1"/>
  <c r="CC289" i="1"/>
  <c r="CD289" i="1"/>
  <c r="CE289" i="1"/>
  <c r="CF289" i="1"/>
  <c r="CG289" i="1"/>
  <c r="CH289" i="1"/>
  <c r="CI289" i="1"/>
  <c r="CJ289" i="1"/>
  <c r="CK289" i="1"/>
  <c r="BK289" i="1"/>
  <c r="BR290" i="1"/>
  <c r="BT290" i="1"/>
  <c r="BU290" i="1"/>
  <c r="BV290" i="1"/>
  <c r="BW290" i="1"/>
  <c r="BX290" i="1"/>
  <c r="BY290" i="1"/>
  <c r="CB290" i="1"/>
  <c r="CC290" i="1"/>
  <c r="CD290" i="1"/>
  <c r="CE290" i="1"/>
  <c r="CF290" i="1"/>
  <c r="CG290" i="1"/>
  <c r="CH290" i="1"/>
  <c r="CI290" i="1"/>
  <c r="CJ290" i="1"/>
  <c r="CK290" i="1"/>
  <c r="CU291" i="1"/>
  <c r="BR292" i="1"/>
  <c r="BT292" i="1"/>
  <c r="BU292" i="1"/>
  <c r="BV292" i="1"/>
  <c r="BW292" i="1"/>
  <c r="BX292" i="1"/>
  <c r="BY292" i="1"/>
  <c r="CB292" i="1"/>
  <c r="CC292" i="1"/>
  <c r="CD292" i="1"/>
  <c r="CE292" i="1"/>
  <c r="CF292" i="1"/>
  <c r="CG292" i="1"/>
  <c r="CH292" i="1"/>
  <c r="CI292" i="1"/>
  <c r="CJ292" i="1"/>
  <c r="CK292" i="1"/>
  <c r="BK292" i="1"/>
  <c r="BN292" i="1" s="1"/>
  <c r="BR293" i="1"/>
  <c r="BT293" i="1"/>
  <c r="BU293" i="1"/>
  <c r="BV293" i="1"/>
  <c r="BW293" i="1"/>
  <c r="BX293" i="1"/>
  <c r="BY293" i="1"/>
  <c r="CB293" i="1"/>
  <c r="CC293" i="1"/>
  <c r="CD293" i="1"/>
  <c r="CE293" i="1"/>
  <c r="CF293" i="1"/>
  <c r="CG293" i="1"/>
  <c r="CH293" i="1"/>
  <c r="CI293" i="1"/>
  <c r="CJ293" i="1"/>
  <c r="CK293" i="1"/>
  <c r="CU294" i="1"/>
  <c r="BR295" i="1"/>
  <c r="BT295" i="1"/>
  <c r="BU295" i="1"/>
  <c r="BV295" i="1"/>
  <c r="BW295" i="1"/>
  <c r="BX295" i="1"/>
  <c r="BY295" i="1"/>
  <c r="CB295" i="1"/>
  <c r="CC295" i="1"/>
  <c r="CD295" i="1"/>
  <c r="CE295" i="1"/>
  <c r="CF295" i="1"/>
  <c r="CG295" i="1"/>
  <c r="CH295" i="1"/>
  <c r="CI295" i="1"/>
  <c r="CJ295" i="1"/>
  <c r="CK295" i="1"/>
  <c r="BK295" i="1"/>
  <c r="BN295" i="1" s="1"/>
  <c r="CU145" i="1"/>
  <c r="BR146" i="1"/>
  <c r="BT146" i="1"/>
  <c r="BU146" i="1"/>
  <c r="BV146" i="1"/>
  <c r="BW146" i="1"/>
  <c r="BX146" i="1"/>
  <c r="BY146" i="1"/>
  <c r="CB146" i="1"/>
  <c r="CC146" i="1"/>
  <c r="CD146" i="1"/>
  <c r="CE146" i="1"/>
  <c r="CF146" i="1"/>
  <c r="CG146" i="1"/>
  <c r="CH146" i="1"/>
  <c r="CI146" i="1"/>
  <c r="CJ146" i="1"/>
  <c r="CK146" i="1"/>
  <c r="BK146" i="1"/>
  <c r="BN146" i="1" s="1"/>
  <c r="CU296" i="1"/>
  <c r="BR297" i="1"/>
  <c r="BT297" i="1"/>
  <c r="BU297" i="1"/>
  <c r="BV297" i="1"/>
  <c r="BW297" i="1"/>
  <c r="BX297" i="1"/>
  <c r="BY297" i="1"/>
  <c r="CB297" i="1"/>
  <c r="CC297" i="1"/>
  <c r="CD297" i="1"/>
  <c r="CE297" i="1"/>
  <c r="CF297" i="1"/>
  <c r="CG297" i="1"/>
  <c r="CH297" i="1"/>
  <c r="CI297" i="1"/>
  <c r="CJ297" i="1"/>
  <c r="CK297" i="1"/>
  <c r="BK297" i="1"/>
  <c r="BN297" i="1" s="1"/>
  <c r="BR298" i="1"/>
  <c r="BT298" i="1"/>
  <c r="BU298" i="1"/>
  <c r="BV298" i="1"/>
  <c r="BW298" i="1"/>
  <c r="BX298" i="1"/>
  <c r="BY298" i="1"/>
  <c r="CB298" i="1"/>
  <c r="CC298" i="1"/>
  <c r="CD298" i="1"/>
  <c r="CE298" i="1"/>
  <c r="CF298" i="1"/>
  <c r="CG298" i="1"/>
  <c r="CH298" i="1"/>
  <c r="CI298" i="1"/>
  <c r="CJ298" i="1"/>
  <c r="CK298" i="1"/>
  <c r="CU299" i="1"/>
  <c r="BR300" i="1"/>
  <c r="BT300" i="1"/>
  <c r="BU300" i="1"/>
  <c r="BV300" i="1"/>
  <c r="BW300" i="1"/>
  <c r="BX300" i="1"/>
  <c r="BY300" i="1"/>
  <c r="CB300" i="1"/>
  <c r="CC300" i="1"/>
  <c r="CD300" i="1"/>
  <c r="CE300" i="1"/>
  <c r="CF300" i="1"/>
  <c r="CG300" i="1"/>
  <c r="CH300" i="1"/>
  <c r="CI300" i="1"/>
  <c r="CJ300" i="1"/>
  <c r="CK300" i="1"/>
  <c r="BK300" i="1"/>
  <c r="BK301" i="1" s="1"/>
  <c r="BR301" i="1"/>
  <c r="BT301" i="1"/>
  <c r="BU301" i="1"/>
  <c r="BV301" i="1"/>
  <c r="BW301" i="1"/>
  <c r="BX301" i="1"/>
  <c r="BY301" i="1"/>
  <c r="CB301" i="1"/>
  <c r="CC301" i="1"/>
  <c r="CD301" i="1"/>
  <c r="CE301" i="1"/>
  <c r="CF301" i="1"/>
  <c r="CG301" i="1"/>
  <c r="CH301" i="1"/>
  <c r="CI301" i="1"/>
  <c r="CJ301" i="1"/>
  <c r="CK301" i="1"/>
  <c r="BR302" i="1"/>
  <c r="BT302" i="1"/>
  <c r="BU302" i="1"/>
  <c r="BV302" i="1"/>
  <c r="BW302" i="1"/>
  <c r="BX302" i="1"/>
  <c r="BY302" i="1"/>
  <c r="CB302" i="1"/>
  <c r="CC302" i="1"/>
  <c r="CD302" i="1"/>
  <c r="CE302" i="1"/>
  <c r="CF302" i="1"/>
  <c r="CG302" i="1"/>
  <c r="CH302" i="1"/>
  <c r="CI302" i="1"/>
  <c r="CJ302" i="1"/>
  <c r="CK302" i="1"/>
  <c r="CU155" i="1"/>
  <c r="BR156" i="1"/>
  <c r="BT156" i="1"/>
  <c r="BU156" i="1"/>
  <c r="BV156" i="1"/>
  <c r="BW156" i="1"/>
  <c r="BX156" i="1"/>
  <c r="BY156" i="1"/>
  <c r="CB156" i="1"/>
  <c r="CC156" i="1"/>
  <c r="CD156" i="1"/>
  <c r="CE156" i="1"/>
  <c r="CF156" i="1"/>
  <c r="CG156" i="1"/>
  <c r="CH156" i="1"/>
  <c r="CI156" i="1"/>
  <c r="CJ156" i="1"/>
  <c r="CK156" i="1"/>
  <c r="BK156" i="1"/>
  <c r="BK157" i="1" s="1"/>
  <c r="BM156" i="1"/>
  <c r="BM157" i="1" s="1"/>
  <c r="BL156" i="1"/>
  <c r="BL157" i="1" s="1"/>
  <c r="BR157" i="1"/>
  <c r="BT157" i="1"/>
  <c r="BU157" i="1"/>
  <c r="BV157" i="1"/>
  <c r="BW157" i="1"/>
  <c r="BX157" i="1"/>
  <c r="BY157" i="1"/>
  <c r="CB157" i="1"/>
  <c r="CC157" i="1"/>
  <c r="CD157" i="1"/>
  <c r="CE157" i="1"/>
  <c r="CF157" i="1"/>
  <c r="CG157" i="1"/>
  <c r="CH157" i="1"/>
  <c r="CI157" i="1"/>
  <c r="CJ157" i="1"/>
  <c r="CK157" i="1"/>
  <c r="CU184" i="1"/>
  <c r="BR185" i="1"/>
  <c r="BT185" i="1"/>
  <c r="BU185" i="1"/>
  <c r="BV185" i="1"/>
  <c r="BW185" i="1"/>
  <c r="BX185" i="1"/>
  <c r="BY185" i="1"/>
  <c r="CB185" i="1"/>
  <c r="CC185" i="1"/>
  <c r="CD185" i="1"/>
  <c r="CE185" i="1"/>
  <c r="CF185" i="1"/>
  <c r="CG185" i="1"/>
  <c r="CH185" i="1"/>
  <c r="CI185" i="1"/>
  <c r="CJ185" i="1"/>
  <c r="CK185" i="1"/>
  <c r="BK185" i="1"/>
  <c r="BR186" i="1"/>
  <c r="BT186" i="1"/>
  <c r="BU186" i="1"/>
  <c r="BV186" i="1"/>
  <c r="BW186" i="1"/>
  <c r="BX186" i="1"/>
  <c r="BY186" i="1"/>
  <c r="CB186" i="1"/>
  <c r="CC186" i="1"/>
  <c r="CD186" i="1"/>
  <c r="CE186" i="1"/>
  <c r="CF186" i="1"/>
  <c r="CG186" i="1"/>
  <c r="CH186" i="1"/>
  <c r="CI186" i="1"/>
  <c r="CJ186" i="1"/>
  <c r="CK186" i="1"/>
  <c r="CU303" i="1"/>
  <c r="BR304" i="1"/>
  <c r="BT304" i="1"/>
  <c r="BU304" i="1"/>
  <c r="BV304" i="1"/>
  <c r="BW304" i="1"/>
  <c r="BX304" i="1"/>
  <c r="BY304" i="1"/>
  <c r="CB304" i="1"/>
  <c r="CC304" i="1"/>
  <c r="CD304" i="1"/>
  <c r="CE304" i="1"/>
  <c r="CF304" i="1"/>
  <c r="CG304" i="1"/>
  <c r="CH304" i="1"/>
  <c r="CI304" i="1"/>
  <c r="CJ304" i="1"/>
  <c r="CK304" i="1"/>
  <c r="BK304" i="1"/>
  <c r="BK305" i="1" s="1"/>
  <c r="BN305" i="1" s="1"/>
  <c r="BR305" i="1"/>
  <c r="BT305" i="1"/>
  <c r="BU305" i="1"/>
  <c r="BV305" i="1"/>
  <c r="BW305" i="1"/>
  <c r="BX305" i="1"/>
  <c r="BY305" i="1"/>
  <c r="CB305" i="1"/>
  <c r="CC305" i="1"/>
  <c r="CD305" i="1"/>
  <c r="CE305" i="1"/>
  <c r="CF305" i="1"/>
  <c r="CG305" i="1"/>
  <c r="CH305" i="1"/>
  <c r="CI305" i="1"/>
  <c r="CJ305" i="1"/>
  <c r="CK305" i="1"/>
  <c r="AL49" i="1"/>
  <c r="AL50" i="1" s="1"/>
  <c r="AL51" i="1" s="1"/>
  <c r="AL52" i="1" s="1"/>
  <c r="AL53" i="1" s="1"/>
  <c r="AL102" i="1"/>
  <c r="AL103" i="1" s="1"/>
  <c r="AL104" i="1" s="1"/>
  <c r="AL105" i="1" s="1"/>
  <c r="AL106" i="1" s="1"/>
  <c r="AL107" i="1" s="1"/>
  <c r="AL108" i="1" s="1"/>
  <c r="AL109" i="1" s="1"/>
  <c r="AL16" i="1"/>
  <c r="AL17" i="1" s="1"/>
  <c r="AL18" i="1" s="1"/>
  <c r="AL19" i="1" s="1"/>
  <c r="AL82" i="1"/>
  <c r="AL83" i="1" s="1"/>
  <c r="AL84" i="1" s="1"/>
  <c r="AL85" i="1" s="1"/>
  <c r="AL86" i="1" s="1"/>
  <c r="BL300" i="1"/>
  <c r="BL301" i="1" s="1"/>
  <c r="BL302" i="1" s="1"/>
  <c r="BM300" i="1"/>
  <c r="BM301" i="1" s="1"/>
  <c r="BM302" i="1" s="1"/>
  <c r="BL269" i="1"/>
  <c r="BL270" i="1" s="1"/>
  <c r="BL271" i="1" s="1"/>
  <c r="BL272" i="1" s="1"/>
  <c r="BM269" i="1"/>
  <c r="BM270" i="1" s="1"/>
  <c r="BM271" i="1" s="1"/>
  <c r="BM272" i="1" s="1"/>
  <c r="AL92" i="1"/>
  <c r="AL93" i="1" s="1"/>
  <c r="AL94" i="1" s="1"/>
  <c r="AL95" i="1" s="1"/>
  <c r="AL96" i="1" s="1"/>
  <c r="AV92" i="1"/>
  <c r="AV93" i="1" s="1"/>
  <c r="AV94" i="1" s="1"/>
  <c r="AV95" i="1" s="1"/>
  <c r="AV96" i="1" s="1"/>
  <c r="AW92" i="1"/>
  <c r="AW93" i="1" s="1"/>
  <c r="AW94" i="1" s="1"/>
  <c r="AW95" i="1" s="1"/>
  <c r="AW96" i="1" s="1"/>
  <c r="AY92" i="1"/>
  <c r="AY93" i="1" s="1"/>
  <c r="AY94" i="1" s="1"/>
  <c r="AY95" i="1" s="1"/>
  <c r="AY96" i="1" s="1"/>
  <c r="AZ91" i="1"/>
  <c r="AZ92" i="1" s="1"/>
  <c r="AZ93" i="1" s="1"/>
  <c r="AZ94" i="1" s="1"/>
  <c r="AZ95" i="1" s="1"/>
  <c r="AZ96" i="1" s="1"/>
  <c r="AX92" i="1"/>
  <c r="AX93" i="1" s="1"/>
  <c r="AX94" i="1" s="1"/>
  <c r="AX95" i="1" s="1"/>
  <c r="AX96" i="1" s="1"/>
  <c r="AL88" i="1"/>
  <c r="AL89" i="1" s="1"/>
  <c r="AL90" i="1" s="1"/>
  <c r="AL78" i="1"/>
  <c r="AL67" i="1"/>
  <c r="AL59" i="1"/>
  <c r="AL60" i="1" s="1"/>
  <c r="AL61" i="1" s="1"/>
  <c r="AL55" i="1"/>
  <c r="AL56" i="1" s="1"/>
  <c r="AL57" i="1" s="1"/>
  <c r="AL45" i="1"/>
  <c r="AL46" i="1" s="1"/>
  <c r="AL47" i="1" s="1"/>
  <c r="AL36" i="1"/>
  <c r="AL21" i="1"/>
  <c r="AL22" i="1" s="1"/>
  <c r="AL23" i="1" s="1"/>
  <c r="AL72" i="1"/>
  <c r="AL73" i="1" s="1"/>
  <c r="AL12" i="1"/>
  <c r="AL13" i="1" s="1"/>
  <c r="AL14" i="1" s="1"/>
  <c r="AS12" i="1"/>
  <c r="AS49" i="1"/>
  <c r="GA49" i="1" s="1"/>
  <c r="AS72" i="1"/>
  <c r="AS102" i="1"/>
  <c r="AS16" i="1"/>
  <c r="AS21" i="1"/>
  <c r="AS36" i="1"/>
  <c r="AS38" i="1" s="1"/>
  <c r="AS45" i="1"/>
  <c r="AS55" i="1"/>
  <c r="AS59" i="1"/>
  <c r="AS67" i="1"/>
  <c r="GA67" i="1" s="1"/>
  <c r="AS88" i="1"/>
  <c r="DC146" i="1"/>
  <c r="J145" i="1" s="1"/>
  <c r="DA146" i="1"/>
  <c r="CZ146" i="1" s="1"/>
  <c r="BM146" i="1"/>
  <c r="BL146" i="1"/>
  <c r="FS145" i="1"/>
  <c r="FR145" i="1"/>
  <c r="FL145" i="1"/>
  <c r="FK145" i="1"/>
  <c r="FF145" i="1"/>
  <c r="FE145" i="1"/>
  <c r="EY145" i="1"/>
  <c r="ES145" i="1"/>
  <c r="EM145" i="1"/>
  <c r="EH145" i="1"/>
  <c r="EC145" i="1"/>
  <c r="EB145" i="1"/>
  <c r="EA145" i="1"/>
  <c r="DZ145" i="1"/>
  <c r="DX145" i="1"/>
  <c r="DW145" i="1"/>
  <c r="DN145" i="1"/>
  <c r="DM145" i="1"/>
  <c r="DJ145" i="1"/>
  <c r="DK145" i="1" s="1"/>
  <c r="DI145" i="1"/>
  <c r="DB145" i="1"/>
  <c r="CZ145" i="1"/>
  <c r="CY145" i="1"/>
  <c r="CN145" i="1"/>
  <c r="CB145" i="1"/>
  <c r="BT145" i="1"/>
  <c r="BN145" i="1"/>
  <c r="BE145" i="1"/>
  <c r="BD145" i="1"/>
  <c r="DB157" i="1"/>
  <c r="CZ157" i="1"/>
  <c r="DC156" i="1"/>
  <c r="J155" i="1" s="1"/>
  <c r="DA156" i="1"/>
  <c r="CZ156" i="1" s="1"/>
  <c r="FS155" i="1"/>
  <c r="FR155" i="1"/>
  <c r="FL155" i="1"/>
  <c r="FK155" i="1"/>
  <c r="FF155" i="1"/>
  <c r="FE155" i="1"/>
  <c r="EY155" i="1"/>
  <c r="ES155" i="1"/>
  <c r="EM155" i="1"/>
  <c r="EH155" i="1"/>
  <c r="EC155" i="1"/>
  <c r="EB155" i="1"/>
  <c r="EA155" i="1"/>
  <c r="DZ155" i="1"/>
  <c r="DX155" i="1"/>
  <c r="DW155" i="1"/>
  <c r="DN155" i="1"/>
  <c r="DM155" i="1"/>
  <c r="DJ155" i="1"/>
  <c r="DK155" i="1" s="1"/>
  <c r="DI155" i="1"/>
  <c r="DB155" i="1"/>
  <c r="CZ155" i="1"/>
  <c r="CY155" i="1"/>
  <c r="CN155" i="1"/>
  <c r="CB155" i="1"/>
  <c r="BT155" i="1"/>
  <c r="BN155" i="1"/>
  <c r="BE155" i="1"/>
  <c r="BD155" i="1"/>
  <c r="FS305" i="1"/>
  <c r="FL305" i="1"/>
  <c r="FF305" i="1"/>
  <c r="EC305" i="1"/>
  <c r="EA305" i="1"/>
  <c r="DN305" i="1"/>
  <c r="DB305" i="1"/>
  <c r="CZ305" i="1"/>
  <c r="BM304" i="1"/>
  <c r="BM305" i="1" s="1"/>
  <c r="BL304" i="1"/>
  <c r="BL305" i="1" s="1"/>
  <c r="DC304" i="1"/>
  <c r="J303" i="1" s="1"/>
  <c r="DA304" i="1"/>
  <c r="CZ304" i="1" s="1"/>
  <c r="FS303" i="1"/>
  <c r="FR303" i="1"/>
  <c r="FL303" i="1"/>
  <c r="FK303" i="1"/>
  <c r="FF303" i="1"/>
  <c r="FE303" i="1"/>
  <c r="EY303" i="1"/>
  <c r="ES303" i="1"/>
  <c r="EM303" i="1"/>
  <c r="EH303" i="1"/>
  <c r="EC303" i="1"/>
  <c r="EB303" i="1"/>
  <c r="EA303" i="1"/>
  <c r="DZ303" i="1"/>
  <c r="DX303" i="1"/>
  <c r="DW303" i="1"/>
  <c r="DN303" i="1"/>
  <c r="DM303" i="1"/>
  <c r="DJ303" i="1"/>
  <c r="DK303" i="1" s="1"/>
  <c r="DI303" i="1"/>
  <c r="DB303" i="1"/>
  <c r="CZ303" i="1"/>
  <c r="CY303" i="1"/>
  <c r="CN303" i="1"/>
  <c r="CB303" i="1"/>
  <c r="BT303" i="1"/>
  <c r="BN303" i="1"/>
  <c r="BE303" i="1"/>
  <c r="BD303" i="1"/>
  <c r="FS298" i="1"/>
  <c r="FL298" i="1"/>
  <c r="FF298" i="1"/>
  <c r="EC298" i="1"/>
  <c r="EA298" i="1"/>
  <c r="DN298" i="1"/>
  <c r="DB298" i="1"/>
  <c r="CZ298" i="1"/>
  <c r="BM297" i="1"/>
  <c r="BM298" i="1" s="1"/>
  <c r="BL297" i="1"/>
  <c r="BL298" i="1" s="1"/>
  <c r="FS297" i="1"/>
  <c r="FL297" i="1"/>
  <c r="FF297" i="1"/>
  <c r="EC297" i="1"/>
  <c r="EA297" i="1"/>
  <c r="DN297" i="1"/>
  <c r="DC297" i="1"/>
  <c r="J296" i="1" s="1"/>
  <c r="DA297" i="1"/>
  <c r="CZ297" i="1" s="1"/>
  <c r="FS296" i="1"/>
  <c r="FR296" i="1"/>
  <c r="FL296" i="1"/>
  <c r="FK296" i="1"/>
  <c r="FF296" i="1"/>
  <c r="FE296" i="1"/>
  <c r="EY296" i="1"/>
  <c r="ES296" i="1"/>
  <c r="EM296" i="1"/>
  <c r="EH296" i="1"/>
  <c r="EC296" i="1"/>
  <c r="EB296" i="1"/>
  <c r="EA296" i="1"/>
  <c r="DZ296" i="1"/>
  <c r="DX296" i="1"/>
  <c r="DW296" i="1"/>
  <c r="DN296" i="1"/>
  <c r="DM296" i="1"/>
  <c r="DJ296" i="1"/>
  <c r="DK296" i="1" s="1"/>
  <c r="DI296" i="1"/>
  <c r="DB296" i="1"/>
  <c r="CZ296" i="1"/>
  <c r="CY296" i="1"/>
  <c r="CN296" i="1"/>
  <c r="CI296" i="1"/>
  <c r="CB296" i="1"/>
  <c r="BT296" i="1"/>
  <c r="BN296" i="1"/>
  <c r="BE296" i="1"/>
  <c r="BD296" i="1"/>
  <c r="FS293" i="1"/>
  <c r="FL293" i="1"/>
  <c r="FF293" i="1"/>
  <c r="EC293" i="1"/>
  <c r="EA293" i="1"/>
  <c r="DN293" i="1"/>
  <c r="DB293" i="1"/>
  <c r="CZ293" i="1"/>
  <c r="BM292" i="1"/>
  <c r="BM293" i="1" s="1"/>
  <c r="BL292" i="1"/>
  <c r="BL293" i="1" s="1"/>
  <c r="FS292" i="1"/>
  <c r="FL292" i="1"/>
  <c r="FF292" i="1"/>
  <c r="EC292" i="1"/>
  <c r="EA292" i="1"/>
  <c r="DN292" i="1"/>
  <c r="DC292" i="1"/>
  <c r="J291" i="1" s="1"/>
  <c r="DA292" i="1"/>
  <c r="CZ292" i="1" s="1"/>
  <c r="FS291" i="1"/>
  <c r="FR291" i="1"/>
  <c r="FL291" i="1"/>
  <c r="FK291" i="1"/>
  <c r="FF291" i="1"/>
  <c r="FE291" i="1"/>
  <c r="EY291" i="1"/>
  <c r="ES291" i="1"/>
  <c r="EM291" i="1"/>
  <c r="EH291" i="1"/>
  <c r="EC291" i="1"/>
  <c r="EB291" i="1"/>
  <c r="EA291" i="1"/>
  <c r="DZ291" i="1"/>
  <c r="DX291" i="1"/>
  <c r="DW291" i="1"/>
  <c r="DN291" i="1"/>
  <c r="DM291" i="1"/>
  <c r="DJ291" i="1"/>
  <c r="DK291" i="1" s="1"/>
  <c r="DI291" i="1"/>
  <c r="DB291" i="1"/>
  <c r="CZ291" i="1"/>
  <c r="CY291" i="1"/>
  <c r="CN291" i="1"/>
  <c r="CI291" i="1"/>
  <c r="CB291" i="1"/>
  <c r="BT291" i="1"/>
  <c r="BN291" i="1"/>
  <c r="BE291" i="1"/>
  <c r="BD291" i="1"/>
  <c r="CI184" i="1"/>
  <c r="BM185" i="1"/>
  <c r="BM186" i="1" s="1"/>
  <c r="BL185" i="1"/>
  <c r="BL186" i="1" s="1"/>
  <c r="FS186" i="1"/>
  <c r="FL186" i="1"/>
  <c r="FF186" i="1"/>
  <c r="EC186" i="1"/>
  <c r="EA186" i="1"/>
  <c r="DN186" i="1"/>
  <c r="DB186" i="1"/>
  <c r="CZ186" i="1"/>
  <c r="FS185" i="1"/>
  <c r="FL185" i="1"/>
  <c r="FF185" i="1"/>
  <c r="EC185" i="1"/>
  <c r="EA185" i="1"/>
  <c r="DN185" i="1"/>
  <c r="DC185" i="1"/>
  <c r="J184" i="1" s="1"/>
  <c r="DA185" i="1"/>
  <c r="CZ185" i="1" s="1"/>
  <c r="FS184" i="1"/>
  <c r="FR184" i="1"/>
  <c r="FL184" i="1"/>
  <c r="FK184" i="1"/>
  <c r="FF184" i="1"/>
  <c r="FE184" i="1"/>
  <c r="EY184" i="1"/>
  <c r="ES184" i="1"/>
  <c r="EM184" i="1"/>
  <c r="EH184" i="1"/>
  <c r="EC184" i="1"/>
  <c r="EB184" i="1"/>
  <c r="EA184" i="1"/>
  <c r="DZ184" i="1"/>
  <c r="DX184" i="1"/>
  <c r="DW184" i="1"/>
  <c r="DN184" i="1"/>
  <c r="DM184" i="1"/>
  <c r="DJ184" i="1"/>
  <c r="DK184" i="1" s="1"/>
  <c r="DI184" i="1"/>
  <c r="DB184" i="1"/>
  <c r="CZ184" i="1"/>
  <c r="CY184" i="1"/>
  <c r="CN184" i="1"/>
  <c r="CB184" i="1"/>
  <c r="BT184" i="1"/>
  <c r="BN184" i="1"/>
  <c r="BE184" i="1"/>
  <c r="BD184" i="1"/>
  <c r="AO11" i="1"/>
  <c r="AO48" i="1"/>
  <c r="AO101" i="1"/>
  <c r="AO15" i="1"/>
  <c r="AO20" i="1"/>
  <c r="AO35" i="1"/>
  <c r="AO54" i="1"/>
  <c r="AO58" i="1"/>
  <c r="AO66" i="1"/>
  <c r="AO77" i="1"/>
  <c r="AO81" i="1"/>
  <c r="AO87" i="1"/>
  <c r="AO91" i="1"/>
  <c r="BD213" i="1"/>
  <c r="BE213" i="1"/>
  <c r="BN213" i="1"/>
  <c r="BT213" i="1"/>
  <c r="CB213" i="1"/>
  <c r="CN213" i="1"/>
  <c r="CY213" i="1"/>
  <c r="DI213" i="1"/>
  <c r="DJ213" i="1"/>
  <c r="DK213" i="1" s="1"/>
  <c r="DM213" i="1"/>
  <c r="DN213" i="1"/>
  <c r="DW213" i="1"/>
  <c r="DX213" i="1"/>
  <c r="DZ213" i="1"/>
  <c r="EA213" i="1"/>
  <c r="EB213" i="1"/>
  <c r="EC213" i="1"/>
  <c r="EH213" i="1"/>
  <c r="EM213" i="1"/>
  <c r="ES213" i="1"/>
  <c r="EY213" i="1"/>
  <c r="FE213" i="1"/>
  <c r="FF213" i="1"/>
  <c r="FK213" i="1"/>
  <c r="FL213" i="1"/>
  <c r="FR213" i="1"/>
  <c r="FS213" i="1"/>
  <c r="BX198" i="1"/>
  <c r="FS201" i="1"/>
  <c r="FL201" i="1"/>
  <c r="FF201" i="1"/>
  <c r="EC201" i="1"/>
  <c r="EA201" i="1"/>
  <c r="DN201" i="1"/>
  <c r="DB201" i="1"/>
  <c r="CZ201" i="1"/>
  <c r="CN201" i="1"/>
  <c r="FS200" i="1"/>
  <c r="FL200" i="1"/>
  <c r="FF200" i="1"/>
  <c r="EC200" i="1"/>
  <c r="EA200" i="1"/>
  <c r="DN200" i="1"/>
  <c r="DB200" i="1"/>
  <c r="CZ200" i="1"/>
  <c r="CN200" i="1"/>
  <c r="FS199" i="1"/>
  <c r="FL199" i="1"/>
  <c r="FF199" i="1"/>
  <c r="EC199" i="1"/>
  <c r="EA199" i="1"/>
  <c r="DN199" i="1"/>
  <c r="DC199" i="1"/>
  <c r="DA199" i="1"/>
  <c r="CZ199" i="1" s="1"/>
  <c r="BM199" i="1"/>
  <c r="BM200" i="1" s="1"/>
  <c r="BM201" i="1" s="1"/>
  <c r="BL199" i="1"/>
  <c r="BL200" i="1" s="1"/>
  <c r="BL201" i="1" s="1"/>
  <c r="FS198" i="1"/>
  <c r="FR198" i="1"/>
  <c r="FL198" i="1"/>
  <c r="FK198" i="1"/>
  <c r="FF198" i="1"/>
  <c r="FE198" i="1"/>
  <c r="EY198" i="1"/>
  <c r="ES198" i="1"/>
  <c r="EM198" i="1"/>
  <c r="EH198" i="1"/>
  <c r="EC198" i="1"/>
  <c r="EB198" i="1"/>
  <c r="EA198" i="1"/>
  <c r="DZ198" i="1"/>
  <c r="DX198" i="1"/>
  <c r="DW198" i="1"/>
  <c r="DN198" i="1"/>
  <c r="DM198" i="1"/>
  <c r="DJ198" i="1"/>
  <c r="DK198" i="1" s="1"/>
  <c r="DI198" i="1"/>
  <c r="DB198" i="1"/>
  <c r="CZ198" i="1"/>
  <c r="CY198" i="1"/>
  <c r="CN198" i="1"/>
  <c r="CB198" i="1"/>
  <c r="BT198" i="1"/>
  <c r="BN198" i="1"/>
  <c r="BE198" i="1"/>
  <c r="BD198" i="1"/>
  <c r="BN294" i="1"/>
  <c r="BN299" i="1"/>
  <c r="BN306" i="1"/>
  <c r="BN250" i="1"/>
  <c r="BN254" i="1"/>
  <c r="BN257" i="1"/>
  <c r="BN264" i="1"/>
  <c r="BN268" i="1"/>
  <c r="BN276" i="1"/>
  <c r="BN282" i="1"/>
  <c r="BN285" i="1"/>
  <c r="BN288" i="1"/>
  <c r="BN11" i="1"/>
  <c r="BN48" i="1"/>
  <c r="BN71" i="1"/>
  <c r="BN101" i="1"/>
  <c r="BN15" i="1"/>
  <c r="BN20" i="1"/>
  <c r="BN28" i="1"/>
  <c r="BN35" i="1"/>
  <c r="BN44" i="1"/>
  <c r="BN54" i="1"/>
  <c r="BN58" i="1"/>
  <c r="BN66" i="1"/>
  <c r="BN62" i="1"/>
  <c r="BN192" i="1"/>
  <c r="BN77" i="1"/>
  <c r="BN81" i="1"/>
  <c r="BN87" i="1"/>
  <c r="BN91" i="1"/>
  <c r="BN114" i="1"/>
  <c r="BN202" i="1"/>
  <c r="BN214" i="1"/>
  <c r="BN219" i="1"/>
  <c r="BN223" i="1"/>
  <c r="BN230" i="1"/>
  <c r="BN236" i="1"/>
  <c r="BN122" i="1"/>
  <c r="BN243" i="1"/>
  <c r="FS23" i="1"/>
  <c r="FL23" i="1"/>
  <c r="FF23" i="1"/>
  <c r="EC23" i="1"/>
  <c r="EA23" i="1"/>
  <c r="DN23" i="1"/>
  <c r="DB23" i="1"/>
  <c r="CZ23" i="1"/>
  <c r="J23" i="1"/>
  <c r="I23" i="1"/>
  <c r="FS22" i="1"/>
  <c r="FL22" i="1"/>
  <c r="FF22" i="1"/>
  <c r="EC22" i="1"/>
  <c r="EA22" i="1"/>
  <c r="DN22" i="1"/>
  <c r="DB22" i="1"/>
  <c r="CZ22" i="1"/>
  <c r="J22" i="1"/>
  <c r="CN22" i="1" s="1"/>
  <c r="I22" i="1"/>
  <c r="C22" i="1"/>
  <c r="DC21" i="1"/>
  <c r="J20" i="1" s="1"/>
  <c r="DA21" i="1"/>
  <c r="BM21" i="1"/>
  <c r="BM22" i="1" s="1"/>
  <c r="BM23" i="1" s="1"/>
  <c r="BL21" i="1"/>
  <c r="BL22" i="1" s="1"/>
  <c r="BL23" i="1" s="1"/>
  <c r="AX21" i="1"/>
  <c r="AX22" i="1" s="1"/>
  <c r="AX23" i="1" s="1"/>
  <c r="AY21" i="1"/>
  <c r="AY22" i="1" s="1"/>
  <c r="AY23" i="1" s="1"/>
  <c r="AW21" i="1"/>
  <c r="AW22" i="1" s="1"/>
  <c r="AW23" i="1" s="1"/>
  <c r="AV21" i="1"/>
  <c r="AV22" i="1" s="1"/>
  <c r="AV23" i="1" s="1"/>
  <c r="J21" i="1"/>
  <c r="I21" i="1"/>
  <c r="C21" i="1"/>
  <c r="C23" i="1" s="1"/>
  <c r="FS20" i="1"/>
  <c r="FR20" i="1"/>
  <c r="FL20" i="1"/>
  <c r="FK20" i="1"/>
  <c r="FF20" i="1"/>
  <c r="FE20" i="1"/>
  <c r="EY20" i="1"/>
  <c r="ES20" i="1"/>
  <c r="EM20" i="1"/>
  <c r="EH20" i="1"/>
  <c r="EB20" i="1"/>
  <c r="DZ20" i="1"/>
  <c r="DX20" i="1"/>
  <c r="DW20" i="1"/>
  <c r="DU20" i="1"/>
  <c r="DT20" i="1"/>
  <c r="DS20" i="1"/>
  <c r="DR20" i="1"/>
  <c r="DQ20" i="1"/>
  <c r="DP20" i="1"/>
  <c r="DO20" i="1" s="1"/>
  <c r="DN20" i="1"/>
  <c r="DM20" i="1"/>
  <c r="DJ20" i="1"/>
  <c r="DK20" i="1" s="1"/>
  <c r="DI20" i="1"/>
  <c r="CY20" i="1"/>
  <c r="CN20" i="1"/>
  <c r="CB20" i="1"/>
  <c r="BT20" i="1"/>
  <c r="BE20" i="1"/>
  <c r="BD20" i="1"/>
  <c r="AZ20" i="1"/>
  <c r="AZ21" i="1" s="1"/>
  <c r="AZ22" i="1" s="1"/>
  <c r="AZ23" i="1" s="1"/>
  <c r="B20" i="1"/>
  <c r="AX88" i="1"/>
  <c r="AX89" i="1" s="1"/>
  <c r="AX90" i="1" s="1"/>
  <c r="AY88" i="1"/>
  <c r="AY89" i="1" s="1"/>
  <c r="AY90" i="1" s="1"/>
  <c r="AX82" i="1"/>
  <c r="AZ82" i="1"/>
  <c r="AZ83" i="1" s="1"/>
  <c r="AZ84" i="1" s="1"/>
  <c r="AZ85" i="1" s="1"/>
  <c r="AZ86" i="1" s="1"/>
  <c r="AY82" i="1"/>
  <c r="AY83" i="1" s="1"/>
  <c r="AY84" i="1" s="1"/>
  <c r="AY85" i="1" s="1"/>
  <c r="AY86" i="1" s="1"/>
  <c r="AX78" i="1"/>
  <c r="AZ78" i="1"/>
  <c r="AY78" i="1"/>
  <c r="AX67" i="1"/>
  <c r="AY67" i="1"/>
  <c r="AX59" i="1"/>
  <c r="AX60" i="1" s="1"/>
  <c r="AX61" i="1" s="1"/>
  <c r="AY59" i="1"/>
  <c r="AY60" i="1" s="1"/>
  <c r="AY61" i="1" s="1"/>
  <c r="AX55" i="1"/>
  <c r="AX56" i="1" s="1"/>
  <c r="AX57" i="1" s="1"/>
  <c r="AY55" i="1"/>
  <c r="AY56" i="1" s="1"/>
  <c r="AY57" i="1" s="1"/>
  <c r="AX45" i="1"/>
  <c r="AX46" i="1" s="1"/>
  <c r="AX47" i="1" s="1"/>
  <c r="AY45" i="1"/>
  <c r="AY46" i="1" s="1"/>
  <c r="AY47" i="1" s="1"/>
  <c r="AX36" i="1"/>
  <c r="AX38" i="1" s="1"/>
  <c r="AY36" i="1"/>
  <c r="AX16" i="1"/>
  <c r="AX17" i="1" s="1"/>
  <c r="AX18" i="1" s="1"/>
  <c r="AX19" i="1" s="1"/>
  <c r="AY16" i="1"/>
  <c r="AY17" i="1" s="1"/>
  <c r="AY18" i="1" s="1"/>
  <c r="AY19" i="1" s="1"/>
  <c r="AX102" i="1"/>
  <c r="AX103" i="1" s="1"/>
  <c r="AX104" i="1" s="1"/>
  <c r="AX105" i="1" s="1"/>
  <c r="AX106" i="1" s="1"/>
  <c r="AX107" i="1" s="1"/>
  <c r="AX108" i="1" s="1"/>
  <c r="AX109" i="1" s="1"/>
  <c r="AZ102" i="1"/>
  <c r="AZ103" i="1" s="1"/>
  <c r="AZ104" i="1" s="1"/>
  <c r="AZ105" i="1" s="1"/>
  <c r="AZ106" i="1" s="1"/>
  <c r="AZ107" i="1" s="1"/>
  <c r="AZ108" i="1" s="1"/>
  <c r="AZ109" i="1" s="1"/>
  <c r="AY102" i="1"/>
  <c r="AY103" i="1" s="1"/>
  <c r="AY104" i="1" s="1"/>
  <c r="AY105" i="1" s="1"/>
  <c r="AY106" i="1" s="1"/>
  <c r="AY107" i="1" s="1"/>
  <c r="AY108" i="1" s="1"/>
  <c r="AY109" i="1" s="1"/>
  <c r="AX72" i="1"/>
  <c r="AX73" i="1" s="1"/>
  <c r="AY72" i="1"/>
  <c r="AY73" i="1" s="1"/>
  <c r="AX49" i="1"/>
  <c r="AX50" i="1" s="1"/>
  <c r="AX51" i="1" s="1"/>
  <c r="AX52" i="1" s="1"/>
  <c r="AX53" i="1" s="1"/>
  <c r="AY49" i="1"/>
  <c r="AY50" i="1" s="1"/>
  <c r="AY51" i="1" s="1"/>
  <c r="AY52" i="1" s="1"/>
  <c r="AY53" i="1" s="1"/>
  <c r="AX12" i="1"/>
  <c r="AX13" i="1" s="1"/>
  <c r="AX14" i="1" s="1"/>
  <c r="AZ88" i="1"/>
  <c r="AZ89" i="1" s="1"/>
  <c r="AZ90" i="1" s="1"/>
  <c r="AZ67" i="1"/>
  <c r="AZ59" i="1"/>
  <c r="AZ60" i="1" s="1"/>
  <c r="AZ61" i="1" s="1"/>
  <c r="AZ55" i="1"/>
  <c r="AZ56" i="1" s="1"/>
  <c r="AZ57" i="1" s="1"/>
  <c r="AZ45" i="1"/>
  <c r="AZ46" i="1" s="1"/>
  <c r="AZ47" i="1" s="1"/>
  <c r="AZ36" i="1"/>
  <c r="AZ15" i="1"/>
  <c r="AZ16" i="1" s="1"/>
  <c r="AZ17" i="1" s="1"/>
  <c r="AZ18" i="1" s="1"/>
  <c r="AZ19" i="1" s="1"/>
  <c r="AZ72" i="1"/>
  <c r="AZ73" i="1" s="1"/>
  <c r="AZ48" i="1"/>
  <c r="AZ49" i="1" s="1"/>
  <c r="AZ50" i="1" s="1"/>
  <c r="AZ51" i="1" s="1"/>
  <c r="AZ52" i="1" s="1"/>
  <c r="AZ53" i="1" s="1"/>
  <c r="AZ12" i="1"/>
  <c r="AZ13" i="1" s="1"/>
  <c r="AZ14" i="1" s="1"/>
  <c r="AY12" i="1"/>
  <c r="AY13" i="1" s="1"/>
  <c r="AY14" i="1" s="1"/>
  <c r="AC101" i="1"/>
  <c r="FS51" i="1"/>
  <c r="FL51" i="1"/>
  <c r="FF51" i="1"/>
  <c r="EC51" i="1"/>
  <c r="EA51" i="1"/>
  <c r="DN51" i="1"/>
  <c r="DB51" i="1"/>
  <c r="CZ51" i="1"/>
  <c r="J51" i="1"/>
  <c r="CN51" i="1" s="1"/>
  <c r="I51" i="1"/>
  <c r="C51" i="1"/>
  <c r="FS105" i="1"/>
  <c r="FL105" i="1"/>
  <c r="FF105" i="1"/>
  <c r="EC105" i="1"/>
  <c r="EA105" i="1"/>
  <c r="DN105" i="1"/>
  <c r="DB105" i="1"/>
  <c r="CZ105" i="1"/>
  <c r="Y9" i="1"/>
  <c r="FS196" i="1"/>
  <c r="FL196" i="1"/>
  <c r="FF196" i="1"/>
  <c r="EC196" i="1"/>
  <c r="EA196" i="1"/>
  <c r="DN196" i="1"/>
  <c r="DB196" i="1"/>
  <c r="CZ196" i="1"/>
  <c r="CY11" i="1"/>
  <c r="CY48" i="1"/>
  <c r="CY71" i="1"/>
  <c r="CY101" i="1"/>
  <c r="CY15" i="1"/>
  <c r="CY28" i="1"/>
  <c r="CY35" i="1"/>
  <c r="CY44" i="1"/>
  <c r="CY54" i="1"/>
  <c r="CY58" i="1"/>
  <c r="CY66" i="1"/>
  <c r="CY62" i="1"/>
  <c r="CY192" i="1"/>
  <c r="CY77" i="1"/>
  <c r="CY81" i="1"/>
  <c r="CY87" i="1"/>
  <c r="CY91" i="1"/>
  <c r="CY114" i="1"/>
  <c r="CY202" i="1"/>
  <c r="CY214" i="1"/>
  <c r="CY219" i="1"/>
  <c r="CY223" i="1"/>
  <c r="CY230" i="1"/>
  <c r="CY236" i="1"/>
  <c r="CY122" i="1"/>
  <c r="CY243" i="1"/>
  <c r="CY248" i="1"/>
  <c r="CY282" i="1"/>
  <c r="CY285" i="1"/>
  <c r="CY288" i="1"/>
  <c r="CY249" i="1"/>
  <c r="CY276" i="1"/>
  <c r="CY250" i="1"/>
  <c r="CY254" i="1"/>
  <c r="CY257" i="1"/>
  <c r="CY264" i="1"/>
  <c r="CY268" i="1"/>
  <c r="CY306" i="1"/>
  <c r="CY281" i="1"/>
  <c r="CY299" i="1"/>
  <c r="CY294" i="1"/>
  <c r="FS301" i="1"/>
  <c r="FL301" i="1"/>
  <c r="FF301" i="1"/>
  <c r="EC301" i="1"/>
  <c r="EA301" i="1"/>
  <c r="DN301" i="1"/>
  <c r="DB301" i="1"/>
  <c r="CZ301" i="1"/>
  <c r="CN301" i="1"/>
  <c r="DC72" i="1"/>
  <c r="DA72" i="1"/>
  <c r="DA73" i="1" s="1"/>
  <c r="BM72" i="1"/>
  <c r="BM73" i="1" s="1"/>
  <c r="BL72" i="1"/>
  <c r="BL73" i="1" s="1"/>
  <c r="AW72" i="1"/>
  <c r="AW73" i="1" s="1"/>
  <c r="AV72" i="1"/>
  <c r="AV73" i="1" s="1"/>
  <c r="J72" i="1"/>
  <c r="I72" i="1"/>
  <c r="C72" i="1"/>
  <c r="C75" i="1" s="1"/>
  <c r="FS71" i="1"/>
  <c r="FR71" i="1"/>
  <c r="FL71" i="1"/>
  <c r="FK71" i="1"/>
  <c r="FF71" i="1"/>
  <c r="FE71" i="1"/>
  <c r="EY71" i="1"/>
  <c r="ES71" i="1"/>
  <c r="EM71" i="1"/>
  <c r="EH71" i="1"/>
  <c r="EC71" i="1"/>
  <c r="EB71" i="1"/>
  <c r="EA71" i="1"/>
  <c r="DZ71" i="1"/>
  <c r="DX71" i="1"/>
  <c r="DW71" i="1"/>
  <c r="DN71" i="1"/>
  <c r="DM71" i="1"/>
  <c r="DJ71" i="1"/>
  <c r="DK71" i="1" s="1"/>
  <c r="DI71" i="1"/>
  <c r="DB71" i="1"/>
  <c r="CN71" i="1"/>
  <c r="CB71" i="1"/>
  <c r="BT71" i="1"/>
  <c r="BE71" i="1"/>
  <c r="BD71" i="1"/>
  <c r="B71" i="1"/>
  <c r="BD214" i="1"/>
  <c r="BE214" i="1"/>
  <c r="BT214" i="1"/>
  <c r="CB214" i="1"/>
  <c r="CN214" i="1"/>
  <c r="DI214" i="1"/>
  <c r="DJ214" i="1"/>
  <c r="DK214" i="1" s="1"/>
  <c r="DM214" i="1"/>
  <c r="DN214" i="1"/>
  <c r="DW214" i="1"/>
  <c r="DX214" i="1"/>
  <c r="DZ214" i="1"/>
  <c r="EA214" i="1"/>
  <c r="EB214" i="1"/>
  <c r="EC214" i="1"/>
  <c r="EH214" i="1"/>
  <c r="EM214" i="1"/>
  <c r="ES214" i="1"/>
  <c r="EY214" i="1"/>
  <c r="FE214" i="1"/>
  <c r="FF214" i="1"/>
  <c r="FK214" i="1"/>
  <c r="FL214" i="1"/>
  <c r="FR214" i="1"/>
  <c r="FS214" i="1"/>
  <c r="X9" i="1"/>
  <c r="CN196" i="1"/>
  <c r="FS302" i="1"/>
  <c r="FL302" i="1"/>
  <c r="FF302" i="1"/>
  <c r="EC302" i="1"/>
  <c r="EA302" i="1"/>
  <c r="DN302" i="1"/>
  <c r="DB302" i="1"/>
  <c r="CZ302" i="1"/>
  <c r="FS300" i="1"/>
  <c r="FL300" i="1"/>
  <c r="FF300" i="1"/>
  <c r="EC300" i="1"/>
  <c r="EA300" i="1"/>
  <c r="DN300" i="1"/>
  <c r="DC300" i="1"/>
  <c r="J299" i="1" s="1"/>
  <c r="DA300" i="1"/>
  <c r="CZ300" i="1" s="1"/>
  <c r="FS299" i="1"/>
  <c r="FR299" i="1"/>
  <c r="FL299" i="1"/>
  <c r="FK299" i="1"/>
  <c r="FF299" i="1"/>
  <c r="FE299" i="1"/>
  <c r="EY299" i="1"/>
  <c r="ES299" i="1"/>
  <c r="EM299" i="1"/>
  <c r="EH299" i="1"/>
  <c r="EC299" i="1"/>
  <c r="EB299" i="1"/>
  <c r="EA299" i="1"/>
  <c r="DZ299" i="1"/>
  <c r="DX299" i="1"/>
  <c r="DW299" i="1"/>
  <c r="DN299" i="1"/>
  <c r="DM299" i="1"/>
  <c r="DJ299" i="1"/>
  <c r="DK299" i="1" s="1"/>
  <c r="DI299" i="1"/>
  <c r="DB299" i="1"/>
  <c r="CZ299" i="1"/>
  <c r="CN299" i="1"/>
  <c r="CB299" i="1"/>
  <c r="BT299" i="1"/>
  <c r="BE299" i="1"/>
  <c r="BD299" i="1"/>
  <c r="FS281" i="1"/>
  <c r="FR281" i="1"/>
  <c r="FL281" i="1"/>
  <c r="FK281" i="1"/>
  <c r="FF281" i="1"/>
  <c r="FE281" i="1"/>
  <c r="EY281" i="1"/>
  <c r="ES281" i="1"/>
  <c r="EM281" i="1"/>
  <c r="EH281" i="1"/>
  <c r="EC281" i="1"/>
  <c r="EB281" i="1"/>
  <c r="EA281" i="1"/>
  <c r="DZ281" i="1"/>
  <c r="DX281" i="1"/>
  <c r="DW281" i="1"/>
  <c r="DN281" i="1"/>
  <c r="DM281" i="1"/>
  <c r="DI281" i="1"/>
  <c r="DB281" i="1"/>
  <c r="CZ281" i="1"/>
  <c r="FS295" i="1"/>
  <c r="FL295" i="1"/>
  <c r="FF295" i="1"/>
  <c r="EC295" i="1"/>
  <c r="EA295" i="1"/>
  <c r="DN295" i="1"/>
  <c r="DC295" i="1"/>
  <c r="J294" i="1" s="1"/>
  <c r="DA295" i="1"/>
  <c r="CZ295" i="1" s="1"/>
  <c r="BM295" i="1"/>
  <c r="BL295" i="1"/>
  <c r="FS294" i="1"/>
  <c r="FR294" i="1"/>
  <c r="FL294" i="1"/>
  <c r="FK294" i="1"/>
  <c r="FF294" i="1"/>
  <c r="FE294" i="1"/>
  <c r="EY294" i="1"/>
  <c r="ES294" i="1"/>
  <c r="EM294" i="1"/>
  <c r="EH294" i="1"/>
  <c r="EC294" i="1"/>
  <c r="EB294" i="1"/>
  <c r="EA294" i="1"/>
  <c r="DZ294" i="1"/>
  <c r="DX294" i="1"/>
  <c r="DW294" i="1"/>
  <c r="DN294" i="1"/>
  <c r="DM294" i="1"/>
  <c r="DJ294" i="1"/>
  <c r="DK294" i="1" s="1"/>
  <c r="DI294" i="1"/>
  <c r="DB294" i="1"/>
  <c r="CZ294" i="1"/>
  <c r="CN294" i="1"/>
  <c r="CB294" i="1"/>
  <c r="BT294" i="1"/>
  <c r="BE294" i="1"/>
  <c r="BD294" i="1"/>
  <c r="Z9" i="1"/>
  <c r="AB9" i="1"/>
  <c r="AD9" i="1"/>
  <c r="AE9" i="1"/>
  <c r="AF9" i="1"/>
  <c r="R9" i="1"/>
  <c r="S9" i="1"/>
  <c r="T9" i="1"/>
  <c r="U9" i="1"/>
  <c r="AG9" i="1"/>
  <c r="CN306" i="1"/>
  <c r="CB306" i="1"/>
  <c r="BT306" i="1"/>
  <c r="CN268" i="1"/>
  <c r="CB268" i="1"/>
  <c r="BT268" i="1"/>
  <c r="CN264" i="1"/>
  <c r="CB264" i="1"/>
  <c r="BT264" i="1"/>
  <c r="CN257" i="1"/>
  <c r="CB257" i="1"/>
  <c r="BT257" i="1"/>
  <c r="CN254" i="1"/>
  <c r="CB254" i="1"/>
  <c r="BT254" i="1"/>
  <c r="CN250" i="1"/>
  <c r="CB250" i="1"/>
  <c r="BT250" i="1"/>
  <c r="CN276" i="1"/>
  <c r="CB276" i="1"/>
  <c r="BT276" i="1"/>
  <c r="CN288" i="1"/>
  <c r="CB288" i="1"/>
  <c r="BT288" i="1"/>
  <c r="CN285" i="1"/>
  <c r="CB285" i="1"/>
  <c r="BT285" i="1"/>
  <c r="CN282" i="1"/>
  <c r="CB282" i="1"/>
  <c r="BT282" i="1"/>
  <c r="CN243" i="1"/>
  <c r="CB243" i="1"/>
  <c r="BT243" i="1"/>
  <c r="CN122" i="1"/>
  <c r="CB122" i="1"/>
  <c r="BT122" i="1"/>
  <c r="CN236" i="1"/>
  <c r="CB236" i="1"/>
  <c r="BT236" i="1"/>
  <c r="CN101" i="1"/>
  <c r="CB101" i="1"/>
  <c r="BT101" i="1"/>
  <c r="CN230" i="1"/>
  <c r="CB230" i="1"/>
  <c r="BT230" i="1"/>
  <c r="CN223" i="1"/>
  <c r="CB223" i="1"/>
  <c r="BT223" i="1"/>
  <c r="CN219" i="1"/>
  <c r="CB219" i="1"/>
  <c r="BT219" i="1"/>
  <c r="CN202" i="1"/>
  <c r="CB202" i="1"/>
  <c r="BT202" i="1"/>
  <c r="CN114" i="1"/>
  <c r="CB114" i="1"/>
  <c r="BT114" i="1"/>
  <c r="CN91" i="1"/>
  <c r="CB91" i="1"/>
  <c r="BT91" i="1"/>
  <c r="CN87" i="1"/>
  <c r="CB87" i="1"/>
  <c r="BT87" i="1"/>
  <c r="CN81" i="1"/>
  <c r="CB81" i="1"/>
  <c r="BT81" i="1"/>
  <c r="CN77" i="1"/>
  <c r="CB77" i="1"/>
  <c r="BT77" i="1"/>
  <c r="CN192" i="1"/>
  <c r="CB192" i="1"/>
  <c r="BT192" i="1"/>
  <c r="CN62" i="1"/>
  <c r="CB62" i="1"/>
  <c r="BT62" i="1"/>
  <c r="CN66" i="1"/>
  <c r="CB66" i="1"/>
  <c r="BT66" i="1"/>
  <c r="CN58" i="1"/>
  <c r="CB58" i="1"/>
  <c r="BT58" i="1"/>
  <c r="CN48" i="1"/>
  <c r="CB48" i="1"/>
  <c r="BT48" i="1"/>
  <c r="CN54" i="1"/>
  <c r="CB54" i="1"/>
  <c r="BT54" i="1"/>
  <c r="CN44" i="1"/>
  <c r="CB44" i="1"/>
  <c r="BT44" i="1"/>
  <c r="CN35" i="1"/>
  <c r="CB35" i="1"/>
  <c r="BT35" i="1"/>
  <c r="CN28" i="1"/>
  <c r="CB28" i="1"/>
  <c r="BT28" i="1"/>
  <c r="CN15" i="1"/>
  <c r="CB15" i="1"/>
  <c r="BT15" i="1"/>
  <c r="CN11" i="1"/>
  <c r="BT11" i="1"/>
  <c r="CB11" i="1"/>
  <c r="FS65" i="1"/>
  <c r="FL65" i="1"/>
  <c r="FF65" i="1"/>
  <c r="EC65" i="1"/>
  <c r="EA65" i="1"/>
  <c r="DN65" i="1"/>
  <c r="DB65" i="1"/>
  <c r="CZ65" i="1"/>
  <c r="CN65" i="1"/>
  <c r="FS64" i="1"/>
  <c r="FL64" i="1"/>
  <c r="FF64" i="1"/>
  <c r="EC64" i="1"/>
  <c r="EA64" i="1"/>
  <c r="DN64" i="1"/>
  <c r="DB64" i="1"/>
  <c r="CZ64" i="1"/>
  <c r="CN64" i="1"/>
  <c r="FS63" i="1"/>
  <c r="FL63" i="1"/>
  <c r="FF63" i="1"/>
  <c r="EC63" i="1"/>
  <c r="EA63" i="1"/>
  <c r="DN63" i="1"/>
  <c r="DC63" i="1"/>
  <c r="J62" i="1" s="1"/>
  <c r="DA63" i="1"/>
  <c r="CZ63" i="1" s="1"/>
  <c r="BM63" i="1"/>
  <c r="BM64" i="1" s="1"/>
  <c r="BM65" i="1" s="1"/>
  <c r="BL63" i="1"/>
  <c r="BL64" i="1" s="1"/>
  <c r="BL65" i="1" s="1"/>
  <c r="FS62" i="1"/>
  <c r="FR62" i="1"/>
  <c r="FL62" i="1"/>
  <c r="FK62" i="1"/>
  <c r="FF62" i="1"/>
  <c r="FE62" i="1"/>
  <c r="EY62" i="1"/>
  <c r="ES62" i="1"/>
  <c r="EM62" i="1"/>
  <c r="EH62" i="1"/>
  <c r="EC62" i="1"/>
  <c r="EB62" i="1"/>
  <c r="EA62" i="1"/>
  <c r="DZ62" i="1"/>
  <c r="DX62" i="1"/>
  <c r="DW62" i="1"/>
  <c r="DU62" i="1"/>
  <c r="DT62" i="1"/>
  <c r="DS62" i="1"/>
  <c r="DR62" i="1"/>
  <c r="DQ62" i="1"/>
  <c r="DP62" i="1"/>
  <c r="DO62" i="1" s="1"/>
  <c r="DN62" i="1"/>
  <c r="DM62" i="1"/>
  <c r="DJ62" i="1"/>
  <c r="DK62" i="1" s="1"/>
  <c r="DI62" i="1"/>
  <c r="DB62" i="1"/>
  <c r="CZ62" i="1"/>
  <c r="BE62" i="1"/>
  <c r="BD62" i="1"/>
  <c r="Y54" i="1"/>
  <c r="FS57" i="1"/>
  <c r="FL57" i="1"/>
  <c r="FF57" i="1"/>
  <c r="EC57" i="1"/>
  <c r="EA57" i="1"/>
  <c r="DN57" i="1"/>
  <c r="DB57" i="1"/>
  <c r="CZ57" i="1"/>
  <c r="J57" i="1"/>
  <c r="CN57" i="1" s="1"/>
  <c r="I57" i="1"/>
  <c r="FS56" i="1"/>
  <c r="FL56" i="1"/>
  <c r="FF56" i="1"/>
  <c r="EC56" i="1"/>
  <c r="EA56" i="1"/>
  <c r="DN56" i="1"/>
  <c r="DB56" i="1"/>
  <c r="CZ56" i="1"/>
  <c r="J56" i="1"/>
  <c r="I56" i="1"/>
  <c r="FS55" i="1"/>
  <c r="FL55" i="1"/>
  <c r="FF55" i="1"/>
  <c r="EC55" i="1"/>
  <c r="EA55" i="1"/>
  <c r="DN55" i="1"/>
  <c r="DC55" i="1"/>
  <c r="J54" i="1" s="1"/>
  <c r="DA55" i="1"/>
  <c r="BM55" i="1"/>
  <c r="BM56" i="1" s="1"/>
  <c r="BM57" i="1" s="1"/>
  <c r="BL55" i="1"/>
  <c r="BL56" i="1" s="1"/>
  <c r="BL57" i="1" s="1"/>
  <c r="AW55" i="1"/>
  <c r="AW56" i="1" s="1"/>
  <c r="AW57" i="1" s="1"/>
  <c r="AV55" i="1"/>
  <c r="AV56" i="1" s="1"/>
  <c r="AV57" i="1" s="1"/>
  <c r="J55" i="1"/>
  <c r="I55" i="1"/>
  <c r="C55" i="1"/>
  <c r="C56" i="1" s="1"/>
  <c r="C57" i="1" s="1"/>
  <c r="FS54" i="1"/>
  <c r="FL54" i="1"/>
  <c r="FF54" i="1"/>
  <c r="EC54" i="1"/>
  <c r="EA54" i="1"/>
  <c r="DZ54" i="1"/>
  <c r="DX54" i="1"/>
  <c r="DN54" i="1"/>
  <c r="DJ54" i="1"/>
  <c r="DK54" i="1" s="1"/>
  <c r="DI54" i="1"/>
  <c r="DB54" i="1"/>
  <c r="BE54" i="1"/>
  <c r="BD54" i="1"/>
  <c r="B54" i="1"/>
  <c r="FS310" i="1"/>
  <c r="FL310" i="1"/>
  <c r="FF310" i="1"/>
  <c r="EC310" i="1"/>
  <c r="EA310" i="1"/>
  <c r="DN310" i="1"/>
  <c r="DB310" i="1"/>
  <c r="CZ310" i="1"/>
  <c r="DB308" i="1"/>
  <c r="CZ308" i="1"/>
  <c r="CZ311" i="1"/>
  <c r="CZ309" i="1"/>
  <c r="CZ272" i="1"/>
  <c r="CZ271" i="1"/>
  <c r="CZ267" i="1"/>
  <c r="CZ266" i="1"/>
  <c r="CZ263" i="1"/>
  <c r="CZ262" i="1"/>
  <c r="CZ261" i="1"/>
  <c r="CZ260" i="1"/>
  <c r="CZ259" i="1"/>
  <c r="CZ256" i="1"/>
  <c r="CZ255" i="1"/>
  <c r="CZ254" i="1"/>
  <c r="CZ253" i="1"/>
  <c r="CZ252" i="1"/>
  <c r="CZ280" i="1"/>
  <c r="CZ279" i="1"/>
  <c r="CZ278" i="1"/>
  <c r="CZ276" i="1"/>
  <c r="CZ249" i="1"/>
  <c r="CZ290" i="1"/>
  <c r="CZ288" i="1"/>
  <c r="CZ286" i="1"/>
  <c r="CZ285" i="1"/>
  <c r="CZ284" i="1"/>
  <c r="CZ282" i="1"/>
  <c r="CZ248" i="1"/>
  <c r="CZ247" i="1"/>
  <c r="CZ246" i="1"/>
  <c r="CZ245" i="1"/>
  <c r="CZ243" i="1"/>
  <c r="CZ126" i="1"/>
  <c r="CZ125" i="1"/>
  <c r="CZ124" i="1"/>
  <c r="CZ242" i="1"/>
  <c r="CZ240" i="1"/>
  <c r="CZ239" i="1"/>
  <c r="CZ238" i="1"/>
  <c r="CZ109" i="1"/>
  <c r="CZ108" i="1"/>
  <c r="CZ107" i="1"/>
  <c r="CZ106" i="1"/>
  <c r="CZ104" i="1"/>
  <c r="CZ103" i="1"/>
  <c r="CZ235" i="1"/>
  <c r="CZ234" i="1"/>
  <c r="CZ233" i="1"/>
  <c r="CZ232" i="1"/>
  <c r="CZ230" i="1"/>
  <c r="CZ229" i="1"/>
  <c r="CZ228" i="1"/>
  <c r="CZ227" i="1"/>
  <c r="CZ226" i="1"/>
  <c r="CZ225" i="1"/>
  <c r="CZ222" i="1"/>
  <c r="CZ221" i="1"/>
  <c r="CZ219" i="1"/>
  <c r="CZ218" i="1"/>
  <c r="CZ217" i="1"/>
  <c r="CZ216" i="1"/>
  <c r="CZ212" i="1"/>
  <c r="CZ209" i="1"/>
  <c r="CZ208" i="1"/>
  <c r="CZ207" i="1"/>
  <c r="CZ206" i="1"/>
  <c r="CZ205" i="1"/>
  <c r="CZ202" i="1"/>
  <c r="CZ121" i="1"/>
  <c r="CZ120" i="1"/>
  <c r="CZ119" i="1"/>
  <c r="CZ118" i="1"/>
  <c r="CZ117" i="1"/>
  <c r="CZ116" i="1"/>
  <c r="CZ96" i="1"/>
  <c r="CZ95" i="1"/>
  <c r="CZ94" i="1"/>
  <c r="CZ93" i="1"/>
  <c r="CZ91" i="1"/>
  <c r="CZ90" i="1"/>
  <c r="CZ89" i="1"/>
  <c r="CZ87" i="1"/>
  <c r="CZ86" i="1"/>
  <c r="CZ85" i="1"/>
  <c r="CZ84" i="1"/>
  <c r="CZ83" i="1"/>
  <c r="CZ80" i="1"/>
  <c r="CZ79" i="1"/>
  <c r="CZ78" i="1"/>
  <c r="CZ77" i="1"/>
  <c r="CZ197" i="1"/>
  <c r="CZ195" i="1"/>
  <c r="CZ194" i="1"/>
  <c r="CZ70" i="1"/>
  <c r="CZ68" i="1"/>
  <c r="CZ66" i="1"/>
  <c r="CZ61" i="1"/>
  <c r="CZ60" i="1"/>
  <c r="CZ53" i="1"/>
  <c r="CZ52" i="1"/>
  <c r="CZ50" i="1"/>
  <c r="CZ47" i="1"/>
  <c r="CZ46" i="1"/>
  <c r="CZ39" i="1"/>
  <c r="CZ37" i="1"/>
  <c r="CZ30" i="1"/>
  <c r="CZ19" i="1"/>
  <c r="CZ18" i="1"/>
  <c r="CZ17" i="1"/>
  <c r="CZ14" i="1"/>
  <c r="CZ13" i="1"/>
  <c r="AC9" i="1"/>
  <c r="DW54" i="1"/>
  <c r="CT10" i="1"/>
  <c r="FW192" i="1"/>
  <c r="FO192" i="1"/>
  <c r="FQ192" i="1"/>
  <c r="FV192" i="1"/>
  <c r="FI192" i="1"/>
  <c r="FJ192" i="1"/>
  <c r="FC192" i="1"/>
  <c r="FD192" i="1"/>
  <c r="EV192" i="1"/>
  <c r="EW192" i="1"/>
  <c r="EX192" i="1"/>
  <c r="EE192" i="1"/>
  <c r="EF192" i="1"/>
  <c r="ED192" i="1"/>
  <c r="EP192" i="1"/>
  <c r="EJ192" i="1"/>
  <c r="EQ192" i="1"/>
  <c r="EK192" i="1"/>
  <c r="ER192" i="1"/>
  <c r="EL192" i="1"/>
  <c r="CN272" i="1"/>
  <c r="DB272" i="1"/>
  <c r="CN270" i="1"/>
  <c r="FS261" i="1"/>
  <c r="FL261" i="1"/>
  <c r="FF261" i="1"/>
  <c r="EC261" i="1"/>
  <c r="EA261" i="1"/>
  <c r="DN261" i="1"/>
  <c r="DB261" i="1"/>
  <c r="CN261" i="1"/>
  <c r="FS228" i="1"/>
  <c r="FL228" i="1"/>
  <c r="FF228" i="1"/>
  <c r="EC228" i="1"/>
  <c r="EA228" i="1"/>
  <c r="DN228" i="1"/>
  <c r="DB228" i="1"/>
  <c r="CN228" i="1"/>
  <c r="FS227" i="1"/>
  <c r="FL227" i="1"/>
  <c r="FF227" i="1"/>
  <c r="EC227" i="1"/>
  <c r="EA227" i="1"/>
  <c r="DN227" i="1"/>
  <c r="DB227" i="1"/>
  <c r="CN227" i="1"/>
  <c r="FS226" i="1"/>
  <c r="FL226" i="1"/>
  <c r="FF226" i="1"/>
  <c r="EC226" i="1"/>
  <c r="EA226" i="1"/>
  <c r="DN226" i="1"/>
  <c r="DB226" i="1"/>
  <c r="H8" i="1"/>
  <c r="J82" i="1"/>
  <c r="Y48" i="1"/>
  <c r="Z48" i="1"/>
  <c r="BD10" i="1"/>
  <c r="BD306" i="1"/>
  <c r="BD268" i="1"/>
  <c r="BD264" i="1"/>
  <c r="BD257" i="1"/>
  <c r="BD254" i="1"/>
  <c r="BD250" i="1"/>
  <c r="BD276" i="1"/>
  <c r="BD288" i="1"/>
  <c r="BD285" i="1"/>
  <c r="BD282" i="1"/>
  <c r="BD243" i="1"/>
  <c r="BD122" i="1"/>
  <c r="BD236" i="1"/>
  <c r="BD101" i="1"/>
  <c r="BD230" i="1"/>
  <c r="BD223" i="1"/>
  <c r="BD219" i="1"/>
  <c r="BD202" i="1"/>
  <c r="BD114" i="1"/>
  <c r="BD91" i="1"/>
  <c r="BD87" i="1"/>
  <c r="BD81" i="1"/>
  <c r="BD77" i="1"/>
  <c r="BD192" i="1"/>
  <c r="BD66" i="1"/>
  <c r="BD58" i="1"/>
  <c r="BD48" i="1"/>
  <c r="BD44" i="1"/>
  <c r="BD35" i="1"/>
  <c r="BD28" i="1"/>
  <c r="BD15" i="1"/>
  <c r="BD11" i="1"/>
  <c r="DC12" i="1"/>
  <c r="J11" i="1" s="1"/>
  <c r="Z77" i="1"/>
  <c r="Y77" i="1"/>
  <c r="FN192" i="1"/>
  <c r="FP192" i="1"/>
  <c r="EO192" i="1"/>
  <c r="EU192" i="1"/>
  <c r="DE3" i="1"/>
  <c r="DE4" i="1"/>
  <c r="DF4" i="1"/>
  <c r="DG4" i="1"/>
  <c r="DH4" i="1"/>
  <c r="DE6" i="1"/>
  <c r="DF6" i="1"/>
  <c r="DG6" i="1"/>
  <c r="DH6" i="1"/>
  <c r="DI15" i="1"/>
  <c r="DI28" i="1"/>
  <c r="DI35" i="1"/>
  <c r="DI44" i="1"/>
  <c r="DI48" i="1"/>
  <c r="DI58" i="1"/>
  <c r="DI66" i="1"/>
  <c r="DI192" i="1"/>
  <c r="DI77" i="1"/>
  <c r="DI81" i="1"/>
  <c r="DI87" i="1"/>
  <c r="DI91" i="1"/>
  <c r="DI114" i="1"/>
  <c r="DI202" i="1"/>
  <c r="DI219" i="1"/>
  <c r="DI223" i="1"/>
  <c r="DI230" i="1"/>
  <c r="DI101" i="1"/>
  <c r="DI236" i="1"/>
  <c r="DI122" i="1"/>
  <c r="DI243" i="1"/>
  <c r="DI248" i="1"/>
  <c r="DI282" i="1"/>
  <c r="DI285" i="1"/>
  <c r="DI288" i="1"/>
  <c r="DI276" i="1"/>
  <c r="DI250" i="1"/>
  <c r="DI254" i="1"/>
  <c r="DI257" i="1"/>
  <c r="DI264" i="1"/>
  <c r="DI268" i="1"/>
  <c r="DI306" i="1"/>
  <c r="DI11" i="1"/>
  <c r="FH192" i="1"/>
  <c r="FB192" i="1"/>
  <c r="FU192" i="1"/>
  <c r="BM82" i="1"/>
  <c r="BM83" i="1" s="1"/>
  <c r="BM84" i="1" s="1"/>
  <c r="BM85" i="1" s="1"/>
  <c r="BM86" i="1" s="1"/>
  <c r="BL82" i="1"/>
  <c r="BL83" i="1" s="1"/>
  <c r="BL84" i="1" s="1"/>
  <c r="BL85" i="1" s="1"/>
  <c r="BL86" i="1" s="1"/>
  <c r="AW82" i="1"/>
  <c r="AW83" i="1" s="1"/>
  <c r="AW84" i="1" s="1"/>
  <c r="AW85" i="1" s="1"/>
  <c r="AW86" i="1" s="1"/>
  <c r="AV82" i="1"/>
  <c r="AV83" i="1" s="1"/>
  <c r="AV84" i="1" s="1"/>
  <c r="AV85" i="1" s="1"/>
  <c r="AV86" i="1" s="1"/>
  <c r="CN241" i="1"/>
  <c r="DA241" i="1"/>
  <c r="DC241" i="1"/>
  <c r="DN241" i="1"/>
  <c r="EA241" i="1"/>
  <c r="EC241" i="1"/>
  <c r="FF241" i="1"/>
  <c r="FL241" i="1"/>
  <c r="FS241" i="1"/>
  <c r="CN242" i="1"/>
  <c r="DB242" i="1"/>
  <c r="DN242" i="1"/>
  <c r="EA242" i="1"/>
  <c r="EC242" i="1"/>
  <c r="FF242" i="1"/>
  <c r="FL242" i="1"/>
  <c r="FS242" i="1"/>
  <c r="DB192" i="1"/>
  <c r="FS206" i="1"/>
  <c r="FL206" i="1"/>
  <c r="FF206" i="1"/>
  <c r="EC206" i="1"/>
  <c r="EA206" i="1"/>
  <c r="DN206" i="1"/>
  <c r="DB206" i="1"/>
  <c r="CN206" i="1"/>
  <c r="FS30" i="1"/>
  <c r="FL30" i="1"/>
  <c r="FF30" i="1"/>
  <c r="EC30" i="1"/>
  <c r="EA30" i="1"/>
  <c r="DN30" i="1"/>
  <c r="DB30" i="1"/>
  <c r="DC29" i="1"/>
  <c r="J28" i="1" s="1"/>
  <c r="DA29" i="1"/>
  <c r="BM29" i="1"/>
  <c r="BM30" i="1" s="1"/>
  <c r="BL29" i="1"/>
  <c r="BL30" i="1" s="1"/>
  <c r="FS28" i="1"/>
  <c r="FL28" i="1"/>
  <c r="FF28" i="1"/>
  <c r="DZ28" i="1"/>
  <c r="DX28" i="1"/>
  <c r="DW28" i="1"/>
  <c r="DN28" i="1"/>
  <c r="DJ28" i="1"/>
  <c r="DK28" i="1" s="1"/>
  <c r="BE28" i="1"/>
  <c r="CN30" i="1"/>
  <c r="FS197" i="1"/>
  <c r="FL197" i="1"/>
  <c r="FF197" i="1"/>
  <c r="EC197" i="1"/>
  <c r="EA197" i="1"/>
  <c r="DN197" i="1"/>
  <c r="DB197" i="1"/>
  <c r="FS195" i="1"/>
  <c r="FL195" i="1"/>
  <c r="FF195" i="1"/>
  <c r="EC195" i="1"/>
  <c r="EA195" i="1"/>
  <c r="DN195" i="1"/>
  <c r="DB195" i="1"/>
  <c r="FS194" i="1"/>
  <c r="FL194" i="1"/>
  <c r="FF194" i="1"/>
  <c r="EC194" i="1"/>
  <c r="EA194" i="1"/>
  <c r="DN194" i="1"/>
  <c r="DB194" i="1"/>
  <c r="FS193" i="1"/>
  <c r="FL193" i="1"/>
  <c r="FF193" i="1"/>
  <c r="EC193" i="1"/>
  <c r="EA193" i="1"/>
  <c r="DN193" i="1"/>
  <c r="DC193" i="1"/>
  <c r="J192" i="1" s="1"/>
  <c r="DA193" i="1"/>
  <c r="BM193" i="1"/>
  <c r="BM194" i="1" s="1"/>
  <c r="BM195" i="1" s="1"/>
  <c r="BM196" i="1" s="1"/>
  <c r="BM197" i="1" s="1"/>
  <c r="BL193" i="1"/>
  <c r="BL194" i="1" s="1"/>
  <c r="BL195" i="1" s="1"/>
  <c r="BL196" i="1" s="1"/>
  <c r="BL197" i="1" s="1"/>
  <c r="FS192" i="1"/>
  <c r="FR192" i="1"/>
  <c r="FL192" i="1"/>
  <c r="FK192" i="1"/>
  <c r="FF192" i="1"/>
  <c r="FE192" i="1"/>
  <c r="EY192" i="1"/>
  <c r="ES192" i="1"/>
  <c r="EM192" i="1"/>
  <c r="EH192" i="1"/>
  <c r="EC192" i="1"/>
  <c r="EB192" i="1"/>
  <c r="EA192" i="1"/>
  <c r="DZ192" i="1"/>
  <c r="DX192" i="1"/>
  <c r="DW192" i="1"/>
  <c r="DN192" i="1"/>
  <c r="DM192" i="1"/>
  <c r="DJ192" i="1"/>
  <c r="DK192" i="1" s="1"/>
  <c r="BE192" i="1"/>
  <c r="FS209" i="1"/>
  <c r="FL209" i="1"/>
  <c r="FF209" i="1"/>
  <c r="EC209" i="1"/>
  <c r="EA209" i="1"/>
  <c r="DN209" i="1"/>
  <c r="DB209" i="1"/>
  <c r="BM203" i="1"/>
  <c r="BM204" i="1" s="1"/>
  <c r="BM205" i="1" s="1"/>
  <c r="BM206" i="1" s="1"/>
  <c r="BM207" i="1" s="1"/>
  <c r="BM208" i="1" s="1"/>
  <c r="BM211" i="1" s="1"/>
  <c r="BL203" i="1"/>
  <c r="BL204" i="1" s="1"/>
  <c r="BL205" i="1" s="1"/>
  <c r="BL206" i="1" s="1"/>
  <c r="BL207" i="1" s="1"/>
  <c r="BL208" i="1" s="1"/>
  <c r="BL211" i="1" s="1"/>
  <c r="FF13" i="1"/>
  <c r="FL13" i="1"/>
  <c r="FS13" i="1"/>
  <c r="FF14" i="1"/>
  <c r="FL14" i="1"/>
  <c r="FS14" i="1"/>
  <c r="FF15" i="1"/>
  <c r="FL15" i="1"/>
  <c r="FS15" i="1"/>
  <c r="FF16" i="1"/>
  <c r="FL16" i="1"/>
  <c r="FS16" i="1"/>
  <c r="FF17" i="1"/>
  <c r="FL17" i="1"/>
  <c r="FS17" i="1"/>
  <c r="FF18" i="1"/>
  <c r="FL18" i="1"/>
  <c r="FS18" i="1"/>
  <c r="FF19" i="1"/>
  <c r="FL19" i="1"/>
  <c r="FS19" i="1"/>
  <c r="FF35" i="1"/>
  <c r="FL35" i="1"/>
  <c r="FS35" i="1"/>
  <c r="FF37" i="1"/>
  <c r="FL37" i="1"/>
  <c r="FS37" i="1"/>
  <c r="FF39" i="1"/>
  <c r="FL39" i="1"/>
  <c r="FS39" i="1"/>
  <c r="FF44" i="1"/>
  <c r="FL44" i="1"/>
  <c r="FS44" i="1"/>
  <c r="FF46" i="1"/>
  <c r="FL46" i="1"/>
  <c r="FS46" i="1"/>
  <c r="FF47" i="1"/>
  <c r="FL47" i="1"/>
  <c r="FS47" i="1"/>
  <c r="FF48" i="1"/>
  <c r="FL48" i="1"/>
  <c r="FS48" i="1"/>
  <c r="FF50" i="1"/>
  <c r="FL50" i="1"/>
  <c r="FS50" i="1"/>
  <c r="FF52" i="1"/>
  <c r="FL52" i="1"/>
  <c r="FS52" i="1"/>
  <c r="FF53" i="1"/>
  <c r="FL53" i="1"/>
  <c r="FS53" i="1"/>
  <c r="EH58" i="1"/>
  <c r="EM58" i="1"/>
  <c r="ES58" i="1"/>
  <c r="EY58" i="1"/>
  <c r="FE58" i="1"/>
  <c r="FF58" i="1"/>
  <c r="FK58" i="1"/>
  <c r="FL58" i="1"/>
  <c r="FR58" i="1"/>
  <c r="FS58" i="1"/>
  <c r="FF60" i="1"/>
  <c r="FL60" i="1"/>
  <c r="FS60" i="1"/>
  <c r="FF61" i="1"/>
  <c r="FL61" i="1"/>
  <c r="FS61" i="1"/>
  <c r="EH66" i="1"/>
  <c r="EM66" i="1"/>
  <c r="ES66" i="1"/>
  <c r="EY66" i="1"/>
  <c r="FE66" i="1"/>
  <c r="FF66" i="1"/>
  <c r="FK66" i="1"/>
  <c r="FL66" i="1"/>
  <c r="FR66" i="1"/>
  <c r="FS66" i="1"/>
  <c r="FF67" i="1"/>
  <c r="FL67" i="1"/>
  <c r="FS67" i="1"/>
  <c r="FF68" i="1"/>
  <c r="FL68" i="1"/>
  <c r="FS68" i="1"/>
  <c r="FF70" i="1"/>
  <c r="FL70" i="1"/>
  <c r="FS70" i="1"/>
  <c r="EH77" i="1"/>
  <c r="EM77" i="1"/>
  <c r="ES77" i="1"/>
  <c r="EY77" i="1"/>
  <c r="FE77" i="1"/>
  <c r="FF77" i="1"/>
  <c r="FK77" i="1"/>
  <c r="FL77" i="1"/>
  <c r="FR77" i="1"/>
  <c r="FS77" i="1"/>
  <c r="FF79" i="1"/>
  <c r="FL79" i="1"/>
  <c r="FS79" i="1"/>
  <c r="FF80" i="1"/>
  <c r="FL80" i="1"/>
  <c r="FS80" i="1"/>
  <c r="EH81" i="1"/>
  <c r="EM81" i="1"/>
  <c r="ES81" i="1"/>
  <c r="EY81" i="1"/>
  <c r="FE81" i="1"/>
  <c r="FF81" i="1"/>
  <c r="FK81" i="1"/>
  <c r="FL81" i="1"/>
  <c r="FR81" i="1"/>
  <c r="FS81" i="1"/>
  <c r="FF85" i="1"/>
  <c r="FL85" i="1"/>
  <c r="FS85" i="1"/>
  <c r="FF86" i="1"/>
  <c r="FL86" i="1"/>
  <c r="FS86" i="1"/>
  <c r="FF83" i="1"/>
  <c r="FL83" i="1"/>
  <c r="FS83" i="1"/>
  <c r="FF84" i="1"/>
  <c r="FL84" i="1"/>
  <c r="FS84" i="1"/>
  <c r="EH87" i="1"/>
  <c r="EM87" i="1"/>
  <c r="ES87" i="1"/>
  <c r="EY87" i="1"/>
  <c r="FE87" i="1"/>
  <c r="FF87" i="1"/>
  <c r="FK87" i="1"/>
  <c r="FL87" i="1"/>
  <c r="FR87" i="1"/>
  <c r="FS87" i="1"/>
  <c r="FF89" i="1"/>
  <c r="FL89" i="1"/>
  <c r="FS89" i="1"/>
  <c r="FF90" i="1"/>
  <c r="FL90" i="1"/>
  <c r="FS90" i="1"/>
  <c r="EH91" i="1"/>
  <c r="EM91" i="1"/>
  <c r="ES91" i="1"/>
  <c r="EY91" i="1"/>
  <c r="FE91" i="1"/>
  <c r="FF91" i="1"/>
  <c r="FK91" i="1"/>
  <c r="FL91" i="1"/>
  <c r="FR91" i="1"/>
  <c r="FS91" i="1"/>
  <c r="FF93" i="1"/>
  <c r="FL93" i="1"/>
  <c r="FS93" i="1"/>
  <c r="FF94" i="1"/>
  <c r="FL94" i="1"/>
  <c r="FS94" i="1"/>
  <c r="FF95" i="1"/>
  <c r="FL95" i="1"/>
  <c r="FS95" i="1"/>
  <c r="FF96" i="1"/>
  <c r="FL96" i="1"/>
  <c r="FS96" i="1"/>
  <c r="EH114" i="1"/>
  <c r="EM114" i="1"/>
  <c r="ES114" i="1"/>
  <c r="EY114" i="1"/>
  <c r="FE114" i="1"/>
  <c r="FF114" i="1"/>
  <c r="FK114" i="1"/>
  <c r="FL114" i="1"/>
  <c r="FR114" i="1"/>
  <c r="FS114" i="1"/>
  <c r="FF116" i="1"/>
  <c r="FL116" i="1"/>
  <c r="FS116" i="1"/>
  <c r="FF119" i="1"/>
  <c r="FL119" i="1"/>
  <c r="FS119" i="1"/>
  <c r="FF120" i="1"/>
  <c r="FL120" i="1"/>
  <c r="FS120" i="1"/>
  <c r="FF121" i="1"/>
  <c r="FL121" i="1"/>
  <c r="FS121" i="1"/>
  <c r="EH202" i="1"/>
  <c r="EM202" i="1"/>
  <c r="ES202" i="1"/>
  <c r="EY202" i="1"/>
  <c r="FE202" i="1"/>
  <c r="FF202" i="1"/>
  <c r="FK202" i="1"/>
  <c r="FL202" i="1"/>
  <c r="FR202" i="1"/>
  <c r="FS202" i="1"/>
  <c r="FF205" i="1"/>
  <c r="FL205" i="1"/>
  <c r="FS205" i="1"/>
  <c r="FF207" i="1"/>
  <c r="FL207" i="1"/>
  <c r="FS207" i="1"/>
  <c r="FF208" i="1"/>
  <c r="FL208" i="1"/>
  <c r="FS208" i="1"/>
  <c r="FF212" i="1"/>
  <c r="FL212" i="1"/>
  <c r="FS212" i="1"/>
  <c r="FF216" i="1"/>
  <c r="FL216" i="1"/>
  <c r="FS216" i="1"/>
  <c r="FF217" i="1"/>
  <c r="FL217" i="1"/>
  <c r="FS217" i="1"/>
  <c r="FF218" i="1"/>
  <c r="FL218" i="1"/>
  <c r="FS218" i="1"/>
  <c r="EH219" i="1"/>
  <c r="EM219" i="1"/>
  <c r="ES219" i="1"/>
  <c r="EY219" i="1"/>
  <c r="FE219" i="1"/>
  <c r="FF219" i="1"/>
  <c r="FK219" i="1"/>
  <c r="FL219" i="1"/>
  <c r="FR219" i="1"/>
  <c r="FS219" i="1"/>
  <c r="FF220" i="1"/>
  <c r="FL220" i="1"/>
  <c r="FS220" i="1"/>
  <c r="FF221" i="1"/>
  <c r="FL221" i="1"/>
  <c r="FS221" i="1"/>
  <c r="FF222" i="1"/>
  <c r="FL222" i="1"/>
  <c r="FS222" i="1"/>
  <c r="EH223" i="1"/>
  <c r="EM223" i="1"/>
  <c r="ES223" i="1"/>
  <c r="EY223" i="1"/>
  <c r="FE223" i="1"/>
  <c r="FF223" i="1"/>
  <c r="FK223" i="1"/>
  <c r="FL223" i="1"/>
  <c r="FR223" i="1"/>
  <c r="FS223" i="1"/>
  <c r="FF224" i="1"/>
  <c r="FL224" i="1"/>
  <c r="FS224" i="1"/>
  <c r="FF225" i="1"/>
  <c r="FL225" i="1"/>
  <c r="FS225" i="1"/>
  <c r="FF229" i="1"/>
  <c r="FL229" i="1"/>
  <c r="FS229" i="1"/>
  <c r="EH230" i="1"/>
  <c r="EM230" i="1"/>
  <c r="ES230" i="1"/>
  <c r="EY230" i="1"/>
  <c r="FE230" i="1"/>
  <c r="FF230" i="1"/>
  <c r="FK230" i="1"/>
  <c r="FL230" i="1"/>
  <c r="FR230" i="1"/>
  <c r="FS230" i="1"/>
  <c r="FF232" i="1"/>
  <c r="FL232" i="1"/>
  <c r="FS232" i="1"/>
  <c r="FF233" i="1"/>
  <c r="FL233" i="1"/>
  <c r="FS233" i="1"/>
  <c r="FF234" i="1"/>
  <c r="FL234" i="1"/>
  <c r="FS234" i="1"/>
  <c r="FF235" i="1"/>
  <c r="FL235" i="1"/>
  <c r="FS235" i="1"/>
  <c r="EH101" i="1"/>
  <c r="EM101" i="1"/>
  <c r="ES101" i="1"/>
  <c r="EY101" i="1"/>
  <c r="FE101" i="1"/>
  <c r="FF101" i="1"/>
  <c r="FK101" i="1"/>
  <c r="FL101" i="1"/>
  <c r="FR101" i="1"/>
  <c r="FS101" i="1"/>
  <c r="FF103" i="1"/>
  <c r="FL103" i="1"/>
  <c r="FS103" i="1"/>
  <c r="FF104" i="1"/>
  <c r="FL104" i="1"/>
  <c r="FS104" i="1"/>
  <c r="FF106" i="1"/>
  <c r="FL106" i="1"/>
  <c r="FS106" i="1"/>
  <c r="FF107" i="1"/>
  <c r="FL107" i="1"/>
  <c r="FS107" i="1"/>
  <c r="FF108" i="1"/>
  <c r="FL108" i="1"/>
  <c r="FS108" i="1"/>
  <c r="FF109" i="1"/>
  <c r="FL109" i="1"/>
  <c r="FS109" i="1"/>
  <c r="EH236" i="1"/>
  <c r="EM236" i="1"/>
  <c r="ES236" i="1"/>
  <c r="EY236" i="1"/>
  <c r="FE236" i="1"/>
  <c r="FF236" i="1"/>
  <c r="FK236" i="1"/>
  <c r="FL236" i="1"/>
  <c r="FR236" i="1"/>
  <c r="FS236" i="1"/>
  <c r="FF237" i="1"/>
  <c r="FL237" i="1"/>
  <c r="FS237" i="1"/>
  <c r="FF238" i="1"/>
  <c r="FL238" i="1"/>
  <c r="FS238" i="1"/>
  <c r="FF239" i="1"/>
  <c r="FL239" i="1"/>
  <c r="FS239" i="1"/>
  <c r="FF240" i="1"/>
  <c r="FL240" i="1"/>
  <c r="FS240" i="1"/>
  <c r="EH122" i="1"/>
  <c r="EM122" i="1"/>
  <c r="ES122" i="1"/>
  <c r="EY122" i="1"/>
  <c r="FE122" i="1"/>
  <c r="FF122" i="1"/>
  <c r="FK122" i="1"/>
  <c r="FL122" i="1"/>
  <c r="FR122" i="1"/>
  <c r="FS122" i="1"/>
  <c r="FF124" i="1"/>
  <c r="FL124" i="1"/>
  <c r="FS124" i="1"/>
  <c r="FF125" i="1"/>
  <c r="FL125" i="1"/>
  <c r="FS125" i="1"/>
  <c r="FF126" i="1"/>
  <c r="FL126" i="1"/>
  <c r="FS126" i="1"/>
  <c r="EH243" i="1"/>
  <c r="EM243" i="1"/>
  <c r="ES243" i="1"/>
  <c r="EY243" i="1"/>
  <c r="FE243" i="1"/>
  <c r="FF243" i="1"/>
  <c r="FK243" i="1"/>
  <c r="FL243" i="1"/>
  <c r="FR243" i="1"/>
  <c r="FS243" i="1"/>
  <c r="FF244" i="1"/>
  <c r="FL244" i="1"/>
  <c r="FS244" i="1"/>
  <c r="FF245" i="1"/>
  <c r="FL245" i="1"/>
  <c r="FS245" i="1"/>
  <c r="FF246" i="1"/>
  <c r="FL246" i="1"/>
  <c r="FS246" i="1"/>
  <c r="FF247" i="1"/>
  <c r="FL247" i="1"/>
  <c r="FS247" i="1"/>
  <c r="EH248" i="1"/>
  <c r="EM248" i="1"/>
  <c r="ES248" i="1"/>
  <c r="EY248" i="1"/>
  <c r="FE248" i="1"/>
  <c r="FF248" i="1"/>
  <c r="FK248" i="1"/>
  <c r="FL248" i="1"/>
  <c r="FR248" i="1"/>
  <c r="FS248" i="1"/>
  <c r="EH282" i="1"/>
  <c r="EM282" i="1"/>
  <c r="ES282" i="1"/>
  <c r="EY282" i="1"/>
  <c r="FE282" i="1"/>
  <c r="FF282" i="1"/>
  <c r="FK282" i="1"/>
  <c r="FL282" i="1"/>
  <c r="FR282" i="1"/>
  <c r="FS282" i="1"/>
  <c r="FF284" i="1"/>
  <c r="FL284" i="1"/>
  <c r="FS284" i="1"/>
  <c r="EH285" i="1"/>
  <c r="EM285" i="1"/>
  <c r="ES285" i="1"/>
  <c r="EY285" i="1"/>
  <c r="FE285" i="1"/>
  <c r="FF285" i="1"/>
  <c r="FK285" i="1"/>
  <c r="FL285" i="1"/>
  <c r="FR285" i="1"/>
  <c r="FS285" i="1"/>
  <c r="EH288" i="1"/>
  <c r="EM288" i="1"/>
  <c r="ES288" i="1"/>
  <c r="EY288" i="1"/>
  <c r="FE288" i="1"/>
  <c r="FF288" i="1"/>
  <c r="FK288" i="1"/>
  <c r="FL288" i="1"/>
  <c r="FR288" i="1"/>
  <c r="FS288" i="1"/>
  <c r="FF290" i="1"/>
  <c r="FL290" i="1"/>
  <c r="FS290" i="1"/>
  <c r="EH276" i="1"/>
  <c r="EM276" i="1"/>
  <c r="ES276" i="1"/>
  <c r="EY276" i="1"/>
  <c r="FE276" i="1"/>
  <c r="FF276" i="1"/>
  <c r="FK276" i="1"/>
  <c r="FL276" i="1"/>
  <c r="FR276" i="1"/>
  <c r="FS276" i="1"/>
  <c r="FF277" i="1"/>
  <c r="FL277" i="1"/>
  <c r="FS277" i="1"/>
  <c r="FF278" i="1"/>
  <c r="FL278" i="1"/>
  <c r="FS278" i="1"/>
  <c r="FF279" i="1"/>
  <c r="FL279" i="1"/>
  <c r="FS279" i="1"/>
  <c r="FF280" i="1"/>
  <c r="FL280" i="1"/>
  <c r="FS280" i="1"/>
  <c r="EH250" i="1"/>
  <c r="EM250" i="1"/>
  <c r="ES250" i="1"/>
  <c r="EY250" i="1"/>
  <c r="FE250" i="1"/>
  <c r="FF250" i="1"/>
  <c r="FK250" i="1"/>
  <c r="FL250" i="1"/>
  <c r="FR250" i="1"/>
  <c r="FS250" i="1"/>
  <c r="FF253" i="1"/>
  <c r="FL253" i="1"/>
  <c r="FS253" i="1"/>
  <c r="EH254" i="1"/>
  <c r="EM254" i="1"/>
  <c r="ES254" i="1"/>
  <c r="EY254" i="1"/>
  <c r="FE254" i="1"/>
  <c r="FF254" i="1"/>
  <c r="FK254" i="1"/>
  <c r="FL254" i="1"/>
  <c r="FR254" i="1"/>
  <c r="FS254" i="1"/>
  <c r="EH257" i="1"/>
  <c r="EM257" i="1"/>
  <c r="ES257" i="1"/>
  <c r="EY257" i="1"/>
  <c r="FE257" i="1"/>
  <c r="FF257" i="1"/>
  <c r="FK257" i="1"/>
  <c r="FL257" i="1"/>
  <c r="FR257" i="1"/>
  <c r="FS257" i="1"/>
  <c r="FF258" i="1"/>
  <c r="FL258" i="1"/>
  <c r="FS258" i="1"/>
  <c r="FF262" i="1"/>
  <c r="FL262" i="1"/>
  <c r="FS262" i="1"/>
  <c r="FF263" i="1"/>
  <c r="FL263" i="1"/>
  <c r="FS263" i="1"/>
  <c r="EH264" i="1"/>
  <c r="EM264" i="1"/>
  <c r="ES264" i="1"/>
  <c r="EY264" i="1"/>
  <c r="FE264" i="1"/>
  <c r="FF264" i="1"/>
  <c r="FK264" i="1"/>
  <c r="FL264" i="1"/>
  <c r="FR264" i="1"/>
  <c r="FS264" i="1"/>
  <c r="FF266" i="1"/>
  <c r="FL266" i="1"/>
  <c r="FS266" i="1"/>
  <c r="FF267" i="1"/>
  <c r="FL267" i="1"/>
  <c r="FS267" i="1"/>
  <c r="EH268" i="1"/>
  <c r="EM268" i="1"/>
  <c r="ES268" i="1"/>
  <c r="EY268" i="1"/>
  <c r="FE268" i="1"/>
  <c r="FF268" i="1"/>
  <c r="FK268" i="1"/>
  <c r="FL268" i="1"/>
  <c r="FR268" i="1"/>
  <c r="FS268" i="1"/>
  <c r="EH306" i="1"/>
  <c r="EM306" i="1"/>
  <c r="ES306" i="1"/>
  <c r="EY306" i="1"/>
  <c r="FE306" i="1"/>
  <c r="FF306" i="1"/>
  <c r="FK306" i="1"/>
  <c r="FL306" i="1"/>
  <c r="FR306" i="1"/>
  <c r="FS306" i="1"/>
  <c r="FF307" i="1"/>
  <c r="FL307" i="1"/>
  <c r="FS307" i="1"/>
  <c r="FF311" i="1"/>
  <c r="FL311" i="1"/>
  <c r="FS311" i="1"/>
  <c r="EC229" i="1"/>
  <c r="EA229" i="1"/>
  <c r="DN229" i="1"/>
  <c r="DB229" i="1"/>
  <c r="CP229" i="1"/>
  <c r="EC225" i="1"/>
  <c r="EA225" i="1"/>
  <c r="DN225" i="1"/>
  <c r="DB225" i="1"/>
  <c r="CN225" i="1"/>
  <c r="EC224" i="1"/>
  <c r="EA224" i="1"/>
  <c r="DN224" i="1"/>
  <c r="DC224" i="1"/>
  <c r="J223" i="1" s="1"/>
  <c r="DA224" i="1"/>
  <c r="EC223" i="1"/>
  <c r="EB223" i="1"/>
  <c r="EA223" i="1"/>
  <c r="DZ223" i="1"/>
  <c r="DX223" i="1"/>
  <c r="DW223" i="1"/>
  <c r="DN223" i="1"/>
  <c r="DM223" i="1"/>
  <c r="DB223" i="1"/>
  <c r="DJ223" i="1"/>
  <c r="DK223" i="1" s="1"/>
  <c r="BE223" i="1"/>
  <c r="EC237" i="1"/>
  <c r="EA237" i="1"/>
  <c r="DN237" i="1"/>
  <c r="EC240" i="1"/>
  <c r="EA240" i="1"/>
  <c r="DN240" i="1"/>
  <c r="DB240" i="1"/>
  <c r="CN240" i="1"/>
  <c r="EC239" i="1"/>
  <c r="EA239" i="1"/>
  <c r="DN239" i="1"/>
  <c r="DB239" i="1"/>
  <c r="EC238" i="1"/>
  <c r="EA238" i="1"/>
  <c r="DN238" i="1"/>
  <c r="DB238" i="1"/>
  <c r="EC236" i="1"/>
  <c r="EB236" i="1"/>
  <c r="EA236" i="1"/>
  <c r="DZ236" i="1"/>
  <c r="DX236" i="1"/>
  <c r="DW236" i="1"/>
  <c r="DN236" i="1"/>
  <c r="DM236" i="1"/>
  <c r="DB236" i="1"/>
  <c r="DJ236" i="1"/>
  <c r="DK236" i="1" s="1"/>
  <c r="BE236" i="1"/>
  <c r="FV35" i="1"/>
  <c r="FW35" i="1"/>
  <c r="FN35" i="1"/>
  <c r="FC35" i="1"/>
  <c r="FD35" i="1"/>
  <c r="FO35" i="1"/>
  <c r="FI35" i="1"/>
  <c r="FQ35" i="1"/>
  <c r="FJ35" i="1"/>
  <c r="EV35" i="1"/>
  <c r="EQ35" i="1"/>
  <c r="EW35" i="1"/>
  <c r="ER35" i="1"/>
  <c r="EX35" i="1"/>
  <c r="EE35" i="1"/>
  <c r="EF35" i="1"/>
  <c r="EJ35" i="1"/>
  <c r="EK35" i="1"/>
  <c r="EL35" i="1"/>
  <c r="EP35" i="1"/>
  <c r="ED35" i="1"/>
  <c r="DQ35" i="1"/>
  <c r="DR35" i="1"/>
  <c r="DS35" i="1"/>
  <c r="DT35" i="1"/>
  <c r="DU35" i="1"/>
  <c r="EC222" i="1"/>
  <c r="EA222" i="1"/>
  <c r="DN222" i="1"/>
  <c r="DB222" i="1"/>
  <c r="EC221" i="1"/>
  <c r="EA221" i="1"/>
  <c r="DN221" i="1"/>
  <c r="DB221" i="1"/>
  <c r="EC220" i="1"/>
  <c r="EA220" i="1"/>
  <c r="DN220" i="1"/>
  <c r="DC220" i="1"/>
  <c r="J219" i="1" s="1"/>
  <c r="DA220" i="1"/>
  <c r="CZ220" i="1" s="1"/>
  <c r="EC219" i="1"/>
  <c r="EB219" i="1"/>
  <c r="EA219" i="1"/>
  <c r="DZ219" i="1"/>
  <c r="DX219" i="1"/>
  <c r="DW219" i="1"/>
  <c r="DN219" i="1"/>
  <c r="DM219" i="1"/>
  <c r="DB219" i="1"/>
  <c r="DJ219" i="1"/>
  <c r="DK219" i="1" s="1"/>
  <c r="BE219" i="1"/>
  <c r="EC70" i="1"/>
  <c r="EA70" i="1"/>
  <c r="DN70" i="1"/>
  <c r="DB70" i="1"/>
  <c r="J70" i="1"/>
  <c r="CN70" i="1" s="1"/>
  <c r="I70" i="1"/>
  <c r="EC68" i="1"/>
  <c r="EA68" i="1"/>
  <c r="DN68" i="1"/>
  <c r="DB68" i="1"/>
  <c r="J68" i="1"/>
  <c r="I68" i="1"/>
  <c r="C68" i="1"/>
  <c r="EC67" i="1"/>
  <c r="EA67" i="1"/>
  <c r="DN67" i="1"/>
  <c r="DC67" i="1"/>
  <c r="J66" i="1" s="1"/>
  <c r="DA67" i="1"/>
  <c r="CZ67" i="1" s="1"/>
  <c r="BM67" i="1"/>
  <c r="BL67" i="1"/>
  <c r="AW67" i="1"/>
  <c r="AV67" i="1"/>
  <c r="J67" i="1"/>
  <c r="H66" i="1" s="1"/>
  <c r="I67" i="1"/>
  <c r="C67" i="1"/>
  <c r="C70" i="1" s="1"/>
  <c r="EC66" i="1"/>
  <c r="EB66" i="1"/>
  <c r="EA66" i="1"/>
  <c r="DZ66" i="1"/>
  <c r="DX66" i="1"/>
  <c r="DW66" i="1"/>
  <c r="DN66" i="1"/>
  <c r="DM66" i="1"/>
  <c r="DB66" i="1"/>
  <c r="DJ66" i="1"/>
  <c r="DK66" i="1" s="1"/>
  <c r="BE66" i="1"/>
  <c r="B66" i="1"/>
  <c r="EC94" i="1"/>
  <c r="EA94" i="1"/>
  <c r="DN94" i="1"/>
  <c r="DB94" i="1"/>
  <c r="J94" i="1"/>
  <c r="I94" i="1"/>
  <c r="EC95" i="1"/>
  <c r="EA95" i="1"/>
  <c r="DN95" i="1"/>
  <c r="DB95" i="1"/>
  <c r="C95" i="1"/>
  <c r="EC104" i="1"/>
  <c r="EA104" i="1"/>
  <c r="DN104" i="1"/>
  <c r="DB104" i="1"/>
  <c r="EC108" i="1"/>
  <c r="EA108" i="1"/>
  <c r="DN108" i="1"/>
  <c r="DB108" i="1"/>
  <c r="EC107" i="1"/>
  <c r="EA107" i="1"/>
  <c r="DN107" i="1"/>
  <c r="DB107" i="1"/>
  <c r="EC106" i="1"/>
  <c r="EA106" i="1"/>
  <c r="DN106" i="1"/>
  <c r="DB106" i="1"/>
  <c r="FU35" i="1"/>
  <c r="FH35" i="1"/>
  <c r="FB35" i="1"/>
  <c r="EO35" i="1"/>
  <c r="FP35" i="1"/>
  <c r="EU35" i="1"/>
  <c r="CN197" i="1"/>
  <c r="DP35" i="1"/>
  <c r="DO35" i="1" s="1"/>
  <c r="CN194" i="1"/>
  <c r="EC17" i="1"/>
  <c r="EA17" i="1"/>
  <c r="DN17" i="1"/>
  <c r="DB17" i="1"/>
  <c r="J17" i="1"/>
  <c r="I17" i="1"/>
  <c r="EC234" i="1"/>
  <c r="EA234" i="1"/>
  <c r="DN234" i="1"/>
  <c r="DB234" i="1"/>
  <c r="CN234" i="1"/>
  <c r="EC262" i="1"/>
  <c r="EA262" i="1"/>
  <c r="DN262" i="1"/>
  <c r="DB262" i="1"/>
  <c r="AW78" i="1"/>
  <c r="AV78" i="1"/>
  <c r="AV45" i="1"/>
  <c r="AV46" i="1" s="1"/>
  <c r="AV47" i="1" s="1"/>
  <c r="AW45" i="1"/>
  <c r="AW46" i="1" s="1"/>
  <c r="AW47" i="1" s="1"/>
  <c r="DB13" i="1"/>
  <c r="DS230" i="1"/>
  <c r="DU230" i="1"/>
  <c r="DT230" i="1"/>
  <c r="DR230" i="1"/>
  <c r="DQ230" i="1"/>
  <c r="DR223" i="1"/>
  <c r="DS223" i="1"/>
  <c r="DQ192" i="1"/>
  <c r="DR192" i="1"/>
  <c r="DS192" i="1"/>
  <c r="DT192" i="1"/>
  <c r="DU192" i="1"/>
  <c r="CN195" i="1"/>
  <c r="DU223" i="1"/>
  <c r="EC19" i="1"/>
  <c r="EA19" i="1"/>
  <c r="DN19" i="1"/>
  <c r="DB19" i="1"/>
  <c r="J19" i="1"/>
  <c r="CN19" i="1" s="1"/>
  <c r="I19" i="1"/>
  <c r="EC18" i="1"/>
  <c r="EA18" i="1"/>
  <c r="DN18" i="1"/>
  <c r="DB18" i="1"/>
  <c r="J18" i="1"/>
  <c r="I18" i="1"/>
  <c r="EC16" i="1"/>
  <c r="EA16" i="1"/>
  <c r="DN16" i="1"/>
  <c r="DC16" i="1"/>
  <c r="J15" i="1" s="1"/>
  <c r="DA16" i="1"/>
  <c r="BM16" i="1"/>
  <c r="BM17" i="1" s="1"/>
  <c r="BM18" i="1" s="1"/>
  <c r="BM19" i="1" s="1"/>
  <c r="BL16" i="1"/>
  <c r="BL17" i="1" s="1"/>
  <c r="BL18" i="1" s="1"/>
  <c r="BL19" i="1" s="1"/>
  <c r="AW16" i="1"/>
  <c r="AW17" i="1" s="1"/>
  <c r="AW18" i="1" s="1"/>
  <c r="AW19" i="1" s="1"/>
  <c r="AV16" i="1"/>
  <c r="AV17" i="1" s="1"/>
  <c r="AV18" i="1" s="1"/>
  <c r="AV19" i="1" s="1"/>
  <c r="J16" i="1"/>
  <c r="H15" i="1" s="1"/>
  <c r="I16" i="1"/>
  <c r="C16" i="1"/>
  <c r="C17" i="1" s="1"/>
  <c r="C18" i="1" s="1"/>
  <c r="C19" i="1" s="1"/>
  <c r="EC15" i="1"/>
  <c r="EA15" i="1"/>
  <c r="DZ15" i="1"/>
  <c r="DX15" i="1"/>
  <c r="DW15" i="1"/>
  <c r="DN15" i="1"/>
  <c r="DB15" i="1"/>
  <c r="DJ15" i="1"/>
  <c r="DK15" i="1" s="1"/>
  <c r="BE15" i="1"/>
  <c r="B15" i="1"/>
  <c r="DQ223" i="1"/>
  <c r="DP230" i="1"/>
  <c r="DO230" i="1" s="1"/>
  <c r="DT223" i="1"/>
  <c r="DP192" i="1"/>
  <c r="DO192" i="1" s="1"/>
  <c r="DP223" i="1"/>
  <c r="DO223" i="1" s="1"/>
  <c r="DQ28" i="1"/>
  <c r="DR28" i="1"/>
  <c r="DS28" i="1"/>
  <c r="DT28" i="1"/>
  <c r="DU28" i="1"/>
  <c r="EB28" i="1"/>
  <c r="EH35" i="1"/>
  <c r="EH28" i="1"/>
  <c r="DP28" i="1"/>
  <c r="DO28" i="1" s="1"/>
  <c r="DM28" i="1"/>
  <c r="FR28" i="1"/>
  <c r="FK28" i="1"/>
  <c r="EM35" i="1"/>
  <c r="EM28" i="1"/>
  <c r="FK35" i="1"/>
  <c r="ES35" i="1"/>
  <c r="FE35" i="1"/>
  <c r="FE28" i="1"/>
  <c r="EY28" i="1"/>
  <c r="ES28" i="1"/>
  <c r="FR35" i="1"/>
  <c r="EY35" i="1"/>
  <c r="DB14" i="1"/>
  <c r="DB35" i="1"/>
  <c r="DB37" i="1"/>
  <c r="DB39" i="1"/>
  <c r="DB44" i="1"/>
  <c r="DB46" i="1"/>
  <c r="DB47" i="1"/>
  <c r="DB77" i="1"/>
  <c r="DB78" i="1"/>
  <c r="DB79" i="1"/>
  <c r="DB80" i="1"/>
  <c r="DB81" i="1"/>
  <c r="DB85" i="1"/>
  <c r="DB86" i="1"/>
  <c r="DB83" i="1"/>
  <c r="DB84" i="1"/>
  <c r="DB87" i="1"/>
  <c r="DB89" i="1"/>
  <c r="DB90" i="1"/>
  <c r="DB91" i="1"/>
  <c r="DB93" i="1"/>
  <c r="DB96" i="1"/>
  <c r="DB202" i="1"/>
  <c r="DB205" i="1"/>
  <c r="DB207" i="1"/>
  <c r="DB208" i="1"/>
  <c r="DB212" i="1"/>
  <c r="DB101" i="1"/>
  <c r="DB103" i="1"/>
  <c r="DB109" i="1"/>
  <c r="DB248" i="1"/>
  <c r="DB282" i="1"/>
  <c r="DB284" i="1"/>
  <c r="DB285" i="1"/>
  <c r="DB286" i="1"/>
  <c r="DB288" i="1"/>
  <c r="DB290" i="1"/>
  <c r="DB249" i="1"/>
  <c r="DB276" i="1"/>
  <c r="DB278" i="1"/>
  <c r="DB279" i="1"/>
  <c r="DB280" i="1"/>
  <c r="DB250" i="1"/>
  <c r="DB252" i="1"/>
  <c r="DB253" i="1"/>
  <c r="DB254" i="1"/>
  <c r="DB256" i="1"/>
  <c r="DB257" i="1"/>
  <c r="DB259" i="1"/>
  <c r="DB260" i="1"/>
  <c r="DB263" i="1"/>
  <c r="DB264" i="1"/>
  <c r="DB266" i="1"/>
  <c r="DB267" i="1"/>
  <c r="DB268" i="1"/>
  <c r="DB271" i="1"/>
  <c r="DB243" i="1"/>
  <c r="DB245" i="1"/>
  <c r="DB246" i="1"/>
  <c r="DB247" i="1"/>
  <c r="DB48" i="1"/>
  <c r="DB50" i="1"/>
  <c r="DB52" i="1"/>
  <c r="DB53" i="1"/>
  <c r="DB58" i="1"/>
  <c r="DB60" i="1"/>
  <c r="DB61" i="1"/>
  <c r="DB114" i="1"/>
  <c r="DB116" i="1"/>
  <c r="DB117" i="1"/>
  <c r="DB118" i="1"/>
  <c r="DB119" i="1"/>
  <c r="DB120" i="1"/>
  <c r="DB121" i="1"/>
  <c r="DB216" i="1"/>
  <c r="DB217" i="1"/>
  <c r="DB218" i="1"/>
  <c r="DB230" i="1"/>
  <c r="DB232" i="1"/>
  <c r="DB233" i="1"/>
  <c r="DB235" i="1"/>
  <c r="DB306" i="1"/>
  <c r="DB309" i="1"/>
  <c r="DB311" i="1"/>
  <c r="DB122" i="1"/>
  <c r="DB124" i="1"/>
  <c r="DB125" i="1"/>
  <c r="DB126" i="1"/>
  <c r="DH283" i="1"/>
  <c r="DW122" i="1"/>
  <c r="DW306" i="1"/>
  <c r="DW230" i="1"/>
  <c r="DW114" i="1"/>
  <c r="DW58" i="1"/>
  <c r="DW48" i="1"/>
  <c r="DW243" i="1"/>
  <c r="DW268" i="1"/>
  <c r="DW264" i="1"/>
  <c r="DW257" i="1"/>
  <c r="DW254" i="1"/>
  <c r="DW250" i="1"/>
  <c r="DW276" i="1"/>
  <c r="DW288" i="1"/>
  <c r="DW282" i="1"/>
  <c r="DW101" i="1"/>
  <c r="DW202" i="1"/>
  <c r="DW91" i="1"/>
  <c r="DW87" i="1"/>
  <c r="DW81" i="1"/>
  <c r="DW77" i="1"/>
  <c r="DW44" i="1"/>
  <c r="DW35" i="1"/>
  <c r="DW285" i="1"/>
  <c r="DM122" i="1"/>
  <c r="DM306" i="1"/>
  <c r="DM230" i="1"/>
  <c r="DM114" i="1"/>
  <c r="DM58" i="1"/>
  <c r="DM243" i="1"/>
  <c r="DM268" i="1"/>
  <c r="DM264" i="1"/>
  <c r="DM257" i="1"/>
  <c r="DM254" i="1"/>
  <c r="DM250" i="1"/>
  <c r="DM276" i="1"/>
  <c r="DM288" i="1"/>
  <c r="DM282" i="1"/>
  <c r="DM248" i="1"/>
  <c r="DM101" i="1"/>
  <c r="DM202" i="1"/>
  <c r="DM91" i="1"/>
  <c r="DM87" i="1"/>
  <c r="DM81" i="1"/>
  <c r="DM77" i="1"/>
  <c r="DM35" i="1"/>
  <c r="DM285" i="1"/>
  <c r="FL11" i="1"/>
  <c r="FF11" i="1"/>
  <c r="FS11" i="1"/>
  <c r="DN11" i="1"/>
  <c r="DN13" i="1"/>
  <c r="DN14" i="1"/>
  <c r="DN285" i="1"/>
  <c r="DN35" i="1"/>
  <c r="DN37" i="1"/>
  <c r="DN39" i="1"/>
  <c r="DN44" i="1"/>
  <c r="DN46" i="1"/>
  <c r="DN47" i="1"/>
  <c r="DN77" i="1"/>
  <c r="DN79" i="1"/>
  <c r="DN80" i="1"/>
  <c r="DN81" i="1"/>
  <c r="DN85" i="1"/>
  <c r="DN83" i="1"/>
  <c r="DN84" i="1"/>
  <c r="DN87" i="1"/>
  <c r="DN89" i="1"/>
  <c r="DN90" i="1"/>
  <c r="DN91" i="1"/>
  <c r="DN93" i="1"/>
  <c r="DN96" i="1"/>
  <c r="DN202" i="1"/>
  <c r="DN205" i="1"/>
  <c r="DN207" i="1"/>
  <c r="DN208" i="1"/>
  <c r="DN212" i="1"/>
  <c r="DN101" i="1"/>
  <c r="DN103" i="1"/>
  <c r="DN109" i="1"/>
  <c r="DN248" i="1"/>
  <c r="DN282" i="1"/>
  <c r="DN284" i="1"/>
  <c r="DN288" i="1"/>
  <c r="DN290" i="1"/>
  <c r="DN276" i="1"/>
  <c r="DN277" i="1"/>
  <c r="DN278" i="1"/>
  <c r="DN279" i="1"/>
  <c r="DN280" i="1"/>
  <c r="DN250" i="1"/>
  <c r="DN253" i="1"/>
  <c r="DN254" i="1"/>
  <c r="DN257" i="1"/>
  <c r="DN258" i="1"/>
  <c r="DN263" i="1"/>
  <c r="DN264" i="1"/>
  <c r="DN266" i="1"/>
  <c r="DN267" i="1"/>
  <c r="DN268" i="1"/>
  <c r="DN243" i="1"/>
  <c r="DN244" i="1"/>
  <c r="DN245" i="1"/>
  <c r="DN246" i="1"/>
  <c r="DN247" i="1"/>
  <c r="DN48" i="1"/>
  <c r="DN50" i="1"/>
  <c r="DN52" i="1"/>
  <c r="DN53" i="1"/>
  <c r="DN58" i="1"/>
  <c r="DN60" i="1"/>
  <c r="DN61" i="1"/>
  <c r="DN114" i="1"/>
  <c r="DN116" i="1"/>
  <c r="DN119" i="1"/>
  <c r="DN120" i="1"/>
  <c r="DN121" i="1"/>
  <c r="DN216" i="1"/>
  <c r="DN217" i="1"/>
  <c r="DN218" i="1"/>
  <c r="DN230" i="1"/>
  <c r="DN232" i="1"/>
  <c r="DN233" i="1"/>
  <c r="DN235" i="1"/>
  <c r="DN306" i="1"/>
  <c r="DN307" i="1"/>
  <c r="DN311" i="1"/>
  <c r="DN122" i="1"/>
  <c r="DN124" i="1"/>
  <c r="DN125" i="1"/>
  <c r="DN126" i="1"/>
  <c r="BM286" i="1"/>
  <c r="BM287" i="1" s="1"/>
  <c r="BL286" i="1"/>
  <c r="BL287" i="1" s="1"/>
  <c r="EC285" i="1"/>
  <c r="EB285" i="1"/>
  <c r="EA285" i="1"/>
  <c r="DZ285" i="1"/>
  <c r="DX285" i="1"/>
  <c r="DJ285" i="1"/>
  <c r="DK285" i="1" s="1"/>
  <c r="BE285" i="1"/>
  <c r="EC276" i="1"/>
  <c r="EC277" i="1"/>
  <c r="EC278" i="1"/>
  <c r="EC279" i="1"/>
  <c r="EC280" i="1"/>
  <c r="EC250" i="1"/>
  <c r="EC253" i="1"/>
  <c r="EC254" i="1"/>
  <c r="EC257" i="1"/>
  <c r="EC258" i="1"/>
  <c r="EC263" i="1"/>
  <c r="EC264" i="1"/>
  <c r="EC266" i="1"/>
  <c r="EC267" i="1"/>
  <c r="EC268" i="1"/>
  <c r="EC243" i="1"/>
  <c r="EC244" i="1"/>
  <c r="EC245" i="1"/>
  <c r="EC246" i="1"/>
  <c r="EC247" i="1"/>
  <c r="EC48" i="1"/>
  <c r="EC50" i="1"/>
  <c r="EC52" i="1"/>
  <c r="EC53" i="1"/>
  <c r="EC58" i="1"/>
  <c r="EC60" i="1"/>
  <c r="EC61" i="1"/>
  <c r="EC114" i="1"/>
  <c r="EC116" i="1"/>
  <c r="EC119" i="1"/>
  <c r="EC120" i="1"/>
  <c r="EC121" i="1"/>
  <c r="EC216" i="1"/>
  <c r="EC217" i="1"/>
  <c r="EC218" i="1"/>
  <c r="EC230" i="1"/>
  <c r="EC232" i="1"/>
  <c r="EC233" i="1"/>
  <c r="EC235" i="1"/>
  <c r="EC306" i="1"/>
  <c r="EC307" i="1"/>
  <c r="EC311" i="1"/>
  <c r="EC122" i="1"/>
  <c r="EC124" i="1"/>
  <c r="EC125" i="1"/>
  <c r="EC126" i="1"/>
  <c r="EB35" i="1"/>
  <c r="EB77" i="1"/>
  <c r="EB81" i="1"/>
  <c r="EB87" i="1"/>
  <c r="EB91" i="1"/>
  <c r="EB202" i="1"/>
  <c r="EB101" i="1"/>
  <c r="EB248" i="1"/>
  <c r="EB282" i="1"/>
  <c r="EB288" i="1"/>
  <c r="EB276" i="1"/>
  <c r="EB250" i="1"/>
  <c r="EB254" i="1"/>
  <c r="EB257" i="1"/>
  <c r="EB264" i="1"/>
  <c r="EB268" i="1"/>
  <c r="EB243" i="1"/>
  <c r="EB58" i="1"/>
  <c r="EB114" i="1"/>
  <c r="EB230" i="1"/>
  <c r="EB306" i="1"/>
  <c r="EB122" i="1"/>
  <c r="DZ11" i="1"/>
  <c r="EC13" i="1"/>
  <c r="EC14" i="1"/>
  <c r="EC35" i="1"/>
  <c r="EC37" i="1"/>
  <c r="EC39" i="1"/>
  <c r="EC44" i="1"/>
  <c r="EC46" i="1"/>
  <c r="EC47" i="1"/>
  <c r="EC77" i="1"/>
  <c r="EC79" i="1"/>
  <c r="EC80" i="1"/>
  <c r="EC81" i="1"/>
  <c r="EC85" i="1"/>
  <c r="EC83" i="1"/>
  <c r="EC84" i="1"/>
  <c r="EC87" i="1"/>
  <c r="EC89" i="1"/>
  <c r="EC90" i="1"/>
  <c r="EC91" i="1"/>
  <c r="EC93" i="1"/>
  <c r="EC96" i="1"/>
  <c r="EC202" i="1"/>
  <c r="EC205" i="1"/>
  <c r="EC207" i="1"/>
  <c r="EC208" i="1"/>
  <c r="EC212" i="1"/>
  <c r="EC101" i="1"/>
  <c r="EC103" i="1"/>
  <c r="EC109" i="1"/>
  <c r="EC248" i="1"/>
  <c r="EC282" i="1"/>
  <c r="EC284" i="1"/>
  <c r="EC288" i="1"/>
  <c r="EC290" i="1"/>
  <c r="EA13" i="1"/>
  <c r="EA14" i="1"/>
  <c r="EA35" i="1"/>
  <c r="EA37" i="1"/>
  <c r="EA39" i="1"/>
  <c r="EA44" i="1"/>
  <c r="EA46" i="1"/>
  <c r="EA47" i="1"/>
  <c r="EA77" i="1"/>
  <c r="EA79" i="1"/>
  <c r="EA80" i="1"/>
  <c r="EA81" i="1"/>
  <c r="EA85" i="1"/>
  <c r="EA83" i="1"/>
  <c r="EA84" i="1"/>
  <c r="EA87" i="1"/>
  <c r="EA89" i="1"/>
  <c r="EA90" i="1"/>
  <c r="EA91" i="1"/>
  <c r="EA93" i="1"/>
  <c r="EA96" i="1"/>
  <c r="EA202" i="1"/>
  <c r="EA205" i="1"/>
  <c r="EA207" i="1"/>
  <c r="EA208" i="1"/>
  <c r="EA212" i="1"/>
  <c r="EA101" i="1"/>
  <c r="EA103" i="1"/>
  <c r="EA109" i="1"/>
  <c r="EA248" i="1"/>
  <c r="EA282" i="1"/>
  <c r="EA284" i="1"/>
  <c r="EA288" i="1"/>
  <c r="EA290" i="1"/>
  <c r="EA276" i="1"/>
  <c r="EA277" i="1"/>
  <c r="EA278" i="1"/>
  <c r="EA279" i="1"/>
  <c r="EA280" i="1"/>
  <c r="EA250" i="1"/>
  <c r="EA253" i="1"/>
  <c r="EA254" i="1"/>
  <c r="EA257" i="1"/>
  <c r="EA258" i="1"/>
  <c r="EA263" i="1"/>
  <c r="EA264" i="1"/>
  <c r="EA266" i="1"/>
  <c r="EA267" i="1"/>
  <c r="EA268" i="1"/>
  <c r="EA243" i="1"/>
  <c r="EA244" i="1"/>
  <c r="EA245" i="1"/>
  <c r="EA246" i="1"/>
  <c r="EA247" i="1"/>
  <c r="EA48" i="1"/>
  <c r="EA50" i="1"/>
  <c r="EA52" i="1"/>
  <c r="EA53" i="1"/>
  <c r="EA58" i="1"/>
  <c r="EA60" i="1"/>
  <c r="EA61" i="1"/>
  <c r="EA114" i="1"/>
  <c r="EA116" i="1"/>
  <c r="EA119" i="1"/>
  <c r="EA120" i="1"/>
  <c r="EA121" i="1"/>
  <c r="EA216" i="1"/>
  <c r="EA217" i="1"/>
  <c r="EA218" i="1"/>
  <c r="EA230" i="1"/>
  <c r="EA232" i="1"/>
  <c r="EA233" i="1"/>
  <c r="EA235" i="1"/>
  <c r="EA306" i="1"/>
  <c r="EA307" i="1"/>
  <c r="EA311" i="1"/>
  <c r="EA122" i="1"/>
  <c r="EA124" i="1"/>
  <c r="EA125" i="1"/>
  <c r="EA126" i="1"/>
  <c r="DZ35" i="1"/>
  <c r="DZ44" i="1"/>
  <c r="DZ77" i="1"/>
  <c r="DZ81" i="1"/>
  <c r="DZ87" i="1"/>
  <c r="DZ91" i="1"/>
  <c r="DZ202" i="1"/>
  <c r="DZ101" i="1"/>
  <c r="DZ248" i="1"/>
  <c r="DZ282" i="1"/>
  <c r="DZ288" i="1"/>
  <c r="DZ276" i="1"/>
  <c r="DZ250" i="1"/>
  <c r="DZ254" i="1"/>
  <c r="DZ257" i="1"/>
  <c r="DZ264" i="1"/>
  <c r="DZ268" i="1"/>
  <c r="DZ243" i="1"/>
  <c r="DZ48" i="1"/>
  <c r="DZ58" i="1"/>
  <c r="DZ114" i="1"/>
  <c r="DZ230" i="1"/>
  <c r="DZ306" i="1"/>
  <c r="DZ122" i="1"/>
  <c r="DX122" i="1"/>
  <c r="DX306" i="1"/>
  <c r="DX230" i="1"/>
  <c r="DX114" i="1"/>
  <c r="DX58" i="1"/>
  <c r="DX48" i="1"/>
  <c r="DX243" i="1"/>
  <c r="DX268" i="1"/>
  <c r="DX264" i="1"/>
  <c r="DX257" i="1"/>
  <c r="DX254" i="1"/>
  <c r="DX250" i="1"/>
  <c r="DX276" i="1"/>
  <c r="DX288" i="1"/>
  <c r="DX282" i="1"/>
  <c r="DX248" i="1"/>
  <c r="DX101" i="1"/>
  <c r="DX202" i="1"/>
  <c r="DX91" i="1"/>
  <c r="DX87" i="1"/>
  <c r="DX81" i="1"/>
  <c r="DX77" i="1"/>
  <c r="DX44" i="1"/>
  <c r="DX35" i="1"/>
  <c r="DX11" i="1"/>
  <c r="DW11" i="1"/>
  <c r="J85" i="1"/>
  <c r="CN85" i="1" s="1"/>
  <c r="I85" i="1"/>
  <c r="CN263" i="1"/>
  <c r="DJ202" i="1"/>
  <c r="DK202" i="1" s="1"/>
  <c r="BE202" i="1"/>
  <c r="CN204" i="1"/>
  <c r="CN205" i="1"/>
  <c r="CN290" i="1"/>
  <c r="DC289" i="1"/>
  <c r="DA289" i="1"/>
  <c r="CZ289" i="1" s="1"/>
  <c r="BM289" i="1"/>
  <c r="BM290" i="1" s="1"/>
  <c r="BL289" i="1"/>
  <c r="BL290" i="1" s="1"/>
  <c r="DJ288" i="1"/>
  <c r="DK288" i="1" s="1"/>
  <c r="BE288" i="1"/>
  <c r="EV213" i="1"/>
  <c r="EV214" i="1" s="1"/>
  <c r="EP213" i="1"/>
  <c r="EP214" i="1" s="1"/>
  <c r="ED213" i="1"/>
  <c r="ED214" i="1" s="1"/>
  <c r="EX213" i="1"/>
  <c r="EX214" i="1" s="1"/>
  <c r="EE213" i="1"/>
  <c r="EE214" i="1" s="1"/>
  <c r="EW213" i="1"/>
  <c r="EW214" i="1" s="1"/>
  <c r="FV213" i="1"/>
  <c r="FV214" i="1" s="1"/>
  <c r="EL213" i="1"/>
  <c r="EL214" i="1" s="1"/>
  <c r="FN213" i="1"/>
  <c r="FC213" i="1"/>
  <c r="FC214" i="1" s="1"/>
  <c r="FI213" i="1"/>
  <c r="FI214" i="1" s="1"/>
  <c r="EJ213" i="1"/>
  <c r="EJ214" i="1" s="1"/>
  <c r="FH213" i="1"/>
  <c r="FH214" i="1" s="1"/>
  <c r="EK213" i="1"/>
  <c r="EK214" i="1" s="1"/>
  <c r="ER213" i="1"/>
  <c r="ER214" i="1" s="1"/>
  <c r="FO213" i="1"/>
  <c r="FO214" i="1" s="1"/>
  <c r="FJ213" i="1"/>
  <c r="FJ214" i="1" s="1"/>
  <c r="FD213" i="1"/>
  <c r="FD214" i="1" s="1"/>
  <c r="EQ213" i="1"/>
  <c r="EQ214" i="1" s="1"/>
  <c r="FW213" i="1"/>
  <c r="FW214" i="1" s="1"/>
  <c r="EF213" i="1"/>
  <c r="EF214" i="1" s="1"/>
  <c r="FU213" i="1"/>
  <c r="FQ213" i="1"/>
  <c r="FQ214" i="1" s="1"/>
  <c r="FB213" i="1"/>
  <c r="FB214" i="1" s="1"/>
  <c r="FP213" i="1"/>
  <c r="FP214" i="1" s="1"/>
  <c r="EU213" i="1"/>
  <c r="EU214" i="1" s="1"/>
  <c r="EO213" i="1"/>
  <c r="EO214" i="1" s="1"/>
  <c r="FP282" i="1"/>
  <c r="FV282" i="1"/>
  <c r="FW282" i="1"/>
  <c r="FO282" i="1"/>
  <c r="FQ282" i="1"/>
  <c r="FI282" i="1"/>
  <c r="FJ282" i="1"/>
  <c r="FC282" i="1"/>
  <c r="EW282" i="1"/>
  <c r="FD282" i="1"/>
  <c r="EX282" i="1"/>
  <c r="ED282" i="1"/>
  <c r="EE282" i="1"/>
  <c r="EQ282" i="1"/>
  <c r="EF282" i="1"/>
  <c r="ER282" i="1"/>
  <c r="EJ282" i="1"/>
  <c r="EK282" i="1"/>
  <c r="EL282" i="1"/>
  <c r="DU282" i="1"/>
  <c r="DQ282" i="1"/>
  <c r="DR282" i="1"/>
  <c r="DS282" i="1"/>
  <c r="DT282" i="1"/>
  <c r="FU282" i="1"/>
  <c r="EU282" i="1"/>
  <c r="EV282" i="1"/>
  <c r="EO282" i="1"/>
  <c r="EP282" i="1"/>
  <c r="FN282" i="1"/>
  <c r="FB282" i="1"/>
  <c r="FH282" i="1"/>
  <c r="DP282" i="1"/>
  <c r="DO282" i="1" s="1"/>
  <c r="ED276" i="1"/>
  <c r="EP276" i="1"/>
  <c r="EJ276" i="1"/>
  <c r="EW276" i="1"/>
  <c r="EL276" i="1"/>
  <c r="FV276" i="1"/>
  <c r="FI276" i="1"/>
  <c r="FC276" i="1"/>
  <c r="EF276" i="1"/>
  <c r="FQ276" i="1"/>
  <c r="FD276" i="1"/>
  <c r="EX276" i="1"/>
  <c r="FW276" i="1"/>
  <c r="FO276" i="1"/>
  <c r="EE276" i="1"/>
  <c r="FJ276" i="1"/>
  <c r="EK276" i="1"/>
  <c r="ER276" i="1"/>
  <c r="DQ276" i="1"/>
  <c r="DT276" i="1"/>
  <c r="DR276" i="1"/>
  <c r="DS276" i="1"/>
  <c r="DU276" i="1"/>
  <c r="CN284" i="1"/>
  <c r="DC283" i="1"/>
  <c r="J282" i="1" s="1"/>
  <c r="DA283" i="1"/>
  <c r="CZ283" i="1" s="1"/>
  <c r="BM283" i="1"/>
  <c r="BM284" i="1" s="1"/>
  <c r="BL283" i="1"/>
  <c r="BL284" i="1" s="1"/>
  <c r="DJ282" i="1"/>
  <c r="DK282" i="1" s="1"/>
  <c r="BE282" i="1"/>
  <c r="CN247" i="1"/>
  <c r="CN246" i="1"/>
  <c r="CN245" i="1"/>
  <c r="DC244" i="1"/>
  <c r="DA244" i="1"/>
  <c r="CZ244" i="1" s="1"/>
  <c r="BM244" i="1"/>
  <c r="BM245" i="1" s="1"/>
  <c r="BM246" i="1" s="1"/>
  <c r="BM247" i="1" s="1"/>
  <c r="BL244" i="1"/>
  <c r="BL245" i="1" s="1"/>
  <c r="BL246" i="1" s="1"/>
  <c r="BL247" i="1" s="1"/>
  <c r="BK244" i="1"/>
  <c r="BN244" i="1" s="1"/>
  <c r="DJ243" i="1"/>
  <c r="DK243" i="1" s="1"/>
  <c r="BE243" i="1"/>
  <c r="J47" i="1"/>
  <c r="CN47" i="1" s="1"/>
  <c r="I47" i="1"/>
  <c r="J46" i="1"/>
  <c r="I46" i="1"/>
  <c r="C46" i="1"/>
  <c r="DC45" i="1"/>
  <c r="J44" i="1" s="1"/>
  <c r="DA45" i="1"/>
  <c r="BM45" i="1"/>
  <c r="BM46" i="1" s="1"/>
  <c r="BM47" i="1" s="1"/>
  <c r="BL45" i="1"/>
  <c r="BL46" i="1" s="1"/>
  <c r="BL47" i="1" s="1"/>
  <c r="J45" i="1"/>
  <c r="H44" i="1" s="1"/>
  <c r="I45" i="1"/>
  <c r="C45" i="1"/>
  <c r="C47" i="1" s="1"/>
  <c r="DJ44" i="1"/>
  <c r="DK44" i="1" s="1"/>
  <c r="BE44" i="1"/>
  <c r="B44" i="1"/>
  <c r="J78" i="1"/>
  <c r="H77" i="1" s="1"/>
  <c r="EV276" i="1"/>
  <c r="EU276" i="1"/>
  <c r="FN276" i="1"/>
  <c r="EO276" i="1"/>
  <c r="EQ276" i="1"/>
  <c r="FP276" i="1"/>
  <c r="DP276" i="1"/>
  <c r="J53" i="1"/>
  <c r="CN53" i="1" s="1"/>
  <c r="I53" i="1"/>
  <c r="J52" i="1"/>
  <c r="CN52" i="1" s="1"/>
  <c r="I52" i="1"/>
  <c r="J50" i="1"/>
  <c r="I50" i="1"/>
  <c r="C50" i="1"/>
  <c r="C53" i="1" s="1"/>
  <c r="DC49" i="1"/>
  <c r="J48" i="1" s="1"/>
  <c r="DA49" i="1"/>
  <c r="BM49" i="1"/>
  <c r="BM50" i="1" s="1"/>
  <c r="BM51" i="1" s="1"/>
  <c r="BM52" i="1" s="1"/>
  <c r="BM53" i="1" s="1"/>
  <c r="BL49" i="1"/>
  <c r="BL50" i="1" s="1"/>
  <c r="BL51" i="1" s="1"/>
  <c r="BL52" i="1" s="1"/>
  <c r="BL53" i="1" s="1"/>
  <c r="AW49" i="1"/>
  <c r="AW50" i="1" s="1"/>
  <c r="AW51" i="1" s="1"/>
  <c r="AW52" i="1" s="1"/>
  <c r="AW53" i="1" s="1"/>
  <c r="AV49" i="1"/>
  <c r="AV50" i="1" s="1"/>
  <c r="AV51" i="1" s="1"/>
  <c r="AV52" i="1" s="1"/>
  <c r="AV53" i="1" s="1"/>
  <c r="J49" i="1"/>
  <c r="H48" i="1" s="1"/>
  <c r="I49" i="1"/>
  <c r="C49" i="1"/>
  <c r="C52" i="1" s="1"/>
  <c r="DJ48" i="1"/>
  <c r="DK48" i="1" s="1"/>
  <c r="BE48" i="1"/>
  <c r="B48" i="1"/>
  <c r="FH276" i="1"/>
  <c r="FB276" i="1"/>
  <c r="FU276" i="1"/>
  <c r="J61" i="1"/>
  <c r="CN61" i="1" s="1"/>
  <c r="I61" i="1"/>
  <c r="J60" i="1"/>
  <c r="I60" i="1"/>
  <c r="C60" i="1"/>
  <c r="DC59" i="1"/>
  <c r="J58" i="1" s="1"/>
  <c r="DA59" i="1"/>
  <c r="BM59" i="1"/>
  <c r="BM60" i="1" s="1"/>
  <c r="BM61" i="1" s="1"/>
  <c r="BL59" i="1"/>
  <c r="BL60" i="1" s="1"/>
  <c r="BL61" i="1" s="1"/>
  <c r="AW59" i="1"/>
  <c r="AW60" i="1" s="1"/>
  <c r="AW61" i="1" s="1"/>
  <c r="AV59" i="1"/>
  <c r="AV60" i="1" s="1"/>
  <c r="AV61" i="1" s="1"/>
  <c r="J59" i="1"/>
  <c r="H58" i="1" s="1"/>
  <c r="I59" i="1"/>
  <c r="C59" i="1"/>
  <c r="C61" i="1" s="1"/>
  <c r="DJ58" i="1"/>
  <c r="DK58" i="1" s="1"/>
  <c r="BE58" i="1"/>
  <c r="B58" i="1"/>
  <c r="I82" i="1"/>
  <c r="C86" i="1"/>
  <c r="I86" i="1"/>
  <c r="J86" i="1"/>
  <c r="CN86" i="1" s="1"/>
  <c r="EH48" i="1"/>
  <c r="FR48" i="1"/>
  <c r="DR66" i="1"/>
  <c r="CN311" i="1"/>
  <c r="DC307" i="1"/>
  <c r="J306" i="1" s="1"/>
  <c r="DA307" i="1"/>
  <c r="DJ306" i="1"/>
  <c r="BE306" i="1"/>
  <c r="DQ66" i="1"/>
  <c r="EB48" i="1"/>
  <c r="EB54" i="1"/>
  <c r="EH54" i="1"/>
  <c r="EY48" i="1"/>
  <c r="FK48" i="1"/>
  <c r="FE48" i="1"/>
  <c r="DM48" i="1"/>
  <c r="EM48" i="1"/>
  <c r="FK54" i="1"/>
  <c r="ES48" i="1"/>
  <c r="DM54" i="1"/>
  <c r="EY54" i="1"/>
  <c r="FR54" i="1"/>
  <c r="FE54" i="1"/>
  <c r="DU66" i="1"/>
  <c r="DT66" i="1"/>
  <c r="DS66" i="1"/>
  <c r="DA215" i="1"/>
  <c r="BM215" i="1"/>
  <c r="BM216" i="1" s="1"/>
  <c r="BM217" i="1" s="1"/>
  <c r="BM218" i="1" s="1"/>
  <c r="BL215" i="1"/>
  <c r="BL216" i="1" s="1"/>
  <c r="BL217" i="1" s="1"/>
  <c r="BL218" i="1" s="1"/>
  <c r="BE268" i="1"/>
  <c r="BE264" i="1"/>
  <c r="BE257" i="1"/>
  <c r="BE254" i="1"/>
  <c r="BE122" i="1"/>
  <c r="BE250" i="1"/>
  <c r="BE101" i="1"/>
  <c r="BE230" i="1"/>
  <c r="BE114" i="1"/>
  <c r="BE91" i="1"/>
  <c r="BE87" i="1"/>
  <c r="BE81" i="1"/>
  <c r="BE77" i="1"/>
  <c r="BE11" i="1"/>
  <c r="BE10" i="1"/>
  <c r="BE276" i="1"/>
  <c r="BE35" i="1"/>
  <c r="CN253" i="1"/>
  <c r="DC251" i="1"/>
  <c r="DA251" i="1"/>
  <c r="DJ250" i="1"/>
  <c r="DK250" i="1" s="1"/>
  <c r="EM54" i="1"/>
  <c r="ES54" i="1"/>
  <c r="DP66" i="1"/>
  <c r="DO66" i="1" s="1"/>
  <c r="DJ251" i="1"/>
  <c r="DK251" i="1" s="1"/>
  <c r="J80" i="1"/>
  <c r="I80" i="1"/>
  <c r="J79" i="1"/>
  <c r="I79" i="1"/>
  <c r="C79" i="1"/>
  <c r="I78" i="1"/>
  <c r="C78" i="1"/>
  <c r="DJ77" i="1"/>
  <c r="DK77" i="1" s="1"/>
  <c r="B77" i="1"/>
  <c r="DQ250" i="1"/>
  <c r="DR250" i="1"/>
  <c r="DS250" i="1"/>
  <c r="DT250" i="1"/>
  <c r="DU250" i="1"/>
  <c r="DU254" i="1"/>
  <c r="DQ254" i="1"/>
  <c r="DR254" i="1"/>
  <c r="DS254" i="1"/>
  <c r="DT254" i="1"/>
  <c r="CN233" i="1"/>
  <c r="DC231" i="1"/>
  <c r="J230" i="1" s="1"/>
  <c r="DA231" i="1"/>
  <c r="CZ231" i="1" s="1"/>
  <c r="DJ230" i="1"/>
  <c r="DK230" i="1" s="1"/>
  <c r="DC102" i="1"/>
  <c r="J101" i="1" s="1"/>
  <c r="DA102" i="1"/>
  <c r="BM102" i="1"/>
  <c r="BM103" i="1" s="1"/>
  <c r="BM104" i="1" s="1"/>
  <c r="BM105" i="1" s="1"/>
  <c r="BM106" i="1" s="1"/>
  <c r="BM107" i="1" s="1"/>
  <c r="BM108" i="1" s="1"/>
  <c r="BM109" i="1" s="1"/>
  <c r="BL102" i="1"/>
  <c r="BL103" i="1" s="1"/>
  <c r="BL104" i="1" s="1"/>
  <c r="BL105" i="1" s="1"/>
  <c r="BL106" i="1" s="1"/>
  <c r="BL107" i="1" s="1"/>
  <c r="BL108" i="1" s="1"/>
  <c r="BL109" i="1" s="1"/>
  <c r="AW102" i="1"/>
  <c r="AW103" i="1" s="1"/>
  <c r="AW104" i="1" s="1"/>
  <c r="AW105" i="1" s="1"/>
  <c r="AW106" i="1" s="1"/>
  <c r="AW107" i="1" s="1"/>
  <c r="AW108" i="1" s="1"/>
  <c r="AW109" i="1" s="1"/>
  <c r="AV102" i="1"/>
  <c r="AV103" i="1" s="1"/>
  <c r="AV104" i="1" s="1"/>
  <c r="AV105" i="1" s="1"/>
  <c r="AV106" i="1" s="1"/>
  <c r="AV107" i="1" s="1"/>
  <c r="AV108" i="1" s="1"/>
  <c r="AV109" i="1" s="1"/>
  <c r="C102" i="1"/>
  <c r="C103" i="1" s="1"/>
  <c r="C105" i="1" s="1"/>
  <c r="DJ101" i="1"/>
  <c r="DK101" i="1" s="1"/>
  <c r="B101" i="1"/>
  <c r="J90" i="1"/>
  <c r="CN90" i="1" s="1"/>
  <c r="I90" i="1"/>
  <c r="J89" i="1"/>
  <c r="CN89" i="1" s="1"/>
  <c r="I89" i="1"/>
  <c r="C89" i="1"/>
  <c r="DC88" i="1"/>
  <c r="J87" i="1" s="1"/>
  <c r="DA88" i="1"/>
  <c r="CZ88" i="1" s="1"/>
  <c r="AW88" i="1"/>
  <c r="AW89" i="1" s="1"/>
  <c r="AW90" i="1" s="1"/>
  <c r="AV88" i="1"/>
  <c r="AV89" i="1" s="1"/>
  <c r="AV90" i="1" s="1"/>
  <c r="J88" i="1"/>
  <c r="I88" i="1"/>
  <c r="C88" i="1"/>
  <c r="C90" i="1" s="1"/>
  <c r="C94" i="1" s="1"/>
  <c r="DJ87" i="1"/>
  <c r="DK87" i="1" s="1"/>
  <c r="B87" i="1"/>
  <c r="J84" i="1"/>
  <c r="I84" i="1"/>
  <c r="J83" i="1"/>
  <c r="I83" i="1"/>
  <c r="C83" i="1"/>
  <c r="DJ81" i="1"/>
  <c r="DK81" i="1" s="1"/>
  <c r="B81" i="1"/>
  <c r="J96" i="1"/>
  <c r="CN96" i="1" s="1"/>
  <c r="I96" i="1"/>
  <c r="J93" i="1"/>
  <c r="CN93" i="1" s="1"/>
  <c r="I93" i="1"/>
  <c r="C93" i="1"/>
  <c r="DC92" i="1"/>
  <c r="J91" i="1" s="1"/>
  <c r="DA92" i="1"/>
  <c r="CZ92" i="1" s="1"/>
  <c r="J92" i="1"/>
  <c r="H91" i="1" s="1"/>
  <c r="I92" i="1"/>
  <c r="C92" i="1"/>
  <c r="C96" i="1" s="1"/>
  <c r="DJ91" i="1"/>
  <c r="DK91" i="1" s="1"/>
  <c r="B91" i="1"/>
  <c r="DC123" i="1"/>
  <c r="J122" i="1" s="1"/>
  <c r="DP254" i="1"/>
  <c r="DO254" i="1" s="1"/>
  <c r="CN125" i="1"/>
  <c r="DA123" i="1"/>
  <c r="DJ122" i="1"/>
  <c r="DK122" i="1" s="1"/>
  <c r="CN280" i="1"/>
  <c r="CN279" i="1"/>
  <c r="CN278" i="1"/>
  <c r="DC277" i="1"/>
  <c r="DA277" i="1"/>
  <c r="CZ277" i="1" s="1"/>
  <c r="BM277" i="1"/>
  <c r="BM278" i="1" s="1"/>
  <c r="BM279" i="1" s="1"/>
  <c r="BM280" i="1" s="1"/>
  <c r="BL277" i="1"/>
  <c r="BL278" i="1" s="1"/>
  <c r="BL279" i="1" s="1"/>
  <c r="BL280" i="1" s="1"/>
  <c r="BK277" i="1"/>
  <c r="BN277" i="1" s="1"/>
  <c r="DJ276" i="1"/>
  <c r="DK276" i="1" s="1"/>
  <c r="I10" i="1"/>
  <c r="DP250" i="1"/>
  <c r="DO250" i="1" s="1"/>
  <c r="CN271" i="1"/>
  <c r="DC269" i="1"/>
  <c r="DA269" i="1"/>
  <c r="DA270" i="1" s="1"/>
  <c r="DJ268" i="1"/>
  <c r="DK268" i="1" s="1"/>
  <c r="CN267" i="1"/>
  <c r="DC265" i="1"/>
  <c r="J264" i="1" s="1"/>
  <c r="DA265" i="1"/>
  <c r="DJ264" i="1"/>
  <c r="DK264" i="1" s="1"/>
  <c r="CN260" i="1"/>
  <c r="CN259" i="1"/>
  <c r="DC258" i="1"/>
  <c r="J257" i="1" s="1"/>
  <c r="DA258" i="1"/>
  <c r="DJ257" i="1"/>
  <c r="DK257" i="1" s="1"/>
  <c r="DC255" i="1"/>
  <c r="J254" i="1" s="1"/>
  <c r="DJ254" i="1"/>
  <c r="DK254" i="1" s="1"/>
  <c r="DC115" i="1"/>
  <c r="J114" i="1" s="1"/>
  <c r="DA115" i="1"/>
  <c r="DA4" i="1" s="1"/>
  <c r="BM115" i="1"/>
  <c r="BM116" i="1" s="1"/>
  <c r="BM117" i="1" s="1"/>
  <c r="BM118" i="1" s="1"/>
  <c r="BM119" i="1" s="1"/>
  <c r="BM120" i="1" s="1"/>
  <c r="BM121" i="1" s="1"/>
  <c r="BL115" i="1"/>
  <c r="BL116" i="1" s="1"/>
  <c r="BL117" i="1" s="1"/>
  <c r="BL118" i="1" s="1"/>
  <c r="BL119" i="1" s="1"/>
  <c r="BL120" i="1" s="1"/>
  <c r="BL121" i="1" s="1"/>
  <c r="DJ114" i="1"/>
  <c r="DK114" i="1" s="1"/>
  <c r="DA12" i="1"/>
  <c r="BM12" i="1"/>
  <c r="BM13" i="1" s="1"/>
  <c r="BM14" i="1" s="1"/>
  <c r="BL12" i="1"/>
  <c r="BL13" i="1" s="1"/>
  <c r="BL14" i="1" s="1"/>
  <c r="AW12" i="1"/>
  <c r="AW13" i="1" s="1"/>
  <c r="AW14" i="1" s="1"/>
  <c r="AV12" i="1"/>
  <c r="AV13" i="1" s="1"/>
  <c r="AV14" i="1" s="1"/>
  <c r="DJ11" i="1"/>
  <c r="DK11" i="1" s="1"/>
  <c r="B11" i="1"/>
  <c r="DC36" i="1"/>
  <c r="J35" i="1" s="1"/>
  <c r="DA36" i="1"/>
  <c r="BM36" i="1"/>
  <c r="BL36" i="1"/>
  <c r="AW36" i="1"/>
  <c r="AV36" i="1"/>
  <c r="DJ35" i="1"/>
  <c r="DK35" i="1" s="1"/>
  <c r="B35" i="1"/>
  <c r="B10" i="1"/>
  <c r="CP10" i="1"/>
  <c r="CN10" i="1"/>
  <c r="CN118" i="1"/>
  <c r="CN120" i="1"/>
  <c r="CN117" i="1"/>
  <c r="CN266" i="1"/>
  <c r="CQ10" i="1"/>
  <c r="K10" i="1"/>
  <c r="DU268" i="1"/>
  <c r="DQ268" i="1"/>
  <c r="DR268" i="1"/>
  <c r="DS268" i="1"/>
  <c r="DT268" i="1"/>
  <c r="DU306" i="1"/>
  <c r="DQ306" i="1"/>
  <c r="DR306" i="1"/>
  <c r="DS306" i="1"/>
  <c r="DT306" i="1"/>
  <c r="DQ202" i="1"/>
  <c r="DR202" i="1"/>
  <c r="DS202" i="1"/>
  <c r="DT202" i="1"/>
  <c r="DU202" i="1"/>
  <c r="EB15" i="1"/>
  <c r="EH44" i="1"/>
  <c r="EB44" i="1"/>
  <c r="DT257" i="1"/>
  <c r="DS257" i="1"/>
  <c r="DR257" i="1"/>
  <c r="DQ257" i="1"/>
  <c r="DU257" i="1"/>
  <c r="EH15" i="1"/>
  <c r="DM15" i="1"/>
  <c r="DP202" i="1"/>
  <c r="DO202" i="1" s="1"/>
  <c r="DM44" i="1"/>
  <c r="DP268" i="1"/>
  <c r="DO268" i="1" s="1"/>
  <c r="ES44" i="1"/>
  <c r="FR44" i="1"/>
  <c r="FE44" i="1"/>
  <c r="FR15" i="1"/>
  <c r="FK15" i="1"/>
  <c r="EY15" i="1"/>
  <c r="FK44" i="1"/>
  <c r="FE15" i="1"/>
  <c r="EY44" i="1"/>
  <c r="EM44" i="1"/>
  <c r="ES15" i="1"/>
  <c r="EM15" i="1"/>
  <c r="DP257" i="1"/>
  <c r="DO257" i="1" s="1"/>
  <c r="EA86" i="1"/>
  <c r="DN86" i="1"/>
  <c r="ES11" i="1"/>
  <c r="EM11" i="1"/>
  <c r="DM11" i="1"/>
  <c r="FK11" i="1"/>
  <c r="EY11" i="1"/>
  <c r="FE11" i="1"/>
  <c r="FR11" i="1"/>
  <c r="EH11" i="1"/>
  <c r="EB11" i="1"/>
  <c r="EC86" i="1"/>
  <c r="AA9" i="1"/>
  <c r="AW74" i="1" l="1"/>
  <c r="AW76" i="1" s="1"/>
  <c r="AW75" i="1"/>
  <c r="AL74" i="1"/>
  <c r="AL76" i="1" s="1"/>
  <c r="AL75" i="1"/>
  <c r="CP75" i="1"/>
  <c r="ER75" i="1"/>
  <c r="FQ75" i="1"/>
  <c r="FD75" i="1"/>
  <c r="EK75" i="1"/>
  <c r="DT75" i="1"/>
  <c r="FJ75" i="1"/>
  <c r="EE75" i="1"/>
  <c r="DQ75" i="1"/>
  <c r="FW75" i="1"/>
  <c r="EX75" i="1"/>
  <c r="CX75" i="1"/>
  <c r="FO75" i="1"/>
  <c r="K75" i="1"/>
  <c r="CQ75" i="1"/>
  <c r="BA74" i="1"/>
  <c r="BA76" i="1" s="1"/>
  <c r="BA75" i="1"/>
  <c r="BL74" i="1"/>
  <c r="BL76" i="1" s="1"/>
  <c r="BL75" i="1"/>
  <c r="AR74" i="1"/>
  <c r="AR76" i="1" s="1"/>
  <c r="AR75" i="1"/>
  <c r="DS75" i="1" s="1"/>
  <c r="N75" i="1"/>
  <c r="CV75" i="1"/>
  <c r="BB74" i="1"/>
  <c r="BB76" i="1" s="1"/>
  <c r="BB75" i="1"/>
  <c r="BM74" i="1"/>
  <c r="BM76" i="1" s="1"/>
  <c r="BM75" i="1"/>
  <c r="AY74" i="1"/>
  <c r="AY76" i="1" s="1"/>
  <c r="AY75" i="1"/>
  <c r="EQ75" i="1"/>
  <c r="EL75" i="1"/>
  <c r="DR75" i="1"/>
  <c r="CW75" i="1"/>
  <c r="FV75" i="1"/>
  <c r="FP75" i="1"/>
  <c r="AV74" i="1"/>
  <c r="AV76" i="1" s="1"/>
  <c r="AV75" i="1"/>
  <c r="AZ74" i="1"/>
  <c r="AZ76" i="1" s="1"/>
  <c r="AZ75" i="1"/>
  <c r="AX74" i="1"/>
  <c r="AX76" i="1" s="1"/>
  <c r="AX75" i="1"/>
  <c r="FN75" i="1"/>
  <c r="FU75" i="1"/>
  <c r="EP75" i="1"/>
  <c r="EJ75" i="1"/>
  <c r="DP75" i="1"/>
  <c r="FH75" i="1"/>
  <c r="FB75" i="1"/>
  <c r="ED75" i="1"/>
  <c r="EV75" i="1"/>
  <c r="AJ74" i="1"/>
  <c r="AJ76" i="1" s="1"/>
  <c r="AJ75" i="1"/>
  <c r="BM37" i="1"/>
  <c r="BM39" i="1" s="1"/>
  <c r="BM38" i="1"/>
  <c r="AN37" i="1"/>
  <c r="AN39" i="1" s="1"/>
  <c r="AO39" i="1" s="1"/>
  <c r="AN38" i="1"/>
  <c r="AO38" i="1" s="1"/>
  <c r="AQ37" i="1"/>
  <c r="AQ39" i="1" s="1"/>
  <c r="AQ38" i="1"/>
  <c r="AV37" i="1"/>
  <c r="AV39" i="1" s="1"/>
  <c r="AV38" i="1"/>
  <c r="AZ37" i="1"/>
  <c r="AZ39" i="1" s="1"/>
  <c r="AZ38" i="1"/>
  <c r="AY37" i="1"/>
  <c r="AY39" i="1" s="1"/>
  <c r="AY38" i="1"/>
  <c r="AR37" i="1"/>
  <c r="AR39" i="1" s="1"/>
  <c r="AR38" i="1"/>
  <c r="DJ38" i="1" s="1"/>
  <c r="DK38" i="1" s="1"/>
  <c r="AI37" i="1"/>
  <c r="AI39" i="1" s="1"/>
  <c r="AI38" i="1"/>
  <c r="CY38" i="1" s="1"/>
  <c r="AJ37" i="1"/>
  <c r="AJ39" i="1" s="1"/>
  <c r="AJ38" i="1"/>
  <c r="AW37" i="1"/>
  <c r="AW39" i="1" s="1"/>
  <c r="AW38" i="1"/>
  <c r="AL37" i="1"/>
  <c r="AL39" i="1" s="1"/>
  <c r="AL38" i="1"/>
  <c r="AP37" i="1"/>
  <c r="AP39" i="1" s="1"/>
  <c r="AP38" i="1"/>
  <c r="GA38" i="1" s="1"/>
  <c r="BL37" i="1"/>
  <c r="BL39" i="1" s="1"/>
  <c r="BL38" i="1"/>
  <c r="BK37" i="1"/>
  <c r="BK39" i="1" s="1"/>
  <c r="BK38" i="1"/>
  <c r="AU37" i="1"/>
  <c r="AU38" i="1"/>
  <c r="K38" i="1" s="1"/>
  <c r="DI154" i="1"/>
  <c r="DI144" i="1"/>
  <c r="BA37" i="1"/>
  <c r="BA39" i="1" s="1"/>
  <c r="BA38" i="1"/>
  <c r="CQ144" i="1"/>
  <c r="K144" i="1"/>
  <c r="BF141" i="1"/>
  <c r="BF143" i="1"/>
  <c r="BG141" i="1"/>
  <c r="BG143" i="1"/>
  <c r="BH141" i="1"/>
  <c r="BH143" i="1"/>
  <c r="BI141" i="1"/>
  <c r="BI143" i="1"/>
  <c r="BJ141" i="1"/>
  <c r="BJ143" i="1"/>
  <c r="CV162" i="1"/>
  <c r="K142" i="1"/>
  <c r="CQ142" i="1"/>
  <c r="DI162" i="1"/>
  <c r="BG147" i="1"/>
  <c r="BG153" i="1"/>
  <c r="BH147" i="1"/>
  <c r="BH153" i="1"/>
  <c r="BI147" i="1"/>
  <c r="BI153" i="1"/>
  <c r="K154" i="1"/>
  <c r="CQ154" i="1"/>
  <c r="BF147" i="1"/>
  <c r="BF153" i="1"/>
  <c r="BJ147" i="1"/>
  <c r="BJ153" i="1"/>
  <c r="K148" i="1"/>
  <c r="CQ148" i="1"/>
  <c r="BG178" i="1"/>
  <c r="BG149" i="1"/>
  <c r="DI140" i="1"/>
  <c r="DI180" i="1"/>
  <c r="DI179" i="1"/>
  <c r="BH178" i="1"/>
  <c r="BH149" i="1"/>
  <c r="BI178" i="1"/>
  <c r="BI149" i="1"/>
  <c r="K150" i="1"/>
  <c r="CQ150" i="1"/>
  <c r="BF178" i="1"/>
  <c r="BF149" i="1"/>
  <c r="BJ178" i="1"/>
  <c r="BJ149" i="1"/>
  <c r="FA77" i="1"/>
  <c r="K180" i="1"/>
  <c r="CQ179" i="1"/>
  <c r="CQ180" i="1"/>
  <c r="K179" i="1"/>
  <c r="AS56" i="1"/>
  <c r="GA56" i="1" s="1"/>
  <c r="GA55" i="1"/>
  <c r="AS46" i="1"/>
  <c r="GA45" i="1"/>
  <c r="AS37" i="1"/>
  <c r="GA37" i="1" s="1"/>
  <c r="GA36" i="1"/>
  <c r="AS60" i="1"/>
  <c r="GA59" i="1"/>
  <c r="AS22" i="1"/>
  <c r="GA22" i="1" s="1"/>
  <c r="GA21" i="1"/>
  <c r="AS17" i="1"/>
  <c r="GA17" i="1" s="1"/>
  <c r="GA16" i="1"/>
  <c r="AS112" i="1"/>
  <c r="GA111" i="1"/>
  <c r="AS99" i="1"/>
  <c r="GA98" i="1"/>
  <c r="GA102" i="1"/>
  <c r="AS93" i="1"/>
  <c r="DJ93" i="1" s="1"/>
  <c r="DK93" i="1" s="1"/>
  <c r="GA92" i="1"/>
  <c r="AS73" i="1"/>
  <c r="GA72" i="1"/>
  <c r="GA78" i="1"/>
  <c r="AS83" i="1"/>
  <c r="GA83" i="1" s="1"/>
  <c r="GA82" i="1"/>
  <c r="DJ34" i="1"/>
  <c r="DK34" i="1" s="1"/>
  <c r="GA34" i="1"/>
  <c r="AS13" i="1"/>
  <c r="GA12" i="1"/>
  <c r="AS89" i="1"/>
  <c r="DJ89" i="1" s="1"/>
  <c r="DK89" i="1" s="1"/>
  <c r="GA88" i="1"/>
  <c r="AS26" i="1"/>
  <c r="GA26" i="1" s="1"/>
  <c r="GA25" i="1"/>
  <c r="BH15" i="1"/>
  <c r="BH31" i="1"/>
  <c r="BG213" i="1"/>
  <c r="BG15" i="1"/>
  <c r="DB98" i="1"/>
  <c r="J97" i="1"/>
  <c r="K308" i="1"/>
  <c r="K283" i="1"/>
  <c r="K255" i="1"/>
  <c r="K270" i="1"/>
  <c r="K246" i="1"/>
  <c r="K307" i="1"/>
  <c r="K186" i="1"/>
  <c r="K231" i="1"/>
  <c r="K165" i="1"/>
  <c r="K159" i="1"/>
  <c r="K146" i="1"/>
  <c r="K245" i="1"/>
  <c r="K277" i="1"/>
  <c r="K185" i="1"/>
  <c r="K286" i="1"/>
  <c r="K274" i="1"/>
  <c r="K215" i="1"/>
  <c r="K63" i="1"/>
  <c r="K244" i="1"/>
  <c r="K183" i="1"/>
  <c r="K201" i="1"/>
  <c r="K251" i="1"/>
  <c r="K203" i="1"/>
  <c r="K65" i="1"/>
  <c r="K233" i="1"/>
  <c r="K304" i="1"/>
  <c r="K295" i="1"/>
  <c r="K238" i="1"/>
  <c r="K226" i="1"/>
  <c r="K298" i="1"/>
  <c r="K252" i="1"/>
  <c r="K256" i="1"/>
  <c r="K170" i="1"/>
  <c r="K258" i="1"/>
  <c r="K278" i="1"/>
  <c r="K265" i="1"/>
  <c r="K193" i="1"/>
  <c r="K301" i="1"/>
  <c r="K289" i="1"/>
  <c r="K176" i="1"/>
  <c r="K239" i="1"/>
  <c r="K300" i="1"/>
  <c r="K266" i="1"/>
  <c r="K177" i="1"/>
  <c r="K269" i="1"/>
  <c r="K205" i="1"/>
  <c r="K199" i="1"/>
  <c r="K292" i="1"/>
  <c r="K195" i="1"/>
  <c r="K204" i="1"/>
  <c r="K174" i="1"/>
  <c r="K232" i="1"/>
  <c r="K224" i="1"/>
  <c r="K275" i="1"/>
  <c r="K168" i="1"/>
  <c r="K237" i="1"/>
  <c r="K173" i="1"/>
  <c r="K259" i="1"/>
  <c r="K297" i="1"/>
  <c r="K189" i="1"/>
  <c r="K200" i="1"/>
  <c r="K171" i="1"/>
  <c r="K305" i="1"/>
  <c r="K64" i="1"/>
  <c r="K190" i="1"/>
  <c r="K225" i="1"/>
  <c r="K194" i="1"/>
  <c r="K152" i="1"/>
  <c r="K217" i="1"/>
  <c r="K220" i="1"/>
  <c r="K182" i="1"/>
  <c r="K221" i="1"/>
  <c r="K222" i="1"/>
  <c r="K216" i="1"/>
  <c r="DC73" i="1"/>
  <c r="J71" i="1"/>
  <c r="DB251" i="1"/>
  <c r="J250" i="1"/>
  <c r="DB244" i="1"/>
  <c r="J243" i="1"/>
  <c r="J164" i="1"/>
  <c r="DB289" i="1"/>
  <c r="J288" i="1"/>
  <c r="DB277" i="1"/>
  <c r="J276" i="1"/>
  <c r="CP56" i="1"/>
  <c r="Y104" i="1"/>
  <c r="CC104" i="1" s="1"/>
  <c r="Y106" i="1"/>
  <c r="CC106" i="1" s="1"/>
  <c r="DB274" i="1"/>
  <c r="J273" i="1"/>
  <c r="DC270" i="1"/>
  <c r="J268" i="1"/>
  <c r="J198" i="1"/>
  <c r="CV140" i="1"/>
  <c r="BF294" i="1"/>
  <c r="BF285" i="1"/>
  <c r="BF223" i="1"/>
  <c r="BF169" i="1"/>
  <c r="BF110" i="1"/>
  <c r="BF44" i="1"/>
  <c r="BF214" i="1"/>
  <c r="BF151" i="1"/>
  <c r="BF35" i="1"/>
  <c r="BF306" i="1"/>
  <c r="BF213" i="1"/>
  <c r="BF91" i="1"/>
  <c r="BF268" i="1"/>
  <c r="BF161" i="1"/>
  <c r="BF28" i="1"/>
  <c r="BF184" i="1"/>
  <c r="BF198" i="1"/>
  <c r="BF81" i="1"/>
  <c r="BF299" i="1"/>
  <c r="BF155" i="1"/>
  <c r="BF20" i="1"/>
  <c r="BF296" i="1"/>
  <c r="BF138" i="1"/>
  <c r="BF15" i="1"/>
  <c r="BF250" i="1"/>
  <c r="BF132" i="1"/>
  <c r="BF66" i="1"/>
  <c r="BF181" i="1"/>
  <c r="BF58" i="1"/>
  <c r="BF291" i="1"/>
  <c r="BF236" i="1"/>
  <c r="BF175" i="1"/>
  <c r="BF122" i="1"/>
  <c r="BF54" i="1"/>
  <c r="BF288" i="1"/>
  <c r="BF230" i="1"/>
  <c r="BF172" i="1"/>
  <c r="BF114" i="1"/>
  <c r="BF48" i="1"/>
  <c r="BF282" i="1"/>
  <c r="BF219" i="1"/>
  <c r="BF167" i="1"/>
  <c r="BF101" i="1"/>
  <c r="BF40" i="1"/>
  <c r="BF276" i="1"/>
  <c r="BF97" i="1"/>
  <c r="BF273" i="1"/>
  <c r="BF164" i="1"/>
  <c r="BF31" i="1"/>
  <c r="BF303" i="1"/>
  <c r="BF202" i="1"/>
  <c r="BF87" i="1"/>
  <c r="BF264" i="1"/>
  <c r="BF158" i="1"/>
  <c r="BF24" i="1"/>
  <c r="BF257" i="1"/>
  <c r="BF192" i="1"/>
  <c r="BF77" i="1"/>
  <c r="BF254" i="1"/>
  <c r="BF62" i="1"/>
  <c r="BF71" i="1"/>
  <c r="BF145" i="1"/>
  <c r="BF188" i="1"/>
  <c r="BF11" i="1"/>
  <c r="BF243" i="1"/>
  <c r="BF127" i="1"/>
  <c r="BN27" i="1"/>
  <c r="BG188" i="1"/>
  <c r="BG40" i="1"/>
  <c r="BG11" i="1"/>
  <c r="BH188" i="1"/>
  <c r="BH40" i="1"/>
  <c r="BI188" i="1"/>
  <c r="BI40" i="1"/>
  <c r="CB112" i="1"/>
  <c r="X113" i="1"/>
  <c r="CB113" i="1" s="1"/>
  <c r="BJ188" i="1"/>
  <c r="BJ40" i="1"/>
  <c r="K42" i="1"/>
  <c r="CQ42" i="1"/>
  <c r="CQ43" i="1"/>
  <c r="K41" i="1"/>
  <c r="CQ41" i="1"/>
  <c r="K43" i="1"/>
  <c r="DI42" i="1"/>
  <c r="DI43" i="1"/>
  <c r="DI41" i="1"/>
  <c r="DB213" i="1"/>
  <c r="BG91" i="1"/>
  <c r="BG219" i="1"/>
  <c r="BG114" i="1"/>
  <c r="BG101" i="1"/>
  <c r="BG58" i="1"/>
  <c r="BG282" i="1"/>
  <c r="BG28" i="1"/>
  <c r="BG294" i="1"/>
  <c r="AP74" i="1"/>
  <c r="FV73" i="1"/>
  <c r="FP73" i="1"/>
  <c r="DS73" i="1"/>
  <c r="EW73" i="1"/>
  <c r="EF73" i="1"/>
  <c r="FC73" i="1"/>
  <c r="CW73" i="1"/>
  <c r="DR73" i="1"/>
  <c r="EL73" i="1"/>
  <c r="FI73" i="1"/>
  <c r="EQ73" i="1"/>
  <c r="AU74" i="1"/>
  <c r="FH73" i="1"/>
  <c r="EJ73" i="1"/>
  <c r="EP73" i="1"/>
  <c r="FB73" i="1"/>
  <c r="FU73" i="1"/>
  <c r="EV73" i="1"/>
  <c r="ED73" i="1"/>
  <c r="FN73" i="1"/>
  <c r="DP73" i="1"/>
  <c r="AQ74" i="1"/>
  <c r="FO73" i="1"/>
  <c r="FQ73" i="1"/>
  <c r="EE73" i="1"/>
  <c r="CP73" i="1"/>
  <c r="CZ73" i="1" s="1"/>
  <c r="EX73" i="1"/>
  <c r="ER73" i="1"/>
  <c r="CX73" i="1"/>
  <c r="FD73" i="1"/>
  <c r="FW73" i="1"/>
  <c r="DQ73" i="1"/>
  <c r="DT73" i="1"/>
  <c r="EK73" i="1"/>
  <c r="FJ73" i="1"/>
  <c r="AI74" i="1"/>
  <c r="CY73" i="1"/>
  <c r="AS74" i="1"/>
  <c r="C74" i="1"/>
  <c r="C73" i="1"/>
  <c r="C76" i="1" s="1"/>
  <c r="BN73" i="1"/>
  <c r="BK74" i="1"/>
  <c r="K73" i="1"/>
  <c r="CQ73" i="1"/>
  <c r="AO73" i="1"/>
  <c r="AN74" i="1"/>
  <c r="CZ32" i="1"/>
  <c r="AO72" i="1"/>
  <c r="AX79" i="1"/>
  <c r="AX80" i="1" s="1"/>
  <c r="AJ79" i="1"/>
  <c r="AJ80" i="1" s="1"/>
  <c r="AS79" i="1"/>
  <c r="BL79" i="1"/>
  <c r="BL80" i="1" s="1"/>
  <c r="C80" i="1"/>
  <c r="C85" i="1" s="1"/>
  <c r="BM79" i="1"/>
  <c r="BM80" i="1" s="1"/>
  <c r="AU79" i="1"/>
  <c r="AU80" i="1" s="1"/>
  <c r="AV79" i="1"/>
  <c r="AV80" i="1" s="1"/>
  <c r="AO78" i="1"/>
  <c r="AR79" i="1"/>
  <c r="AW79" i="1"/>
  <c r="AW80" i="1" s="1"/>
  <c r="AL79" i="1"/>
  <c r="AL80" i="1" s="1"/>
  <c r="AI79" i="1"/>
  <c r="AI80" i="1" s="1"/>
  <c r="AP79" i="1"/>
  <c r="AP80" i="1" s="1"/>
  <c r="AY79" i="1"/>
  <c r="AY80" i="1" s="1"/>
  <c r="AQ79" i="1"/>
  <c r="AQ80" i="1" s="1"/>
  <c r="CP80" i="1" s="1"/>
  <c r="AZ79" i="1"/>
  <c r="AZ80" i="1" s="1"/>
  <c r="K287" i="1"/>
  <c r="K30" i="1"/>
  <c r="K279" i="1"/>
  <c r="K139" i="1"/>
  <c r="K123" i="1"/>
  <c r="K162" i="1"/>
  <c r="K133" i="1"/>
  <c r="K140" i="1"/>
  <c r="K247" i="1"/>
  <c r="K267" i="1"/>
  <c r="K212" i="1"/>
  <c r="K135" i="1"/>
  <c r="K157" i="1"/>
  <c r="K261" i="1"/>
  <c r="K284" i="1"/>
  <c r="K115" i="1"/>
  <c r="K125" i="1"/>
  <c r="K191" i="1"/>
  <c r="K293" i="1"/>
  <c r="K29" i="1"/>
  <c r="K118" i="1"/>
  <c r="K262" i="1"/>
  <c r="K302" i="1"/>
  <c r="K240" i="1"/>
  <c r="K124" i="1"/>
  <c r="K280" i="1"/>
  <c r="K207" i="1"/>
  <c r="K126" i="1"/>
  <c r="K116" i="1"/>
  <c r="K242" i="1"/>
  <c r="K290" i="1"/>
  <c r="K260" i="1"/>
  <c r="K241" i="1"/>
  <c r="K128" i="1"/>
  <c r="K156" i="1"/>
  <c r="K206" i="1"/>
  <c r="K160" i="1"/>
  <c r="K309" i="1"/>
  <c r="K117" i="1"/>
  <c r="K119" i="1"/>
  <c r="K253" i="1"/>
  <c r="K208" i="1"/>
  <c r="K134" i="1"/>
  <c r="K163" i="1"/>
  <c r="K129" i="1"/>
  <c r="K263" i="1"/>
  <c r="K271" i="1"/>
  <c r="K197" i="1"/>
  <c r="K196" i="1"/>
  <c r="K136" i="1"/>
  <c r="K310" i="1"/>
  <c r="K210" i="1"/>
  <c r="K211" i="1"/>
  <c r="K311" i="1"/>
  <c r="K131" i="1"/>
  <c r="K120" i="1"/>
  <c r="K130" i="1"/>
  <c r="K166" i="1"/>
  <c r="K209" i="1"/>
  <c r="K234" i="1"/>
  <c r="K272" i="1"/>
  <c r="K227" i="1"/>
  <c r="K218" i="1"/>
  <c r="K121" i="1"/>
  <c r="K235" i="1"/>
  <c r="K228" i="1"/>
  <c r="K229" i="1"/>
  <c r="GB163" i="1"/>
  <c r="CV163" i="1"/>
  <c r="DJ37" i="1"/>
  <c r="DK37" i="1" s="1"/>
  <c r="FM77" i="1"/>
  <c r="CQ190" i="1"/>
  <c r="CQ189" i="1"/>
  <c r="CQ191" i="1"/>
  <c r="DI189" i="1"/>
  <c r="DI190" i="1"/>
  <c r="DI191" i="1"/>
  <c r="CW287" i="1"/>
  <c r="CV139" i="1"/>
  <c r="CW32" i="1"/>
  <c r="CX32" i="1"/>
  <c r="DJ102" i="1"/>
  <c r="DK102" i="1" s="1"/>
  <c r="AU83" i="1"/>
  <c r="CQ83" i="1" s="1"/>
  <c r="EL287" i="1"/>
  <c r="FV287" i="1"/>
  <c r="DS287" i="1"/>
  <c r="EW287" i="1"/>
  <c r="DR287" i="1"/>
  <c r="EQ287" i="1"/>
  <c r="FP287" i="1"/>
  <c r="FI287" i="1"/>
  <c r="EF287" i="1"/>
  <c r="FC287" i="1"/>
  <c r="EJ287" i="1"/>
  <c r="FH287" i="1"/>
  <c r="DP287" i="1"/>
  <c r="FN287" i="1"/>
  <c r="FB287" i="1"/>
  <c r="FU287" i="1"/>
  <c r="ED287" i="1"/>
  <c r="EV287" i="1"/>
  <c r="EP287" i="1"/>
  <c r="DJ287" i="1"/>
  <c r="DK287" i="1" s="1"/>
  <c r="DU287" i="1"/>
  <c r="DI287" i="1"/>
  <c r="ER287" i="1"/>
  <c r="EX287" i="1"/>
  <c r="FO287" i="1"/>
  <c r="FJ287" i="1"/>
  <c r="EE287" i="1"/>
  <c r="FQ287" i="1"/>
  <c r="EK287" i="1"/>
  <c r="DT287" i="1"/>
  <c r="CP287" i="1"/>
  <c r="FD287" i="1"/>
  <c r="FW287" i="1"/>
  <c r="DQ287" i="1"/>
  <c r="CY287" i="1"/>
  <c r="N287" i="1" s="1"/>
  <c r="BN286" i="1"/>
  <c r="BK287" i="1"/>
  <c r="BN287" i="1" s="1"/>
  <c r="CQ287" i="1"/>
  <c r="FP32" i="1"/>
  <c r="DI32" i="1"/>
  <c r="CY32" i="1"/>
  <c r="N32" i="1" s="1"/>
  <c r="EP32" i="1"/>
  <c r="EQ32" i="1"/>
  <c r="CC211" i="1"/>
  <c r="CL211" i="1" s="1"/>
  <c r="FZ211" i="1" s="1"/>
  <c r="BL209" i="1"/>
  <c r="BL212" i="1" s="1"/>
  <c r="BL210" i="1"/>
  <c r="BO209" i="1"/>
  <c r="BO212" i="1" s="1"/>
  <c r="BO210" i="1"/>
  <c r="BM209" i="1"/>
  <c r="BM212" i="1" s="1"/>
  <c r="BM210" i="1"/>
  <c r="EE32" i="1"/>
  <c r="CO32" i="1"/>
  <c r="M32" i="1" s="1"/>
  <c r="DT32" i="1"/>
  <c r="FV32" i="1"/>
  <c r="CC209" i="1"/>
  <c r="CL209" i="1" s="1"/>
  <c r="FZ209" i="1" s="1"/>
  <c r="EX32" i="1"/>
  <c r="EK32" i="1"/>
  <c r="EF32" i="1"/>
  <c r="DI139" i="1"/>
  <c r="CQ163" i="1"/>
  <c r="CQ162" i="1"/>
  <c r="CP94" i="1"/>
  <c r="BG138" i="1"/>
  <c r="BG161" i="1"/>
  <c r="BH138" i="1"/>
  <c r="BH161" i="1"/>
  <c r="BI138" i="1"/>
  <c r="BI161" i="1"/>
  <c r="BJ138" i="1"/>
  <c r="BJ161" i="1"/>
  <c r="CQ139" i="1"/>
  <c r="CQ140" i="1"/>
  <c r="EW32" i="1"/>
  <c r="FJ32" i="1"/>
  <c r="FB32" i="1"/>
  <c r="FC32" i="1"/>
  <c r="CQ258" i="1"/>
  <c r="CN244" i="1"/>
  <c r="CN115" i="1"/>
  <c r="CN123" i="1"/>
  <c r="CN55" i="1"/>
  <c r="H54" i="1"/>
  <c r="CN295" i="1"/>
  <c r="CN199" i="1"/>
  <c r="CN88" i="1"/>
  <c r="H87" i="1"/>
  <c r="CN21" i="1"/>
  <c r="H20" i="1"/>
  <c r="CN133" i="1"/>
  <c r="CP251" i="1"/>
  <c r="CZ251" i="1" s="1"/>
  <c r="CN220" i="1"/>
  <c r="CN168" i="1"/>
  <c r="CN152" i="1"/>
  <c r="DU32" i="1"/>
  <c r="FQ32" i="1"/>
  <c r="CP269" i="1"/>
  <c r="CZ269" i="1" s="1"/>
  <c r="CP72" i="1"/>
  <c r="CZ72" i="1" s="1"/>
  <c r="H71" i="1"/>
  <c r="CN274" i="1"/>
  <c r="ER32" i="1"/>
  <c r="FU32" i="1"/>
  <c r="CN237" i="1"/>
  <c r="CN63" i="1"/>
  <c r="CQ82" i="1"/>
  <c r="H81" i="1"/>
  <c r="CN300" i="1"/>
  <c r="CN159" i="1"/>
  <c r="ED32" i="1"/>
  <c r="CN29" i="1"/>
  <c r="CN289" i="1"/>
  <c r="EV32" i="1"/>
  <c r="EL32" i="1"/>
  <c r="BA112" i="1"/>
  <c r="BA113" i="1" s="1"/>
  <c r="BA103" i="1"/>
  <c r="BA99" i="1"/>
  <c r="BA93" i="1"/>
  <c r="BA89" i="1"/>
  <c r="BA79" i="1"/>
  <c r="BA60" i="1"/>
  <c r="BA56" i="1"/>
  <c r="BA50" i="1"/>
  <c r="AU46" i="1"/>
  <c r="CQ46" i="1" s="1"/>
  <c r="BB34" i="1"/>
  <c r="AU22" i="1"/>
  <c r="K22" i="1" s="1"/>
  <c r="CQ17" i="1"/>
  <c r="AX83" i="1"/>
  <c r="AX37" i="1"/>
  <c r="AX26" i="1"/>
  <c r="DQ32" i="1"/>
  <c r="FI32" i="1"/>
  <c r="FN32" i="1"/>
  <c r="DR32" i="1"/>
  <c r="EJ32" i="1"/>
  <c r="FO32" i="1"/>
  <c r="FH32" i="1"/>
  <c r="FW32" i="1"/>
  <c r="FD32" i="1"/>
  <c r="DS32" i="1"/>
  <c r="DP32" i="1"/>
  <c r="CL33" i="1"/>
  <c r="FZ33" i="1" s="1"/>
  <c r="BX34" i="1"/>
  <c r="J34" i="1"/>
  <c r="CQ34" i="1" s="1"/>
  <c r="BY34" i="1"/>
  <c r="I34" i="1"/>
  <c r="CQ32" i="1"/>
  <c r="CQ33" i="1"/>
  <c r="K32" i="1"/>
  <c r="K33" i="1"/>
  <c r="CP33" i="1"/>
  <c r="CN33" i="1"/>
  <c r="BG158" i="1"/>
  <c r="BG31" i="1"/>
  <c r="BH155" i="1"/>
  <c r="CP307" i="1"/>
  <c r="CZ307" i="1" s="1"/>
  <c r="BI296" i="1"/>
  <c r="BI31" i="1"/>
  <c r="CP309" i="1"/>
  <c r="BJ132" i="1"/>
  <c r="BJ31" i="1"/>
  <c r="CZ127" i="1"/>
  <c r="CZ31" i="1"/>
  <c r="AV68" i="1"/>
  <c r="AV70" i="1" s="1"/>
  <c r="AV69" i="1"/>
  <c r="BN67" i="1"/>
  <c r="BK69" i="1"/>
  <c r="BN69" i="1" s="1"/>
  <c r="AW68" i="1"/>
  <c r="AW70" i="1" s="1"/>
  <c r="AW69" i="1"/>
  <c r="AL68" i="1"/>
  <c r="AL70" i="1" s="1"/>
  <c r="AL69" i="1"/>
  <c r="AO67" i="1"/>
  <c r="AN69" i="1"/>
  <c r="AO69" i="1" s="1"/>
  <c r="BL68" i="1"/>
  <c r="BL70" i="1" s="1"/>
  <c r="BL69" i="1"/>
  <c r="AR68" i="1"/>
  <c r="AR70" i="1" s="1"/>
  <c r="AR69" i="1"/>
  <c r="BM68" i="1"/>
  <c r="BM70" i="1" s="1"/>
  <c r="BM69" i="1"/>
  <c r="AP68" i="1"/>
  <c r="AP70" i="1" s="1"/>
  <c r="AP69" i="1"/>
  <c r="BA68" i="1"/>
  <c r="BA69" i="1"/>
  <c r="AZ68" i="1"/>
  <c r="AZ70" i="1" s="1"/>
  <c r="AZ69" i="1"/>
  <c r="AU68" i="1"/>
  <c r="AU70" i="1" s="1"/>
  <c r="AU69" i="1"/>
  <c r="AY68" i="1"/>
  <c r="AY70" i="1" s="1"/>
  <c r="AY69" i="1"/>
  <c r="AQ68" i="1"/>
  <c r="AQ70" i="1" s="1"/>
  <c r="AQ69" i="1"/>
  <c r="CX69" i="1" s="1"/>
  <c r="AJ68" i="1"/>
  <c r="AJ70" i="1" s="1"/>
  <c r="AJ69" i="1"/>
  <c r="AX68" i="1"/>
  <c r="AX70" i="1" s="1"/>
  <c r="AX69" i="1"/>
  <c r="AI68" i="1"/>
  <c r="AI70" i="1" s="1"/>
  <c r="AI69" i="1"/>
  <c r="AS68" i="1"/>
  <c r="AS69" i="1"/>
  <c r="BU111" i="1"/>
  <c r="BY111" i="1"/>
  <c r="K21" i="1"/>
  <c r="CQ252" i="1"/>
  <c r="CP255" i="1"/>
  <c r="CP224" i="1"/>
  <c r="CZ224" i="1" s="1"/>
  <c r="DJ224" i="1"/>
  <c r="DK224" i="1" s="1"/>
  <c r="BJ71" i="1"/>
  <c r="BJ48" i="1"/>
  <c r="BJ114" i="1"/>
  <c r="BJ11" i="1"/>
  <c r="CP173" i="1"/>
  <c r="BH54" i="1"/>
  <c r="CQ283" i="1"/>
  <c r="BH101" i="1"/>
  <c r="BH81" i="1"/>
  <c r="K78" i="1"/>
  <c r="BH264" i="1"/>
  <c r="BH213" i="1"/>
  <c r="BH48" i="1"/>
  <c r="BX215" i="1"/>
  <c r="U103" i="1"/>
  <c r="I103" i="1" s="1"/>
  <c r="BH44" i="1"/>
  <c r="DJ22" i="1"/>
  <c r="DK22" i="1" s="1"/>
  <c r="BH306" i="1"/>
  <c r="BY37" i="1"/>
  <c r="BH122" i="1"/>
  <c r="U112" i="1"/>
  <c r="U113" i="1" s="1"/>
  <c r="BI66" i="1"/>
  <c r="CL10" i="1"/>
  <c r="BJ268" i="1"/>
  <c r="BJ81" i="1"/>
  <c r="BJ192" i="1"/>
  <c r="BJ214" i="1"/>
  <c r="BJ285" i="1"/>
  <c r="BJ306" i="1"/>
  <c r="BJ223" i="1"/>
  <c r="BJ198" i="1"/>
  <c r="BJ101" i="1"/>
  <c r="BJ91" i="1"/>
  <c r="BJ20" i="1"/>
  <c r="BJ35" i="1"/>
  <c r="BJ257" i="1"/>
  <c r="BJ213" i="1"/>
  <c r="BJ303" i="1"/>
  <c r="I102" i="1"/>
  <c r="BJ58" i="1"/>
  <c r="BJ87" i="1"/>
  <c r="BJ54" i="1"/>
  <c r="BJ288" i="1"/>
  <c r="BJ250" i="1"/>
  <c r="BJ28" i="1"/>
  <c r="BJ202" i="1"/>
  <c r="BJ77" i="1"/>
  <c r="BJ122" i="1"/>
  <c r="BJ254" i="1"/>
  <c r="BJ276" i="1"/>
  <c r="BJ66" i="1"/>
  <c r="BJ62" i="1"/>
  <c r="BJ264" i="1"/>
  <c r="BJ230" i="1"/>
  <c r="BJ291" i="1"/>
  <c r="BJ15" i="1"/>
  <c r="BJ243" i="1"/>
  <c r="BJ236" i="1"/>
  <c r="BJ299" i="1"/>
  <c r="BJ282" i="1"/>
  <c r="BJ44" i="1"/>
  <c r="BJ219" i="1"/>
  <c r="BJ294" i="1"/>
  <c r="BI44" i="1"/>
  <c r="CP82" i="1"/>
  <c r="CZ82" i="1" s="1"/>
  <c r="BI35" i="1"/>
  <c r="BI294" i="1"/>
  <c r="BI184" i="1"/>
  <c r="FG77" i="1"/>
  <c r="CZ236" i="1"/>
  <c r="BI264" i="1"/>
  <c r="BI268" i="1"/>
  <c r="CP83" i="1"/>
  <c r="BI77" i="1"/>
  <c r="BN98" i="1"/>
  <c r="BM99" i="1"/>
  <c r="BM100" i="1" s="1"/>
  <c r="CP171" i="1"/>
  <c r="BB55" i="1"/>
  <c r="BB56" i="1" s="1"/>
  <c r="BB57" i="1" s="1"/>
  <c r="BI97" i="1"/>
  <c r="CP98" i="1"/>
  <c r="BB78" i="1"/>
  <c r="BJ97" i="1"/>
  <c r="BB67" i="1"/>
  <c r="AN99" i="1"/>
  <c r="BB25" i="1"/>
  <c r="BB26" i="1" s="1"/>
  <c r="BB27" i="1" s="1"/>
  <c r="BB16" i="1"/>
  <c r="BB17" i="1" s="1"/>
  <c r="BB18" i="1" s="1"/>
  <c r="BB19" i="1" s="1"/>
  <c r="BB102" i="1"/>
  <c r="BB103" i="1" s="1"/>
  <c r="BB104" i="1" s="1"/>
  <c r="BB105" i="1" s="1"/>
  <c r="BB106" i="1" s="1"/>
  <c r="BB107" i="1" s="1"/>
  <c r="BB108" i="1" s="1"/>
  <c r="BB109" i="1" s="1"/>
  <c r="BB36" i="1"/>
  <c r="BB21" i="1"/>
  <c r="BB22" i="1" s="1"/>
  <c r="BB23" i="1" s="1"/>
  <c r="BH97" i="1"/>
  <c r="CL100" i="1"/>
  <c r="CL98" i="1"/>
  <c r="CL99" i="1"/>
  <c r="CQ98" i="1"/>
  <c r="CN98" i="1"/>
  <c r="AU99" i="1"/>
  <c r="AU100" i="1" s="1"/>
  <c r="K98" i="1"/>
  <c r="BB98" i="1"/>
  <c r="BB99" i="1" s="1"/>
  <c r="BB100" i="1" s="1"/>
  <c r="DJ98" i="1"/>
  <c r="DK98" i="1" s="1"/>
  <c r="AQ99" i="1"/>
  <c r="AQ100" i="1" s="1"/>
  <c r="CP100" i="1" s="1"/>
  <c r="BG303" i="1"/>
  <c r="BG97" i="1"/>
  <c r="CP263" i="1"/>
  <c r="DJ115" i="1"/>
  <c r="DK115" i="1" s="1"/>
  <c r="CP170" i="1"/>
  <c r="CL171" i="1"/>
  <c r="FZ171" i="1" s="1"/>
  <c r="CN251" i="1"/>
  <c r="CQ220" i="1"/>
  <c r="BG35" i="1"/>
  <c r="BG122" i="1"/>
  <c r="BG306" i="1"/>
  <c r="BG44" i="1"/>
  <c r="BG192" i="1"/>
  <c r="BG62" i="1"/>
  <c r="BG71" i="1"/>
  <c r="DJ88" i="1"/>
  <c r="DK88" i="1" s="1"/>
  <c r="BG184" i="1"/>
  <c r="BG145" i="1"/>
  <c r="BG264" i="1"/>
  <c r="BG81" i="1"/>
  <c r="BG288" i="1"/>
  <c r="CQ241" i="1"/>
  <c r="BG257" i="1"/>
  <c r="BG87" i="1"/>
  <c r="BG268" i="1"/>
  <c r="BG230" i="1"/>
  <c r="BG285" i="1"/>
  <c r="BG66" i="1"/>
  <c r="BG223" i="1"/>
  <c r="BG214" i="1"/>
  <c r="BG198" i="1"/>
  <c r="CP84" i="1"/>
  <c r="CN82" i="1"/>
  <c r="BG291" i="1"/>
  <c r="CQ125" i="1"/>
  <c r="BG250" i="1"/>
  <c r="BG77" i="1"/>
  <c r="BG276" i="1"/>
  <c r="BG254" i="1"/>
  <c r="BG48" i="1"/>
  <c r="BG243" i="1"/>
  <c r="BG202" i="1"/>
  <c r="BG236" i="1"/>
  <c r="BG54" i="1"/>
  <c r="BG299" i="1"/>
  <c r="BG20" i="1"/>
  <c r="DJ78" i="1"/>
  <c r="DK78" i="1" s="1"/>
  <c r="DJ82" i="1"/>
  <c r="DK82" i="1" s="1"/>
  <c r="CQ203" i="1"/>
  <c r="BG296" i="1"/>
  <c r="BG155" i="1"/>
  <c r="CP90" i="1"/>
  <c r="J102" i="1"/>
  <c r="CP102" i="1" s="1"/>
  <c r="CZ102" i="1" s="1"/>
  <c r="BH91" i="1"/>
  <c r="BH243" i="1"/>
  <c r="BH87" i="1"/>
  <c r="BH268" i="1"/>
  <c r="BH35" i="1"/>
  <c r="BH288" i="1"/>
  <c r="BH236" i="1"/>
  <c r="BH28" i="1"/>
  <c r="BH299" i="1"/>
  <c r="BH71" i="1"/>
  <c r="BH198" i="1"/>
  <c r="DJ29" i="1"/>
  <c r="DK29" i="1" s="1"/>
  <c r="CZ257" i="1"/>
  <c r="CP302" i="1"/>
  <c r="DJ152" i="1"/>
  <c r="DK152" i="1" s="1"/>
  <c r="CP116" i="1"/>
  <c r="K82" i="1"/>
  <c r="CQ309" i="1"/>
  <c r="DJ258" i="1"/>
  <c r="DK258" i="1" s="1"/>
  <c r="DJ289" i="1"/>
  <c r="DK289" i="1" s="1"/>
  <c r="BH254" i="1"/>
  <c r="BH276" i="1"/>
  <c r="BH202" i="1"/>
  <c r="BH285" i="1"/>
  <c r="BH114" i="1"/>
  <c r="BH66" i="1"/>
  <c r="BH219" i="1"/>
  <c r="BH192" i="1"/>
  <c r="BH62" i="1"/>
  <c r="CP228" i="1"/>
  <c r="BH294" i="1"/>
  <c r="BH214" i="1"/>
  <c r="BH20" i="1"/>
  <c r="CP30" i="1"/>
  <c r="AN17" i="1"/>
  <c r="AO17" i="1" s="1"/>
  <c r="FT77" i="1"/>
  <c r="CP235" i="1"/>
  <c r="CQ80" i="1"/>
  <c r="BH250" i="1"/>
  <c r="BH257" i="1"/>
  <c r="BH230" i="1"/>
  <c r="BH11" i="1"/>
  <c r="BH282" i="1"/>
  <c r="BH58" i="1"/>
  <c r="BH77" i="1"/>
  <c r="BH223" i="1"/>
  <c r="BN171" i="1"/>
  <c r="BN170" i="1"/>
  <c r="CN170" i="1"/>
  <c r="CL170" i="1"/>
  <c r="FZ170" i="1" s="1"/>
  <c r="CQ170" i="1"/>
  <c r="DJ170" i="1"/>
  <c r="DK170" i="1" s="1"/>
  <c r="DJ171" i="1"/>
  <c r="DK171" i="1" s="1"/>
  <c r="BH169" i="1"/>
  <c r="K80" i="1"/>
  <c r="CQ205" i="1"/>
  <c r="CQ196" i="1"/>
  <c r="I36" i="1"/>
  <c r="CP121" i="1"/>
  <c r="J36" i="1"/>
  <c r="CP85" i="1"/>
  <c r="DJ231" i="1"/>
  <c r="DK231" i="1" s="1"/>
  <c r="CQ193" i="1"/>
  <c r="BI169" i="1"/>
  <c r="K88" i="1"/>
  <c r="CQ29" i="1"/>
  <c r="CQ195" i="1"/>
  <c r="CQ21" i="1"/>
  <c r="DJ36" i="1"/>
  <c r="DK36" i="1" s="1"/>
  <c r="DJ92" i="1"/>
  <c r="DK92" i="1" s="1"/>
  <c r="DJ59" i="1"/>
  <c r="DK59" i="1" s="1"/>
  <c r="CE36" i="1"/>
  <c r="BU102" i="1"/>
  <c r="BJ169" i="1"/>
  <c r="CQ171" i="1"/>
  <c r="CP203" i="1"/>
  <c r="DJ260" i="1"/>
  <c r="DK260" i="1" s="1"/>
  <c r="DJ259" i="1"/>
  <c r="DK259" i="1" s="1"/>
  <c r="DJ270" i="1"/>
  <c r="DK270" i="1" s="1"/>
  <c r="CQ240" i="1"/>
  <c r="CP283" i="1"/>
  <c r="CQ207" i="1"/>
  <c r="BY102" i="1"/>
  <c r="BG169" i="1"/>
  <c r="CN121" i="1"/>
  <c r="DJ30" i="1"/>
  <c r="DK30" i="1" s="1"/>
  <c r="CP152" i="1"/>
  <c r="CL152" i="1"/>
  <c r="FZ152" i="1" s="1"/>
  <c r="DJ186" i="1"/>
  <c r="DK186" i="1" s="1"/>
  <c r="C104" i="1"/>
  <c r="C106" i="1" s="1"/>
  <c r="C107" i="1" s="1"/>
  <c r="C108" i="1" s="1"/>
  <c r="C109" i="1" s="1"/>
  <c r="DJ284" i="1"/>
  <c r="DK284" i="1" s="1"/>
  <c r="K57" i="1"/>
  <c r="CQ152" i="1"/>
  <c r="BB82" i="1"/>
  <c r="BB83" i="1" s="1"/>
  <c r="BB84" i="1" s="1"/>
  <c r="BB85" i="1" s="1"/>
  <c r="BB86" i="1" s="1"/>
  <c r="CQ295" i="1"/>
  <c r="CP301" i="1"/>
  <c r="DJ272" i="1"/>
  <c r="DK272" i="1" s="1"/>
  <c r="CQ89" i="1"/>
  <c r="CQ301" i="1"/>
  <c r="BG151" i="1"/>
  <c r="BH151" i="1"/>
  <c r="CE12" i="1"/>
  <c r="BI151" i="1"/>
  <c r="DJ134" i="1"/>
  <c r="DK134" i="1" s="1"/>
  <c r="BJ151" i="1"/>
  <c r="BN134" i="1"/>
  <c r="CL134" i="1"/>
  <c r="FZ134" i="1" s="1"/>
  <c r="CZ35" i="1"/>
  <c r="CZ223" i="1"/>
  <c r="CP134" i="1"/>
  <c r="DJ220" i="1"/>
  <c r="DK220" i="1" s="1"/>
  <c r="CZ81" i="1"/>
  <c r="CZ114" i="1"/>
  <c r="CQ134" i="1"/>
  <c r="K92" i="1"/>
  <c r="DJ16" i="1"/>
  <c r="DK16" i="1" s="1"/>
  <c r="CZ264" i="1"/>
  <c r="CZ268" i="1"/>
  <c r="DJ271" i="1"/>
  <c r="DK271" i="1" s="1"/>
  <c r="CZ192" i="1"/>
  <c r="CZ54" i="1"/>
  <c r="CZ306" i="1"/>
  <c r="CZ48" i="1"/>
  <c r="BK293" i="1"/>
  <c r="BN293" i="1" s="1"/>
  <c r="CQ262" i="1"/>
  <c r="CZ122" i="1"/>
  <c r="CZ58" i="1"/>
  <c r="I95" i="1"/>
  <c r="CZ250" i="1"/>
  <c r="CZ214" i="1"/>
  <c r="CQ292" i="1"/>
  <c r="J95" i="1"/>
  <c r="CZ101" i="1"/>
  <c r="CZ71" i="1"/>
  <c r="DJ283" i="1"/>
  <c r="DK283" i="1" s="1"/>
  <c r="CZ44" i="1"/>
  <c r="CZ213" i="1"/>
  <c r="CQ200" i="1"/>
  <c r="DJ269" i="1"/>
  <c r="DK269" i="1" s="1"/>
  <c r="CP59" i="1"/>
  <c r="CZ59" i="1" s="1"/>
  <c r="FA35" i="1"/>
  <c r="CZ15" i="1"/>
  <c r="CN116" i="1"/>
  <c r="K89" i="1"/>
  <c r="CN229" i="1"/>
  <c r="CN94" i="1"/>
  <c r="CP29" i="1"/>
  <c r="CZ29" i="1" s="1"/>
  <c r="CP308" i="1"/>
  <c r="CQ156" i="1"/>
  <c r="DJ218" i="1"/>
  <c r="DK218" i="1" s="1"/>
  <c r="CP267" i="1"/>
  <c r="DJ67" i="1"/>
  <c r="DK67" i="1" s="1"/>
  <c r="CP310" i="1"/>
  <c r="CP260" i="1"/>
  <c r="CQ251" i="1"/>
  <c r="CQ194" i="1"/>
  <c r="CE39" i="1"/>
  <c r="CE37" i="1"/>
  <c r="CL136" i="1"/>
  <c r="FZ136" i="1" s="1"/>
  <c r="CP266" i="1"/>
  <c r="CP241" i="1"/>
  <c r="CZ241" i="1" s="1"/>
  <c r="DJ255" i="1"/>
  <c r="DK255" i="1" s="1"/>
  <c r="DJ194" i="1"/>
  <c r="DK194" i="1" s="1"/>
  <c r="DJ286" i="1"/>
  <c r="DK286" i="1" s="1"/>
  <c r="BA45" i="1"/>
  <c r="BA46" i="1" s="1"/>
  <c r="BA47" i="1" s="1"/>
  <c r="DJ216" i="1"/>
  <c r="DK216" i="1" s="1"/>
  <c r="CP194" i="1"/>
  <c r="CP193" i="1"/>
  <c r="CZ193" i="1" s="1"/>
  <c r="BB59" i="1"/>
  <c r="BB60" i="1" s="1"/>
  <c r="BB61" i="1" s="1"/>
  <c r="DJ12" i="1"/>
  <c r="DK12" i="1" s="1"/>
  <c r="J12" i="1"/>
  <c r="DJ215" i="1"/>
  <c r="DK215" i="1" s="1"/>
  <c r="CP195" i="1"/>
  <c r="CP244" i="1"/>
  <c r="DJ265" i="1"/>
  <c r="DK265" i="1" s="1"/>
  <c r="DJ217" i="1"/>
  <c r="DK217" i="1" s="1"/>
  <c r="BH132" i="1"/>
  <c r="I12" i="1"/>
  <c r="CP49" i="1"/>
  <c r="CZ49" i="1" s="1"/>
  <c r="CP61" i="1"/>
  <c r="DJ237" i="1"/>
  <c r="DK237" i="1" s="1"/>
  <c r="CP201" i="1"/>
  <c r="CP199" i="1"/>
  <c r="BK46" i="1"/>
  <c r="BK47" i="1" s="1"/>
  <c r="BN47" i="1" s="1"/>
  <c r="BN133" i="1"/>
  <c r="CL135" i="1"/>
  <c r="FZ135" i="1" s="1"/>
  <c r="CL133" i="1"/>
  <c r="FZ133" i="1" s="1"/>
  <c r="CP133" i="1"/>
  <c r="DJ133" i="1"/>
  <c r="DK133" i="1" s="1"/>
  <c r="CP135" i="1"/>
  <c r="DJ136" i="1"/>
  <c r="DK136" i="1" s="1"/>
  <c r="CP136" i="1"/>
  <c r="CQ133" i="1"/>
  <c r="CQ206" i="1"/>
  <c r="CP19" i="1"/>
  <c r="DJ55" i="1"/>
  <c r="DK55" i="1" s="1"/>
  <c r="BJ296" i="1"/>
  <c r="BK135" i="1"/>
  <c r="DJ135" i="1"/>
  <c r="DK135" i="1" s="1"/>
  <c r="CB102" i="1"/>
  <c r="CQ135" i="1"/>
  <c r="CQ136" i="1"/>
  <c r="CN193" i="1"/>
  <c r="DJ63" i="1"/>
  <c r="DK63" i="1" s="1"/>
  <c r="BJ184" i="1"/>
  <c r="DJ199" i="1"/>
  <c r="DK199" i="1" s="1"/>
  <c r="CQ204" i="1"/>
  <c r="CQ270" i="1"/>
  <c r="CQ310" i="1"/>
  <c r="CP258" i="1"/>
  <c r="CZ258" i="1" s="1"/>
  <c r="CP233" i="1"/>
  <c r="CQ197" i="1"/>
  <c r="CP206" i="1"/>
  <c r="CQ253" i="1"/>
  <c r="CP270" i="1"/>
  <c r="CZ270" i="1" s="1"/>
  <c r="BJ155" i="1"/>
  <c r="BA16" i="1"/>
  <c r="BA17" i="1" s="1"/>
  <c r="BA18" i="1" s="1"/>
  <c r="BA19" i="1" s="1"/>
  <c r="BG132" i="1"/>
  <c r="CQ300" i="1"/>
  <c r="CP60" i="1"/>
  <c r="CQ238" i="1"/>
  <c r="BI132" i="1"/>
  <c r="CP300" i="1"/>
  <c r="BH273" i="1"/>
  <c r="AR61" i="1"/>
  <c r="DJ60" i="1"/>
  <c r="DK60" i="1" s="1"/>
  <c r="BH184" i="1"/>
  <c r="BY36" i="1"/>
  <c r="BH24" i="1"/>
  <c r="BH167" i="1"/>
  <c r="CP242" i="1"/>
  <c r="CP196" i="1"/>
  <c r="DF5" i="1"/>
  <c r="BH296" i="1"/>
  <c r="CQ260" i="1"/>
  <c r="CN256" i="1"/>
  <c r="CQ55" i="1"/>
  <c r="CQ245" i="1"/>
  <c r="CP256" i="1"/>
  <c r="DJ125" i="1"/>
  <c r="DK125" i="1" s="1"/>
  <c r="K55" i="1"/>
  <c r="CQ59" i="1"/>
  <c r="CP227" i="1"/>
  <c r="BH145" i="1"/>
  <c r="BU36" i="1"/>
  <c r="CQ242" i="1"/>
  <c r="CP51" i="1"/>
  <c r="AN60" i="1"/>
  <c r="AO60" i="1" s="1"/>
  <c r="CP118" i="1"/>
  <c r="CP271" i="1"/>
  <c r="CQ256" i="1"/>
  <c r="CN80" i="1"/>
  <c r="CN156" i="1"/>
  <c r="BH172" i="1"/>
  <c r="BH164" i="1"/>
  <c r="BH158" i="1"/>
  <c r="BH181" i="1"/>
  <c r="CP126" i="1"/>
  <c r="FG192" i="1"/>
  <c r="BH291" i="1"/>
  <c r="AN56" i="1"/>
  <c r="AO56" i="1" s="1"/>
  <c r="BH110" i="1"/>
  <c r="DJ126" i="1"/>
  <c r="DK126" i="1" s="1"/>
  <c r="CQ237" i="1"/>
  <c r="CP120" i="1"/>
  <c r="K59" i="1"/>
  <c r="CQ311" i="1"/>
  <c r="BH303" i="1"/>
  <c r="CP125" i="1"/>
  <c r="CQ78" i="1"/>
  <c r="CN59" i="1"/>
  <c r="DJ117" i="1"/>
  <c r="DK117" i="1" s="1"/>
  <c r="DJ116" i="1"/>
  <c r="DK116" i="1" s="1"/>
  <c r="AU51" i="1"/>
  <c r="CQ51" i="1" s="1"/>
  <c r="K50" i="1"/>
  <c r="DJ308" i="1"/>
  <c r="CQ284" i="1"/>
  <c r="CP65" i="1"/>
  <c r="CP64" i="1"/>
  <c r="CQ57" i="1"/>
  <c r="CP159" i="1"/>
  <c r="BY13" i="1"/>
  <c r="CN255" i="1"/>
  <c r="CQ255" i="1"/>
  <c r="CQ277" i="1"/>
  <c r="CP311" i="1"/>
  <c r="CN224" i="1"/>
  <c r="DJ72" i="1"/>
  <c r="DK72" i="1" s="1"/>
  <c r="CP21" i="1"/>
  <c r="CZ21" i="1" s="1"/>
  <c r="AO36" i="1"/>
  <c r="CP117" i="1"/>
  <c r="K79" i="1"/>
  <c r="CQ224" i="1"/>
  <c r="CN78" i="1"/>
  <c r="FT192" i="1"/>
  <c r="DJ301" i="1"/>
  <c r="DK301" i="1" s="1"/>
  <c r="CP22" i="1"/>
  <c r="CP295" i="1"/>
  <c r="BX102" i="1"/>
  <c r="BY12" i="1"/>
  <c r="CB111" i="1"/>
  <c r="DJ307" i="1"/>
  <c r="CQ126" i="1"/>
  <c r="FM282" i="1"/>
  <c r="DJ185" i="1"/>
  <c r="DK185" i="1" s="1"/>
  <c r="BY25" i="1"/>
  <c r="CP240" i="1"/>
  <c r="CQ290" i="1"/>
  <c r="DJ123" i="1"/>
  <c r="DK123" i="1" s="1"/>
  <c r="CN235" i="1"/>
  <c r="CP78" i="1"/>
  <c r="CN60" i="1"/>
  <c r="FT35" i="1"/>
  <c r="DJ21" i="1"/>
  <c r="DK21" i="1" s="1"/>
  <c r="CQ116" i="1"/>
  <c r="CB36" i="1"/>
  <c r="CQ269" i="1"/>
  <c r="CQ246" i="1"/>
  <c r="CN126" i="1"/>
  <c r="AN103" i="1"/>
  <c r="AO103" i="1" s="1"/>
  <c r="BX25" i="1"/>
  <c r="BN26" i="1"/>
  <c r="BK174" i="1"/>
  <c r="BN174" i="1" s="1"/>
  <c r="DJ300" i="1"/>
  <c r="DK300" i="1" s="1"/>
  <c r="DJ302" i="1"/>
  <c r="DK302" i="1" s="1"/>
  <c r="BX36" i="1"/>
  <c r="CP298" i="1"/>
  <c r="BN159" i="1"/>
  <c r="FG282" i="1"/>
  <c r="CQ244" i="1"/>
  <c r="FG276" i="1"/>
  <c r="CP146" i="1"/>
  <c r="DJ146" i="1"/>
  <c r="DK146" i="1" s="1"/>
  <c r="CP165" i="1"/>
  <c r="FT158" i="1"/>
  <c r="DJ124" i="1"/>
  <c r="DK124" i="1" s="1"/>
  <c r="CN269" i="1"/>
  <c r="CP234" i="1"/>
  <c r="CQ90" i="1"/>
  <c r="K90" i="1"/>
  <c r="CQ226" i="1"/>
  <c r="CP290" i="1"/>
  <c r="DJ290" i="1"/>
  <c r="DK290" i="1" s="1"/>
  <c r="AR80" i="1"/>
  <c r="AU95" i="1"/>
  <c r="CQ94" i="1"/>
  <c r="K94" i="1"/>
  <c r="CB39" i="1"/>
  <c r="CB37" i="1"/>
  <c r="DP158" i="1"/>
  <c r="DO158" i="1" s="1"/>
  <c r="DO77" i="1"/>
  <c r="CQ201" i="1"/>
  <c r="BI87" i="1"/>
  <c r="BI219" i="1"/>
  <c r="BI285" i="1"/>
  <c r="BI71" i="1"/>
  <c r="BI303" i="1"/>
  <c r="BN283" i="1"/>
  <c r="AN46" i="1"/>
  <c r="AN47" i="1" s="1"/>
  <c r="AO47" i="1" s="1"/>
  <c r="FT24" i="1"/>
  <c r="DB176" i="1"/>
  <c r="CN119" i="1"/>
  <c r="CQ93" i="1"/>
  <c r="CQ261" i="1"/>
  <c r="CQ199" i="1"/>
  <c r="CN307" i="1"/>
  <c r="BI15" i="1"/>
  <c r="BI58" i="1"/>
  <c r="BI282" i="1"/>
  <c r="BI214" i="1"/>
  <c r="CQ123" i="1"/>
  <c r="CP265" i="1"/>
  <c r="CZ265" i="1" s="1"/>
  <c r="CQ115" i="1"/>
  <c r="CN277" i="1"/>
  <c r="DJ45" i="1"/>
  <c r="DK45" i="1" s="1"/>
  <c r="CP220" i="1"/>
  <c r="BI257" i="1"/>
  <c r="BI288" i="1"/>
  <c r="BI236" i="1"/>
  <c r="CN157" i="1"/>
  <c r="CQ289" i="1"/>
  <c r="CP225" i="1"/>
  <c r="DJ193" i="1"/>
  <c r="DK193" i="1" s="1"/>
  <c r="BI122" i="1"/>
  <c r="BI48" i="1"/>
  <c r="BI81" i="1"/>
  <c r="BI155" i="1"/>
  <c r="CQ157" i="1"/>
  <c r="BI145" i="1"/>
  <c r="BK64" i="1"/>
  <c r="BK65" i="1" s="1"/>
  <c r="BN65" i="1" s="1"/>
  <c r="CB25" i="1"/>
  <c r="CP275" i="1"/>
  <c r="DJ203" i="1"/>
  <c r="DK203" i="1" s="1"/>
  <c r="CP261" i="1"/>
  <c r="CN308" i="1"/>
  <c r="K93" i="1"/>
  <c r="CQ225" i="1"/>
  <c r="CQ308" i="1"/>
  <c r="FA282" i="1"/>
  <c r="BI250" i="1"/>
  <c r="BI11" i="1"/>
  <c r="BI54" i="1"/>
  <c r="BK298" i="1"/>
  <c r="BN298" i="1" s="1"/>
  <c r="CP123" i="1"/>
  <c r="CZ123" i="1" s="1"/>
  <c r="CP272" i="1"/>
  <c r="CN265" i="1"/>
  <c r="CQ56" i="1"/>
  <c r="CQ247" i="1"/>
  <c r="BI101" i="1"/>
  <c r="BI254" i="1"/>
  <c r="BI62" i="1"/>
  <c r="BI198" i="1"/>
  <c r="CP55" i="1"/>
  <c r="CZ55" i="1" s="1"/>
  <c r="CP293" i="1"/>
  <c r="DJ168" i="1"/>
  <c r="DK168" i="1" s="1"/>
  <c r="CP237" i="1"/>
  <c r="CZ237" i="1" s="1"/>
  <c r="CQ63" i="1"/>
  <c r="BI230" i="1"/>
  <c r="BI243" i="1"/>
  <c r="BI20" i="1"/>
  <c r="BK166" i="1"/>
  <c r="BN166" i="1" s="1"/>
  <c r="CL159" i="1"/>
  <c r="FZ159" i="1" s="1"/>
  <c r="CP119" i="1"/>
  <c r="CN49" i="1"/>
  <c r="FG35" i="1"/>
  <c r="BI306" i="1"/>
  <c r="BI192" i="1"/>
  <c r="BI202" i="1"/>
  <c r="BI213" i="1"/>
  <c r="CP292" i="1"/>
  <c r="DJ295" i="1"/>
  <c r="DK295" i="1" s="1"/>
  <c r="FT167" i="1"/>
  <c r="CQ302" i="1"/>
  <c r="K49" i="1"/>
  <c r="K56" i="1"/>
  <c r="CQ307" i="1"/>
  <c r="CQ263" i="1"/>
  <c r="K72" i="1"/>
  <c r="DJ49" i="1"/>
  <c r="DK49" i="1" s="1"/>
  <c r="BI91" i="1"/>
  <c r="BI276" i="1"/>
  <c r="BI114" i="1"/>
  <c r="BN116" i="1"/>
  <c r="CQ49" i="1"/>
  <c r="CQ72" i="1"/>
  <c r="CP93" i="1"/>
  <c r="BI28" i="1"/>
  <c r="BI223" i="1"/>
  <c r="BI299" i="1"/>
  <c r="BI291" i="1"/>
  <c r="C82" i="1"/>
  <c r="C84" i="1"/>
  <c r="CN286" i="1"/>
  <c r="CP286" i="1"/>
  <c r="CQ286" i="1"/>
  <c r="CD109" i="1"/>
  <c r="K67" i="1"/>
  <c r="CN67" i="1"/>
  <c r="CP67" i="1"/>
  <c r="CQ67" i="1"/>
  <c r="CN239" i="1"/>
  <c r="CQ239" i="1"/>
  <c r="CP239" i="1"/>
  <c r="CN203" i="1"/>
  <c r="CQ231" i="1"/>
  <c r="DJ83" i="1"/>
  <c r="DK83" i="1" s="1"/>
  <c r="AS84" i="1"/>
  <c r="GA84" i="1" s="1"/>
  <c r="CP16" i="1"/>
  <c r="CZ16" i="1" s="1"/>
  <c r="CN16" i="1"/>
  <c r="CQ16" i="1"/>
  <c r="K16" i="1"/>
  <c r="CN18" i="1"/>
  <c r="CP18" i="1"/>
  <c r="CQ185" i="1"/>
  <c r="CP185" i="1"/>
  <c r="CP297" i="1"/>
  <c r="CN297" i="1"/>
  <c r="AS18" i="1"/>
  <c r="GA18" i="1" s="1"/>
  <c r="DJ17" i="1"/>
  <c r="DK17" i="1" s="1"/>
  <c r="DJ222" i="1"/>
  <c r="DK222" i="1" s="1"/>
  <c r="DJ221" i="1"/>
  <c r="DK221" i="1" s="1"/>
  <c r="CN262" i="1"/>
  <c r="CP262" i="1"/>
  <c r="CN17" i="1"/>
  <c r="CP17" i="1"/>
  <c r="BU216" i="1"/>
  <c r="AU61" i="1"/>
  <c r="K60" i="1"/>
  <c r="CP207" i="1"/>
  <c r="CN207" i="1"/>
  <c r="AS57" i="1"/>
  <c r="DJ56" i="1"/>
  <c r="DK56" i="1" s="1"/>
  <c r="CQ265" i="1"/>
  <c r="CP259" i="1"/>
  <c r="CQ259" i="1"/>
  <c r="CP92" i="1"/>
  <c r="CQ92" i="1"/>
  <c r="CN92" i="1"/>
  <c r="CP115" i="1"/>
  <c r="CZ115" i="1" s="1"/>
  <c r="BN301" i="1"/>
  <c r="BK302" i="1"/>
  <c r="BN302" i="1" s="1"/>
  <c r="AR14" i="1"/>
  <c r="DJ13" i="1"/>
  <c r="DK13" i="1" s="1"/>
  <c r="CP46" i="1"/>
  <c r="CN46" i="1"/>
  <c r="CN23" i="1"/>
  <c r="CP23" i="1"/>
  <c r="DJ293" i="1"/>
  <c r="DK293" i="1" s="1"/>
  <c r="DJ292" i="1"/>
  <c r="DK292" i="1" s="1"/>
  <c r="DJ267" i="1"/>
  <c r="DK267" i="1" s="1"/>
  <c r="DJ266" i="1"/>
  <c r="DK266" i="1" s="1"/>
  <c r="DJ204" i="1"/>
  <c r="DK204" i="1" s="1"/>
  <c r="CQ271" i="1"/>
  <c r="AQ47" i="1"/>
  <c r="DJ46" i="1"/>
  <c r="DK46" i="1" s="1"/>
  <c r="CP124" i="1"/>
  <c r="CN124" i="1"/>
  <c r="CQ124" i="1"/>
  <c r="CP50" i="1"/>
  <c r="CQ50" i="1"/>
  <c r="DJ232" i="1"/>
  <c r="DK232" i="1" s="1"/>
  <c r="CQ64" i="1"/>
  <c r="CL84" i="1"/>
  <c r="CL64" i="1"/>
  <c r="FZ64" i="1" s="1"/>
  <c r="BK60" i="1"/>
  <c r="BN60" i="1" s="1"/>
  <c r="BN55" i="1"/>
  <c r="DJ165" i="1"/>
  <c r="DK165" i="1" s="1"/>
  <c r="BN182" i="1"/>
  <c r="CQ183" i="1"/>
  <c r="FT282" i="1"/>
  <c r="CN56" i="1"/>
  <c r="CL29" i="1"/>
  <c r="FZ29" i="1" s="1"/>
  <c r="CQ60" i="1"/>
  <c r="CP88" i="1"/>
  <c r="DJ244" i="1"/>
  <c r="DK244" i="1" s="1"/>
  <c r="FM192" i="1"/>
  <c r="BN300" i="1"/>
  <c r="BU215" i="1"/>
  <c r="BN88" i="1"/>
  <c r="BN12" i="1"/>
  <c r="BY182" i="1"/>
  <c r="DJ176" i="1"/>
  <c r="DK176" i="1" s="1"/>
  <c r="FM35" i="1"/>
  <c r="CQ88" i="1"/>
  <c r="CL196" i="1"/>
  <c r="FZ196" i="1" s="1"/>
  <c r="BN36" i="1"/>
  <c r="CN72" i="1"/>
  <c r="CN293" i="1"/>
  <c r="FM24" i="1"/>
  <c r="BK177" i="1"/>
  <c r="BN177" i="1" s="1"/>
  <c r="DJ277" i="1"/>
  <c r="DK277" i="1" s="1"/>
  <c r="BK270" i="1"/>
  <c r="BK271" i="1" s="1"/>
  <c r="CL82" i="1"/>
  <c r="FZ82" i="1" s="1"/>
  <c r="CZ24" i="1"/>
  <c r="CP52" i="1"/>
  <c r="FA276" i="1"/>
  <c r="CN68" i="1"/>
  <c r="BK216" i="1"/>
  <c r="BK217" i="1" s="1"/>
  <c r="BK218" i="1" s="1"/>
  <c r="BN218" i="1" s="1"/>
  <c r="BG24" i="1"/>
  <c r="BT182" i="1"/>
  <c r="FM276" i="1"/>
  <c r="DH5" i="1"/>
  <c r="AN68" i="1"/>
  <c r="AO68" i="1" s="1"/>
  <c r="CP128" i="1"/>
  <c r="CZ128" i="1" s="1"/>
  <c r="BY215" i="1"/>
  <c r="CL90" i="1"/>
  <c r="BG110" i="1"/>
  <c r="AO111" i="1"/>
  <c r="DJ111" i="1"/>
  <c r="DK111" i="1" s="1"/>
  <c r="BG167" i="1"/>
  <c r="CE26" i="1"/>
  <c r="BG273" i="1"/>
  <c r="BG172" i="1"/>
  <c r="BG164" i="1"/>
  <c r="AU39" i="1"/>
  <c r="BN39" i="1" s="1"/>
  <c r="DP306" i="1"/>
  <c r="DO306" i="1" s="1"/>
  <c r="CP278" i="1"/>
  <c r="CP96" i="1"/>
  <c r="CN83" i="1"/>
  <c r="CN79" i="1"/>
  <c r="CQ278" i="1"/>
  <c r="CN258" i="1"/>
  <c r="BK278" i="1"/>
  <c r="CP231" i="1"/>
  <c r="CN231" i="1"/>
  <c r="CP252" i="1"/>
  <c r="CN252" i="1"/>
  <c r="DA6" i="1"/>
  <c r="DA5" i="1" s="1"/>
  <c r="CP277" i="1"/>
  <c r="CN84" i="1"/>
  <c r="CP86" i="1"/>
  <c r="CP53" i="1"/>
  <c r="DJ245" i="1"/>
  <c r="DK245" i="1" s="1"/>
  <c r="CP205" i="1"/>
  <c r="FT213" i="1"/>
  <c r="CN50" i="1"/>
  <c r="FN214" i="1"/>
  <c r="FM214" i="1" s="1"/>
  <c r="FM213" i="1"/>
  <c r="CN309" i="1"/>
  <c r="CN283" i="1"/>
  <c r="FT276" i="1"/>
  <c r="CP204" i="1"/>
  <c r="FG214" i="1"/>
  <c r="CP70" i="1"/>
  <c r="FA214" i="1"/>
  <c r="DJ64" i="1"/>
  <c r="DK64" i="1" s="1"/>
  <c r="CP200" i="1"/>
  <c r="CQ297" i="1"/>
  <c r="CL302" i="1"/>
  <c r="FZ302" i="1" s="1"/>
  <c r="CL231" i="1"/>
  <c r="FZ231" i="1" s="1"/>
  <c r="CB103" i="1"/>
  <c r="FA192" i="1"/>
  <c r="CL157" i="1"/>
  <c r="FZ157" i="1" s="1"/>
  <c r="CN304" i="1"/>
  <c r="CP156" i="1"/>
  <c r="AS50" i="1"/>
  <c r="GA50" i="1" s="1"/>
  <c r="CL239" i="1"/>
  <c r="FZ239" i="1" s="1"/>
  <c r="CL233" i="1"/>
  <c r="FZ233" i="1" s="1"/>
  <c r="CP186" i="1"/>
  <c r="CQ304" i="1"/>
  <c r="DJ157" i="1"/>
  <c r="DK157" i="1" s="1"/>
  <c r="DJ156" i="1"/>
  <c r="DK156" i="1" s="1"/>
  <c r="CL156" i="1"/>
  <c r="FZ156" i="1" s="1"/>
  <c r="CL297" i="1"/>
  <c r="FZ297" i="1" s="1"/>
  <c r="BI175" i="1"/>
  <c r="BI273" i="1"/>
  <c r="BI181" i="1"/>
  <c r="BI158" i="1"/>
  <c r="BI167" i="1"/>
  <c r="BI110" i="1"/>
  <c r="BI172" i="1"/>
  <c r="BI164" i="1"/>
  <c r="BI24" i="1"/>
  <c r="CN292" i="1"/>
  <c r="CL224" i="1"/>
  <c r="FZ224" i="1" s="1"/>
  <c r="CE14" i="1"/>
  <c r="CE13" i="1"/>
  <c r="BJ175" i="1"/>
  <c r="BJ127" i="1"/>
  <c r="BJ273" i="1"/>
  <c r="BJ181" i="1"/>
  <c r="BJ158" i="1"/>
  <c r="BJ110" i="1"/>
  <c r="BJ172" i="1"/>
  <c r="BJ167" i="1"/>
  <c r="BJ164" i="1"/>
  <c r="BJ24" i="1"/>
  <c r="BJ145" i="1"/>
  <c r="CP304" i="1"/>
  <c r="BK18" i="1"/>
  <c r="BN17" i="1"/>
  <c r="CL186" i="1"/>
  <c r="FZ186" i="1" s="1"/>
  <c r="CL256" i="1"/>
  <c r="FZ256" i="1" s="1"/>
  <c r="DG5" i="1"/>
  <c r="BN304" i="1"/>
  <c r="BN185" i="1"/>
  <c r="BK186" i="1"/>
  <c r="BN186" i="1" s="1"/>
  <c r="CL185" i="1"/>
  <c r="FZ185" i="1" s="1"/>
  <c r="CL304" i="1"/>
  <c r="FZ304" i="1" s="1"/>
  <c r="BU37" i="1"/>
  <c r="CQ168" i="1"/>
  <c r="CQ274" i="1"/>
  <c r="CL301" i="1"/>
  <c r="FZ301" i="1" s="1"/>
  <c r="CL255" i="1"/>
  <c r="FZ255" i="1" s="1"/>
  <c r="CL280" i="1"/>
  <c r="FZ280" i="1" s="1"/>
  <c r="CL247" i="1"/>
  <c r="FZ247" i="1" s="1"/>
  <c r="CL244" i="1"/>
  <c r="FZ244" i="1" s="1"/>
  <c r="CL241" i="1"/>
  <c r="FZ241" i="1" s="1"/>
  <c r="CL235" i="1"/>
  <c r="FZ235" i="1" s="1"/>
  <c r="CL232" i="1"/>
  <c r="FZ232" i="1" s="1"/>
  <c r="CL57" i="1"/>
  <c r="CL30" i="1"/>
  <c r="FZ30" i="1" s="1"/>
  <c r="BN102" i="1"/>
  <c r="FA24" i="1"/>
  <c r="CP168" i="1"/>
  <c r="L7" i="1"/>
  <c r="CL121" i="1"/>
  <c r="FZ121" i="1" s="1"/>
  <c r="CL96" i="1"/>
  <c r="BN157" i="1"/>
  <c r="CL300" i="1"/>
  <c r="FZ300" i="1" s="1"/>
  <c r="BN265" i="1"/>
  <c r="BN258" i="1"/>
  <c r="CL258" i="1"/>
  <c r="FZ258" i="1" s="1"/>
  <c r="BN123" i="1"/>
  <c r="CL123" i="1"/>
  <c r="FZ123" i="1" s="1"/>
  <c r="CL228" i="1"/>
  <c r="FZ228" i="1" s="1"/>
  <c r="CL199" i="1"/>
  <c r="FZ199" i="1" s="1"/>
  <c r="CL53" i="1"/>
  <c r="CL176" i="1"/>
  <c r="FZ176" i="1" s="1"/>
  <c r="CL253" i="1"/>
  <c r="FZ253" i="1" s="1"/>
  <c r="BN231" i="1"/>
  <c r="AN79" i="1"/>
  <c r="BK200" i="1"/>
  <c r="BK194" i="1"/>
  <c r="BK195" i="1" s="1"/>
  <c r="CL59" i="1"/>
  <c r="FZ59" i="1" s="1"/>
  <c r="CL22" i="1"/>
  <c r="BN16" i="1"/>
  <c r="CL27" i="1"/>
  <c r="FA167" i="1"/>
  <c r="CN173" i="1"/>
  <c r="DJ166" i="1"/>
  <c r="DK166" i="1" s="1"/>
  <c r="CL262" i="1"/>
  <c r="FZ262" i="1" s="1"/>
  <c r="CL260" i="1"/>
  <c r="FZ260" i="1" s="1"/>
  <c r="CL251" i="1"/>
  <c r="FZ251" i="1" s="1"/>
  <c r="CL277" i="1"/>
  <c r="FZ277" i="1" s="1"/>
  <c r="CL246" i="1"/>
  <c r="FZ246" i="1" s="1"/>
  <c r="CL125" i="1"/>
  <c r="FZ125" i="1" s="1"/>
  <c r="CL226" i="1"/>
  <c r="FZ226" i="1" s="1"/>
  <c r="CL85" i="1"/>
  <c r="CL16" i="1"/>
  <c r="CL275" i="1"/>
  <c r="FZ275" i="1" s="1"/>
  <c r="CL252" i="1"/>
  <c r="FZ252" i="1" s="1"/>
  <c r="CL70" i="1"/>
  <c r="CL61" i="1"/>
  <c r="CL49" i="1"/>
  <c r="FZ49" i="1" s="1"/>
  <c r="FG24" i="1"/>
  <c r="BX111" i="1"/>
  <c r="FM167" i="1"/>
  <c r="BK275" i="1"/>
  <c r="BN275" i="1" s="1"/>
  <c r="FM158" i="1"/>
  <c r="DJ182" i="1"/>
  <c r="DK182" i="1" s="1"/>
  <c r="CL311" i="1"/>
  <c r="FZ311" i="1" s="1"/>
  <c r="BN308" i="1"/>
  <c r="CL279" i="1"/>
  <c r="FZ279" i="1" s="1"/>
  <c r="CL240" i="1"/>
  <c r="FZ240" i="1" s="1"/>
  <c r="CL225" i="1"/>
  <c r="FZ225" i="1" s="1"/>
  <c r="CL200" i="1"/>
  <c r="FZ200" i="1" s="1"/>
  <c r="CL194" i="1"/>
  <c r="FZ194" i="1" s="1"/>
  <c r="CL309" i="1"/>
  <c r="FZ309" i="1" s="1"/>
  <c r="CL269" i="1"/>
  <c r="FZ269" i="1" s="1"/>
  <c r="CL227" i="1"/>
  <c r="FZ227" i="1" s="1"/>
  <c r="BN92" i="1"/>
  <c r="BN72" i="1"/>
  <c r="BN13" i="1"/>
  <c r="CL298" i="1"/>
  <c r="FZ298" i="1" s="1"/>
  <c r="CL289" i="1"/>
  <c r="FZ289" i="1" s="1"/>
  <c r="CL126" i="1"/>
  <c r="FZ126" i="1" s="1"/>
  <c r="CL242" i="1"/>
  <c r="FZ242" i="1" s="1"/>
  <c r="CL238" i="1"/>
  <c r="FZ238" i="1" s="1"/>
  <c r="BK204" i="1"/>
  <c r="CL119" i="1"/>
  <c r="FZ119" i="1" s="1"/>
  <c r="CL89" i="1"/>
  <c r="CL197" i="1"/>
  <c r="FZ197" i="1" s="1"/>
  <c r="BK68" i="1"/>
  <c r="BN68" i="1" s="1"/>
  <c r="CL45" i="1"/>
  <c r="FZ45" i="1" s="1"/>
  <c r="CL72" i="1"/>
  <c r="DJ275" i="1"/>
  <c r="DK275" i="1" s="1"/>
  <c r="CL166" i="1"/>
  <c r="FZ166" i="1" s="1"/>
  <c r="CL284" i="1"/>
  <c r="FZ284" i="1" s="1"/>
  <c r="CL270" i="1"/>
  <c r="FZ270" i="1" s="1"/>
  <c r="CL237" i="1"/>
  <c r="FZ237" i="1" s="1"/>
  <c r="CL234" i="1"/>
  <c r="FZ234" i="1" s="1"/>
  <c r="CL229" i="1"/>
  <c r="FZ229" i="1" s="1"/>
  <c r="BN111" i="1"/>
  <c r="FG167" i="1"/>
  <c r="DJ274" i="1"/>
  <c r="DK274" i="1" s="1"/>
  <c r="DJ183" i="1"/>
  <c r="DK183" i="1" s="1"/>
  <c r="CL131" i="1"/>
  <c r="FZ131" i="1" s="1"/>
  <c r="CL305" i="1"/>
  <c r="FZ305" i="1" s="1"/>
  <c r="CL272" i="1"/>
  <c r="FZ272" i="1" s="1"/>
  <c r="CL278" i="1"/>
  <c r="FZ278" i="1" s="1"/>
  <c r="CL245" i="1"/>
  <c r="FZ245" i="1" s="1"/>
  <c r="CL124" i="1"/>
  <c r="FZ124" i="1" s="1"/>
  <c r="CL52" i="1"/>
  <c r="CP274" i="1"/>
  <c r="CL160" i="1"/>
  <c r="FZ160" i="1" s="1"/>
  <c r="CL130" i="1"/>
  <c r="FZ130" i="1" s="1"/>
  <c r="CP129" i="1"/>
  <c r="CL129" i="1"/>
  <c r="FZ129" i="1" s="1"/>
  <c r="FM127" i="1"/>
  <c r="FA127" i="1"/>
  <c r="FT127" i="1"/>
  <c r="FG127" i="1"/>
  <c r="DJ128" i="1"/>
  <c r="DK128" i="1" s="1"/>
  <c r="CN128" i="1"/>
  <c r="CQ279" i="1"/>
  <c r="CP45" i="1"/>
  <c r="CZ45" i="1" s="1"/>
  <c r="CN45" i="1"/>
  <c r="CQ45" i="1"/>
  <c r="K45" i="1"/>
  <c r="CN232" i="1"/>
  <c r="CP232" i="1"/>
  <c r="CP253" i="1"/>
  <c r="BK245" i="1"/>
  <c r="CP89" i="1"/>
  <c r="DO276" i="1"/>
  <c r="FG213" i="1"/>
  <c r="CP238" i="1"/>
  <c r="CN238" i="1"/>
  <c r="CP289" i="1"/>
  <c r="DE5" i="1"/>
  <c r="FA213" i="1"/>
  <c r="CP284" i="1"/>
  <c r="CN226" i="1"/>
  <c r="CP226" i="1"/>
  <c r="FU214" i="1"/>
  <c r="FT214" i="1" s="1"/>
  <c r="CP57" i="1"/>
  <c r="CN302" i="1"/>
  <c r="CP63" i="1"/>
  <c r="CN310" i="1"/>
  <c r="CP197" i="1"/>
  <c r="CN186" i="1"/>
  <c r="CN298" i="1"/>
  <c r="AS23" i="1"/>
  <c r="CQ186" i="1"/>
  <c r="CQ298" i="1"/>
  <c r="CN305" i="1"/>
  <c r="DJ297" i="1"/>
  <c r="DK297" i="1" s="1"/>
  <c r="DJ304" i="1"/>
  <c r="DK304" i="1" s="1"/>
  <c r="CP305" i="1"/>
  <c r="DJ298" i="1"/>
  <c r="DK298" i="1" s="1"/>
  <c r="DJ305" i="1"/>
  <c r="DK305" i="1" s="1"/>
  <c r="CQ305" i="1"/>
  <c r="CQ293" i="1"/>
  <c r="CN185" i="1"/>
  <c r="CQ146" i="1"/>
  <c r="CN146" i="1"/>
  <c r="AS39" i="1"/>
  <c r="BN156" i="1"/>
  <c r="BK309" i="1"/>
  <c r="CL259" i="1"/>
  <c r="FZ259" i="1" s="1"/>
  <c r="BK226" i="1"/>
  <c r="BN225" i="1"/>
  <c r="CL146" i="1"/>
  <c r="FZ146" i="1" s="1"/>
  <c r="CL286" i="1"/>
  <c r="FZ286" i="1" s="1"/>
  <c r="BK239" i="1"/>
  <c r="BN238" i="1"/>
  <c r="CP157" i="1"/>
  <c r="CL295" i="1"/>
  <c r="FZ295" i="1" s="1"/>
  <c r="CL308" i="1"/>
  <c r="FZ308" i="1" s="1"/>
  <c r="BN256" i="1"/>
  <c r="CL293" i="1"/>
  <c r="FZ293" i="1" s="1"/>
  <c r="CL290" i="1"/>
  <c r="FZ290" i="1" s="1"/>
  <c r="CL283" i="1"/>
  <c r="FZ283" i="1" s="1"/>
  <c r="CL307" i="1"/>
  <c r="FZ307" i="1" s="1"/>
  <c r="CL267" i="1"/>
  <c r="FZ267" i="1" s="1"/>
  <c r="CL265" i="1"/>
  <c r="FZ265" i="1" s="1"/>
  <c r="CL263" i="1"/>
  <c r="FZ263" i="1" s="1"/>
  <c r="AS103" i="1"/>
  <c r="GA103" i="1" s="1"/>
  <c r="CL292" i="1"/>
  <c r="FZ292" i="1" s="1"/>
  <c r="CL266" i="1"/>
  <c r="FZ266" i="1" s="1"/>
  <c r="BK290" i="1"/>
  <c r="BN290" i="1" s="1"/>
  <c r="BN289" i="1"/>
  <c r="CL310" i="1"/>
  <c r="FZ310" i="1" s="1"/>
  <c r="CL271" i="1"/>
  <c r="FZ271" i="1" s="1"/>
  <c r="CL261" i="1"/>
  <c r="FZ261" i="1" s="1"/>
  <c r="BN252" i="1"/>
  <c r="BK253" i="1"/>
  <c r="BN253" i="1" s="1"/>
  <c r="BN221" i="1"/>
  <c r="BK222" i="1"/>
  <c r="BN222" i="1" s="1"/>
  <c r="CL220" i="1"/>
  <c r="FZ220" i="1" s="1"/>
  <c r="BK259" i="1"/>
  <c r="BK124" i="1"/>
  <c r="BN224" i="1"/>
  <c r="BK118" i="1"/>
  <c r="BN117" i="1"/>
  <c r="CL95" i="1"/>
  <c r="CL65" i="1"/>
  <c r="FZ65" i="1" s="1"/>
  <c r="CL63" i="1"/>
  <c r="FZ63" i="1" s="1"/>
  <c r="BN307" i="1"/>
  <c r="BN255" i="1"/>
  <c r="BN237" i="1"/>
  <c r="CL118" i="1"/>
  <c r="FZ118" i="1" s="1"/>
  <c r="BN94" i="1"/>
  <c r="BK95" i="1"/>
  <c r="CL201" i="1"/>
  <c r="FZ201" i="1" s="1"/>
  <c r="CL205" i="1"/>
  <c r="FZ205" i="1" s="1"/>
  <c r="CL92" i="1"/>
  <c r="FZ92" i="1" s="1"/>
  <c r="CL50" i="1"/>
  <c r="CL93" i="1"/>
  <c r="CL78" i="1"/>
  <c r="CL195" i="1"/>
  <c r="FZ195" i="1" s="1"/>
  <c r="CL17" i="1"/>
  <c r="FZ17" i="1" s="1"/>
  <c r="CL193" i="1"/>
  <c r="FZ193" i="1" s="1"/>
  <c r="CL47" i="1"/>
  <c r="AO21" i="1"/>
  <c r="AN22" i="1"/>
  <c r="CL18" i="1"/>
  <c r="FZ18" i="1" s="1"/>
  <c r="BK266" i="1"/>
  <c r="BN251" i="1"/>
  <c r="BK232" i="1"/>
  <c r="CL88" i="1"/>
  <c r="CL23" i="1"/>
  <c r="CL51" i="1"/>
  <c r="BN220" i="1"/>
  <c r="BN89" i="1"/>
  <c r="CL68" i="1"/>
  <c r="CL56" i="1"/>
  <c r="CL94" i="1"/>
  <c r="AO88" i="1"/>
  <c r="AN89" i="1"/>
  <c r="CL204" i="1"/>
  <c r="FZ204" i="1" s="1"/>
  <c r="BN90" i="1"/>
  <c r="CL79" i="1"/>
  <c r="CL19" i="1"/>
  <c r="CL207" i="1"/>
  <c r="FZ207" i="1" s="1"/>
  <c r="CL116" i="1"/>
  <c r="FZ116" i="1" s="1"/>
  <c r="BN93" i="1"/>
  <c r="AO92" i="1"/>
  <c r="AN93" i="1"/>
  <c r="CL60" i="1"/>
  <c r="CL55" i="1"/>
  <c r="K27" i="1"/>
  <c r="CQ27" i="1"/>
  <c r="CN27" i="1"/>
  <c r="CL206" i="1"/>
  <c r="FZ206" i="1" s="1"/>
  <c r="BN83" i="1"/>
  <c r="BK84" i="1"/>
  <c r="CL203" i="1"/>
  <c r="FZ203" i="1" s="1"/>
  <c r="CL115" i="1"/>
  <c r="FZ115" i="1" s="1"/>
  <c r="AO83" i="1"/>
  <c r="AN84" i="1"/>
  <c r="BN78" i="1"/>
  <c r="CL67" i="1"/>
  <c r="FZ67" i="1" s="1"/>
  <c r="CL46" i="1"/>
  <c r="BN29" i="1"/>
  <c r="BK30" i="1"/>
  <c r="BN30" i="1" s="1"/>
  <c r="CL21" i="1"/>
  <c r="AO112" i="1"/>
  <c r="BN37" i="1"/>
  <c r="BX13" i="1"/>
  <c r="AQ26" i="1"/>
  <c r="AQ27" i="1" s="1"/>
  <c r="DJ25" i="1"/>
  <c r="DK25" i="1" s="1"/>
  <c r="BN82" i="1"/>
  <c r="AO37" i="1"/>
  <c r="BK22" i="1"/>
  <c r="BK104" i="1"/>
  <c r="BK50" i="1"/>
  <c r="J25" i="1"/>
  <c r="H24" i="1" s="1"/>
  <c r="I25" i="1"/>
  <c r="BU25" i="1"/>
  <c r="BN112" i="1"/>
  <c r="BK113" i="1"/>
  <c r="BN113" i="1" s="1"/>
  <c r="CL168" i="1"/>
  <c r="FZ168" i="1" s="1"/>
  <c r="BN115" i="1"/>
  <c r="AO82" i="1"/>
  <c r="BN56" i="1"/>
  <c r="Y108" i="1"/>
  <c r="AO49" i="1"/>
  <c r="AN50" i="1"/>
  <c r="BK79" i="1"/>
  <c r="AO12" i="1"/>
  <c r="AN13" i="1"/>
  <c r="AS27" i="1"/>
  <c r="GA27" i="1" s="1"/>
  <c r="CL86" i="1"/>
  <c r="J111" i="1"/>
  <c r="H110" i="1" s="1"/>
  <c r="CL165" i="1"/>
  <c r="FZ165" i="1" s="1"/>
  <c r="CP174" i="1"/>
  <c r="CN174" i="1"/>
  <c r="AN26" i="1"/>
  <c r="I111" i="1"/>
  <c r="BN25" i="1"/>
  <c r="AR112" i="1"/>
  <c r="AR113" i="1" s="1"/>
  <c r="CQ275" i="1"/>
  <c r="CL173" i="1"/>
  <c r="FZ173" i="1" s="1"/>
  <c r="FA158" i="1"/>
  <c r="DJ159" i="1"/>
  <c r="DK159" i="1" s="1"/>
  <c r="CL274" i="1"/>
  <c r="FZ274" i="1" s="1"/>
  <c r="R112" i="1"/>
  <c r="DJ129" i="1"/>
  <c r="DK129" i="1" s="1"/>
  <c r="CP166" i="1"/>
  <c r="DJ174" i="1"/>
  <c r="DK174" i="1" s="1"/>
  <c r="DJ173" i="1"/>
  <c r="DK173" i="1" s="1"/>
  <c r="CL174" i="1"/>
  <c r="FZ174" i="1" s="1"/>
  <c r="CQ177" i="1"/>
  <c r="CQ130" i="1"/>
  <c r="CQ176" i="1"/>
  <c r="CQ131" i="1"/>
  <c r="CQ160" i="1"/>
  <c r="CQ166" i="1"/>
  <c r="CQ129" i="1"/>
  <c r="CQ174" i="1"/>
  <c r="CQ128" i="1"/>
  <c r="CQ159" i="1"/>
  <c r="CQ165" i="1"/>
  <c r="CQ173" i="1"/>
  <c r="FG158" i="1"/>
  <c r="CL83" i="1"/>
  <c r="BG175" i="1"/>
  <c r="BG127" i="1"/>
  <c r="BH175" i="1"/>
  <c r="BH127" i="1"/>
  <c r="BY183" i="1"/>
  <c r="BT183" i="1"/>
  <c r="BG181" i="1"/>
  <c r="CL80" i="1"/>
  <c r="CP176" i="1"/>
  <c r="CN176" i="1"/>
  <c r="CP160" i="1"/>
  <c r="CN131" i="1"/>
  <c r="CL177" i="1"/>
  <c r="FZ177" i="1" s="1"/>
  <c r="CL128" i="1"/>
  <c r="FZ128" i="1" s="1"/>
  <c r="CP177" i="1"/>
  <c r="CN130" i="1"/>
  <c r="CN177" i="1"/>
  <c r="BI127" i="1"/>
  <c r="BK129" i="1"/>
  <c r="T29" i="4"/>
  <c r="FM75" i="1" l="1"/>
  <c r="EO75" i="1"/>
  <c r="DO75" i="1"/>
  <c r="FT75" i="1"/>
  <c r="EW75" i="1"/>
  <c r="EU75" i="1" s="1"/>
  <c r="FC75" i="1"/>
  <c r="FA75" i="1" s="1"/>
  <c r="FI75" i="1"/>
  <c r="FG75" i="1" s="1"/>
  <c r="L75" i="1"/>
  <c r="CR75" i="1"/>
  <c r="DU38" i="1"/>
  <c r="EF75" i="1"/>
  <c r="GA73" i="1"/>
  <c r="FZ73" i="1" s="1"/>
  <c r="AS75" i="1"/>
  <c r="L38" i="1"/>
  <c r="CR38" i="1"/>
  <c r="FN38" i="1"/>
  <c r="FH38" i="1"/>
  <c r="FU38" i="1"/>
  <c r="EV38" i="1"/>
  <c r="EP38" i="1"/>
  <c r="EJ38" i="1"/>
  <c r="ED38" i="1"/>
  <c r="FB38" i="1"/>
  <c r="FZ38" i="1"/>
  <c r="DP38" i="1"/>
  <c r="CQ38" i="1"/>
  <c r="BB37" i="1"/>
  <c r="BB39" i="1" s="1"/>
  <c r="BB38" i="1"/>
  <c r="BN38" i="1"/>
  <c r="DS38" i="1"/>
  <c r="EQ38" i="1"/>
  <c r="FV38" i="1"/>
  <c r="CW38" i="1"/>
  <c r="FC38" i="1"/>
  <c r="FI38" i="1"/>
  <c r="EL38" i="1"/>
  <c r="DR38" i="1"/>
  <c r="EW38" i="1"/>
  <c r="FP38" i="1"/>
  <c r="EF38" i="1"/>
  <c r="N38" i="1"/>
  <c r="CV38" i="1"/>
  <c r="CP38" i="1"/>
  <c r="ER38" i="1"/>
  <c r="FO38" i="1"/>
  <c r="CX38" i="1"/>
  <c r="FJ38" i="1"/>
  <c r="FQ38" i="1"/>
  <c r="EE38" i="1"/>
  <c r="DT38" i="1"/>
  <c r="DQ38" i="1"/>
  <c r="EK38" i="1"/>
  <c r="FW38" i="1"/>
  <c r="EX38" i="1"/>
  <c r="FD38" i="1"/>
  <c r="DI38" i="1"/>
  <c r="CR144" i="1"/>
  <c r="L144" i="1"/>
  <c r="DU73" i="1"/>
  <c r="CR142" i="1"/>
  <c r="L142" i="1"/>
  <c r="CR154" i="1"/>
  <c r="L154" i="1"/>
  <c r="FZ78" i="1"/>
  <c r="CP79" i="1"/>
  <c r="CR148" i="1"/>
  <c r="L148" i="1"/>
  <c r="FZ83" i="1"/>
  <c r="FZ21" i="1"/>
  <c r="FZ55" i="1"/>
  <c r="FZ88" i="1"/>
  <c r="FZ50" i="1"/>
  <c r="CR150" i="1"/>
  <c r="L150" i="1"/>
  <c r="DJ73" i="1"/>
  <c r="DK73" i="1" s="1"/>
  <c r="L180" i="1"/>
  <c r="CR179" i="1"/>
  <c r="CR180" i="1"/>
  <c r="L179" i="1"/>
  <c r="GA69" i="1"/>
  <c r="FZ69" i="1" s="1"/>
  <c r="DI73" i="1"/>
  <c r="FZ72" i="1"/>
  <c r="AS80" i="1"/>
  <c r="GA80" i="1" s="1"/>
  <c r="FZ80" i="1" s="1"/>
  <c r="GA79" i="1"/>
  <c r="FZ79" i="1" s="1"/>
  <c r="FZ22" i="1"/>
  <c r="AS90" i="1"/>
  <c r="DU90" i="1" s="1"/>
  <c r="DU91" i="1" s="1"/>
  <c r="GA89" i="1"/>
  <c r="FZ89" i="1" s="1"/>
  <c r="AS94" i="1"/>
  <c r="GA93" i="1"/>
  <c r="FZ93" i="1" s="1"/>
  <c r="AS61" i="1"/>
  <c r="GA61" i="1" s="1"/>
  <c r="FZ61" i="1" s="1"/>
  <c r="GA60" i="1"/>
  <c r="FZ60" i="1" s="1"/>
  <c r="DJ39" i="1"/>
  <c r="DK39" i="1" s="1"/>
  <c r="GA39" i="1"/>
  <c r="FZ27" i="1"/>
  <c r="GA74" i="1"/>
  <c r="FZ74" i="1" s="1"/>
  <c r="AS14" i="1"/>
  <c r="GA14" i="1" s="1"/>
  <c r="GA13" i="1"/>
  <c r="FZ98" i="1"/>
  <c r="AS100" i="1"/>
  <c r="GA100" i="1" s="1"/>
  <c r="FZ100" i="1" s="1"/>
  <c r="GA99" i="1"/>
  <c r="FZ99" i="1" s="1"/>
  <c r="DJ23" i="1"/>
  <c r="DK23" i="1" s="1"/>
  <c r="GA23" i="1"/>
  <c r="AS70" i="1"/>
  <c r="GA70" i="1" s="1"/>
  <c r="FZ70" i="1" s="1"/>
  <c r="GA68" i="1"/>
  <c r="FZ68" i="1" s="1"/>
  <c r="CQ74" i="1"/>
  <c r="AS113" i="1"/>
  <c r="GA113" i="1" s="1"/>
  <c r="GA112" i="1"/>
  <c r="DJ57" i="1"/>
  <c r="DK57" i="1" s="1"/>
  <c r="GA57" i="1"/>
  <c r="FZ57" i="1" s="1"/>
  <c r="FZ16" i="1"/>
  <c r="AS47" i="1"/>
  <c r="GA47" i="1" s="1"/>
  <c r="GA46" i="1"/>
  <c r="FZ46" i="1" s="1"/>
  <c r="FZ56" i="1"/>
  <c r="FT73" i="1"/>
  <c r="L42" i="1"/>
  <c r="CR42" i="1"/>
  <c r="L41" i="1"/>
  <c r="CR43" i="1"/>
  <c r="L43" i="1"/>
  <c r="CR41" i="1"/>
  <c r="I113" i="1"/>
  <c r="J113" i="1"/>
  <c r="L113" i="1" s="1"/>
  <c r="BX113" i="1"/>
  <c r="BY113" i="1"/>
  <c r="FA73" i="1"/>
  <c r="DO73" i="1"/>
  <c r="FG73" i="1"/>
  <c r="BK76" i="1"/>
  <c r="BN76" i="1" s="1"/>
  <c r="BN74" i="1"/>
  <c r="L74" i="1"/>
  <c r="CR74" i="1"/>
  <c r="CR73" i="1"/>
  <c r="L73" i="1"/>
  <c r="AQ76" i="1"/>
  <c r="DT74" i="1"/>
  <c r="ER74" i="1"/>
  <c r="ER101" i="1" s="1"/>
  <c r="CP74" i="1"/>
  <c r="CX74" i="1"/>
  <c r="DQ74" i="1"/>
  <c r="EE74" i="1"/>
  <c r="EE101" i="1" s="1"/>
  <c r="EX74" i="1"/>
  <c r="FQ74" i="1"/>
  <c r="FQ101" i="1" s="1"/>
  <c r="FD74" i="1"/>
  <c r="FJ74" i="1"/>
  <c r="FJ101" i="1" s="1"/>
  <c r="EK74" i="1"/>
  <c r="EK101" i="1" s="1"/>
  <c r="FO74" i="1"/>
  <c r="FO101" i="1" s="1"/>
  <c r="FW74" i="1"/>
  <c r="FW101" i="1" s="1"/>
  <c r="AO74" i="1"/>
  <c r="AN76" i="1"/>
  <c r="AO76" i="1" s="1"/>
  <c r="EU73" i="1"/>
  <c r="AS76" i="1"/>
  <c r="DJ74" i="1"/>
  <c r="DK74" i="1" s="1"/>
  <c r="DI74" i="1"/>
  <c r="DU74" i="1"/>
  <c r="EO73" i="1"/>
  <c r="N73" i="1"/>
  <c r="CV73" i="1"/>
  <c r="FM73" i="1"/>
  <c r="AI76" i="1"/>
  <c r="CY74" i="1"/>
  <c r="K74" i="1"/>
  <c r="AU76" i="1"/>
  <c r="FH74" i="1"/>
  <c r="FU74" i="1"/>
  <c r="FN74" i="1"/>
  <c r="EJ74" i="1"/>
  <c r="EJ101" i="1" s="1"/>
  <c r="EP74" i="1"/>
  <c r="EP101" i="1" s="1"/>
  <c r="ED74" i="1"/>
  <c r="ED101" i="1" s="1"/>
  <c r="DP74" i="1"/>
  <c r="EV74" i="1"/>
  <c r="FB74" i="1"/>
  <c r="AP76" i="1"/>
  <c r="DR74" i="1"/>
  <c r="EW74" i="1"/>
  <c r="EW101" i="1" s="1"/>
  <c r="CW74" i="1"/>
  <c r="EF74" i="1"/>
  <c r="EF101" i="1" s="1"/>
  <c r="EL74" i="1"/>
  <c r="FV74" i="1"/>
  <c r="FV101" i="1" s="1"/>
  <c r="DS74" i="1"/>
  <c r="EQ74" i="1"/>
  <c r="FC74" i="1"/>
  <c r="FC101" i="1" s="1"/>
  <c r="FI74" i="1"/>
  <c r="FI101" i="1" s="1"/>
  <c r="FP74" i="1"/>
  <c r="FP101" i="1" s="1"/>
  <c r="K83" i="1"/>
  <c r="DJ79" i="1"/>
  <c r="DK79" i="1" s="1"/>
  <c r="CQ79" i="1"/>
  <c r="BB79" i="1"/>
  <c r="BB80" i="1" s="1"/>
  <c r="U104" i="1"/>
  <c r="BY104" i="1" s="1"/>
  <c r="K102" i="1"/>
  <c r="L176" i="1"/>
  <c r="L274" i="1"/>
  <c r="L308" i="1"/>
  <c r="L190" i="1"/>
  <c r="L224" i="1"/>
  <c r="L238" i="1"/>
  <c r="L193" i="1"/>
  <c r="L283" i="1"/>
  <c r="L63" i="1"/>
  <c r="L231" i="1"/>
  <c r="L30" i="1"/>
  <c r="L196" i="1"/>
  <c r="L29" i="1"/>
  <c r="L200" i="1"/>
  <c r="L204" i="1"/>
  <c r="L235" i="1"/>
  <c r="L171" i="1"/>
  <c r="L240" i="1"/>
  <c r="L244" i="1"/>
  <c r="L165" i="1"/>
  <c r="L225" i="1"/>
  <c r="L284" i="1"/>
  <c r="L134" i="1"/>
  <c r="L275" i="1"/>
  <c r="L116" i="1"/>
  <c r="L199" i="1"/>
  <c r="L255" i="1"/>
  <c r="L307" i="1"/>
  <c r="L128" i="1"/>
  <c r="L65" i="1"/>
  <c r="L194" i="1"/>
  <c r="L232" i="1"/>
  <c r="L166" i="1"/>
  <c r="L287" i="1"/>
  <c r="L279" i="1"/>
  <c r="L251" i="1"/>
  <c r="L201" i="1"/>
  <c r="L297" i="1"/>
  <c r="L156" i="1"/>
  <c r="L123" i="1"/>
  <c r="L241" i="1"/>
  <c r="L157" i="1"/>
  <c r="L278" i="1"/>
  <c r="L64" i="1"/>
  <c r="L267" i="1"/>
  <c r="L269" i="1"/>
  <c r="L119" i="1"/>
  <c r="L115" i="1"/>
  <c r="L140" i="1"/>
  <c r="L130" i="1"/>
  <c r="L118" i="1"/>
  <c r="L289" i="1"/>
  <c r="L159" i="1"/>
  <c r="L170" i="1"/>
  <c r="L197" i="1"/>
  <c r="L191" i="1"/>
  <c r="L309" i="1"/>
  <c r="L234" i="1"/>
  <c r="L302" i="1"/>
  <c r="L265" i="1"/>
  <c r="L245" i="1"/>
  <c r="L168" i="1"/>
  <c r="L163" i="1"/>
  <c r="L226" i="1"/>
  <c r="L207" i="1"/>
  <c r="L131" i="1"/>
  <c r="L247" i="1"/>
  <c r="L272" i="1"/>
  <c r="L186" i="1"/>
  <c r="L259" i="1"/>
  <c r="L136" i="1"/>
  <c r="L195" i="1"/>
  <c r="L162" i="1"/>
  <c r="L271" i="1"/>
  <c r="L298" i="1"/>
  <c r="L239" i="1"/>
  <c r="L300" i="1"/>
  <c r="L205" i="1"/>
  <c r="L189" i="1"/>
  <c r="L203" i="1"/>
  <c r="L270" i="1"/>
  <c r="L261" i="1"/>
  <c r="L146" i="1"/>
  <c r="L295" i="1"/>
  <c r="L246" i="1"/>
  <c r="L206" i="1"/>
  <c r="L124" i="1"/>
  <c r="L290" i="1"/>
  <c r="L160" i="1"/>
  <c r="L117" i="1"/>
  <c r="L277" i="1"/>
  <c r="L286" i="1"/>
  <c r="L135" i="1"/>
  <c r="L242" i="1"/>
  <c r="L185" i="1"/>
  <c r="L208" i="1"/>
  <c r="L182" i="1"/>
  <c r="L152" i="1"/>
  <c r="L177" i="1"/>
  <c r="L310" i="1"/>
  <c r="L258" i="1"/>
  <c r="L260" i="1"/>
  <c r="L125" i="1"/>
  <c r="L301" i="1"/>
  <c r="L233" i="1"/>
  <c r="L227" i="1"/>
  <c r="L305" i="1"/>
  <c r="L280" i="1"/>
  <c r="L229" i="1"/>
  <c r="L133" i="1"/>
  <c r="L228" i="1"/>
  <c r="L304" i="1"/>
  <c r="L266" i="1"/>
  <c r="L292" i="1"/>
  <c r="L256" i="1"/>
  <c r="L237" i="1"/>
  <c r="L293" i="1"/>
  <c r="L173" i="1"/>
  <c r="L139" i="1"/>
  <c r="L129" i="1"/>
  <c r="L210" i="1"/>
  <c r="L252" i="1"/>
  <c r="L174" i="1"/>
  <c r="L262" i="1"/>
  <c r="L220" i="1"/>
  <c r="L120" i="1"/>
  <c r="L126" i="1"/>
  <c r="L215" i="1"/>
  <c r="L311" i="1"/>
  <c r="L212" i="1"/>
  <c r="L221" i="1"/>
  <c r="L211" i="1"/>
  <c r="L183" i="1"/>
  <c r="L209" i="1"/>
  <c r="L121" i="1"/>
  <c r="L217" i="1"/>
  <c r="L222" i="1"/>
  <c r="L263" i="1"/>
  <c r="L216" i="1"/>
  <c r="L253" i="1"/>
  <c r="L218" i="1"/>
  <c r="DW163" i="1"/>
  <c r="CU163" i="1"/>
  <c r="CT163" i="1" s="1"/>
  <c r="H163" i="1" s="1"/>
  <c r="CN102" i="1"/>
  <c r="CQ209" i="1"/>
  <c r="FT32" i="1"/>
  <c r="CR190" i="1"/>
  <c r="CR189" i="1"/>
  <c r="CR191" i="1"/>
  <c r="EO32" i="1"/>
  <c r="K46" i="1"/>
  <c r="FA32" i="1"/>
  <c r="CW88" i="1"/>
  <c r="CX88" i="1"/>
  <c r="CW229" i="1"/>
  <c r="CX229" i="1"/>
  <c r="CX165" i="1"/>
  <c r="CW165" i="1"/>
  <c r="CW46" i="1"/>
  <c r="CX46" i="1"/>
  <c r="CW204" i="1"/>
  <c r="CX204" i="1"/>
  <c r="CW93" i="1"/>
  <c r="CX93" i="1"/>
  <c r="CX220" i="1"/>
  <c r="CW220" i="1"/>
  <c r="CX292" i="1"/>
  <c r="CW292" i="1"/>
  <c r="CW259" i="1"/>
  <c r="CX259" i="1"/>
  <c r="CW278" i="1"/>
  <c r="CX278" i="1"/>
  <c r="CW234" i="1"/>
  <c r="CX234" i="1"/>
  <c r="CX89" i="1"/>
  <c r="CW89" i="1"/>
  <c r="CX227" i="1"/>
  <c r="CW227" i="1"/>
  <c r="CX123" i="1"/>
  <c r="CW123" i="1"/>
  <c r="CW156" i="1"/>
  <c r="CX156" i="1"/>
  <c r="CX29" i="1"/>
  <c r="CW29" i="1"/>
  <c r="CW211" i="1"/>
  <c r="CX211" i="1"/>
  <c r="CW266" i="1"/>
  <c r="CX266" i="1"/>
  <c r="CW85" i="1"/>
  <c r="CX85" i="1"/>
  <c r="CW80" i="1"/>
  <c r="CX80" i="1"/>
  <c r="CW67" i="1"/>
  <c r="CX67" i="1"/>
  <c r="CW55" i="1"/>
  <c r="CX55" i="1"/>
  <c r="CW50" i="1"/>
  <c r="CX50" i="1"/>
  <c r="CW63" i="1"/>
  <c r="CX63" i="1"/>
  <c r="CX272" i="1"/>
  <c r="CW272" i="1"/>
  <c r="CW237" i="1"/>
  <c r="CX237" i="1"/>
  <c r="CW119" i="1"/>
  <c r="CX119" i="1"/>
  <c r="CX269" i="1"/>
  <c r="CW269" i="1"/>
  <c r="CX226" i="1"/>
  <c r="CW226" i="1"/>
  <c r="CW22" i="1"/>
  <c r="CX22" i="1"/>
  <c r="CX90" i="1"/>
  <c r="CW90" i="1"/>
  <c r="CW33" i="1"/>
  <c r="CX33" i="1"/>
  <c r="CX305" i="1"/>
  <c r="CW305" i="1"/>
  <c r="CW270" i="1"/>
  <c r="CX270" i="1"/>
  <c r="CX309" i="1"/>
  <c r="CW309" i="1"/>
  <c r="CW125" i="1"/>
  <c r="CX125" i="1"/>
  <c r="CX59" i="1"/>
  <c r="CW59" i="1"/>
  <c r="CW258" i="1"/>
  <c r="CX258" i="1"/>
  <c r="CW30" i="1"/>
  <c r="CX30" i="1"/>
  <c r="CX157" i="1"/>
  <c r="CW157" i="1"/>
  <c r="CW152" i="1"/>
  <c r="CX152" i="1"/>
  <c r="CV287" i="1"/>
  <c r="CX274" i="1"/>
  <c r="CW274" i="1"/>
  <c r="CX245" i="1"/>
  <c r="CW245" i="1"/>
  <c r="CW173" i="1"/>
  <c r="CX173" i="1"/>
  <c r="CX94" i="1"/>
  <c r="CW94" i="1"/>
  <c r="CW205" i="1"/>
  <c r="CX205" i="1"/>
  <c r="CX95" i="1"/>
  <c r="CW95" i="1"/>
  <c r="CX209" i="1"/>
  <c r="CW209" i="1"/>
  <c r="CW308" i="1"/>
  <c r="CX308" i="1"/>
  <c r="CX129" i="1"/>
  <c r="CW129" i="1"/>
  <c r="CW131" i="1"/>
  <c r="CX131" i="1"/>
  <c r="CW284" i="1"/>
  <c r="CX284" i="1"/>
  <c r="CX238" i="1"/>
  <c r="CW238" i="1"/>
  <c r="CX194" i="1"/>
  <c r="CW194" i="1"/>
  <c r="CW246" i="1"/>
  <c r="CX246" i="1"/>
  <c r="CX57" i="1"/>
  <c r="CW57" i="1"/>
  <c r="CX133" i="1"/>
  <c r="CW133" i="1"/>
  <c r="CX170" i="1"/>
  <c r="CW170" i="1"/>
  <c r="CX10" i="1"/>
  <c r="CW10" i="1"/>
  <c r="CW297" i="1"/>
  <c r="CX297" i="1"/>
  <c r="CX60" i="1"/>
  <c r="CW60" i="1"/>
  <c r="CX128" i="1"/>
  <c r="CW128" i="1"/>
  <c r="CX174" i="1"/>
  <c r="CW174" i="1"/>
  <c r="CW56" i="1"/>
  <c r="CX56" i="1"/>
  <c r="CX18" i="1"/>
  <c r="CW18" i="1"/>
  <c r="CW201" i="1"/>
  <c r="CX201" i="1"/>
  <c r="CX263" i="1"/>
  <c r="CW263" i="1"/>
  <c r="CW295" i="1"/>
  <c r="CX295" i="1"/>
  <c r="CX166" i="1"/>
  <c r="CV166" i="1"/>
  <c r="CU166" i="1" s="1"/>
  <c r="CT166" i="1" s="1"/>
  <c r="CW166" i="1"/>
  <c r="CW242" i="1"/>
  <c r="CX242" i="1"/>
  <c r="CX200" i="1"/>
  <c r="CW200" i="1"/>
  <c r="CW49" i="1"/>
  <c r="CX49" i="1"/>
  <c r="CW277" i="1"/>
  <c r="CX277" i="1"/>
  <c r="CX232" i="1"/>
  <c r="CW232" i="1"/>
  <c r="CX256" i="1"/>
  <c r="CW256" i="1"/>
  <c r="CW196" i="1"/>
  <c r="CX196" i="1"/>
  <c r="CX135" i="1"/>
  <c r="CW135" i="1"/>
  <c r="CX136" i="1"/>
  <c r="CW136" i="1"/>
  <c r="CX301" i="1"/>
  <c r="CW301" i="1"/>
  <c r="CW115" i="1"/>
  <c r="CX115" i="1"/>
  <c r="CX68" i="1"/>
  <c r="CW68" i="1"/>
  <c r="CW265" i="1"/>
  <c r="CX265" i="1"/>
  <c r="CW130" i="1"/>
  <c r="CX130" i="1"/>
  <c r="CX126" i="1"/>
  <c r="CW126" i="1"/>
  <c r="CW225" i="1"/>
  <c r="CX225" i="1"/>
  <c r="CW61" i="1"/>
  <c r="CX61" i="1"/>
  <c r="CX251" i="1"/>
  <c r="CW251" i="1"/>
  <c r="CX300" i="1"/>
  <c r="CW300" i="1"/>
  <c r="CW235" i="1"/>
  <c r="CX235" i="1"/>
  <c r="CX304" i="1"/>
  <c r="CW304" i="1"/>
  <c r="CW186" i="1"/>
  <c r="CX186" i="1"/>
  <c r="CW171" i="1"/>
  <c r="CX171" i="1"/>
  <c r="CW69" i="1"/>
  <c r="CW92" i="1"/>
  <c r="CX92" i="1"/>
  <c r="CW177" i="1"/>
  <c r="CX177" i="1"/>
  <c r="CX203" i="1"/>
  <c r="CW203" i="1"/>
  <c r="CX116" i="1"/>
  <c r="CW116" i="1"/>
  <c r="CW261" i="1"/>
  <c r="CX261" i="1"/>
  <c r="CX267" i="1"/>
  <c r="CW267" i="1"/>
  <c r="CX160" i="1"/>
  <c r="CW160" i="1"/>
  <c r="CW289" i="1"/>
  <c r="CX289" i="1"/>
  <c r="CW240" i="1"/>
  <c r="CX240" i="1"/>
  <c r="CX70" i="1"/>
  <c r="CW70" i="1"/>
  <c r="CW260" i="1"/>
  <c r="CX260" i="1"/>
  <c r="CW241" i="1"/>
  <c r="CX241" i="1"/>
  <c r="CX233" i="1"/>
  <c r="CW233" i="1"/>
  <c r="CX82" i="1"/>
  <c r="CW82" i="1"/>
  <c r="CX159" i="1"/>
  <c r="CW159" i="1"/>
  <c r="CW86" i="1"/>
  <c r="CX86" i="1"/>
  <c r="CW168" i="1"/>
  <c r="CX168" i="1"/>
  <c r="CW65" i="1"/>
  <c r="CX65" i="1"/>
  <c r="CX207" i="1"/>
  <c r="CW207" i="1"/>
  <c r="CX47" i="1"/>
  <c r="CW47" i="1"/>
  <c r="CX118" i="1"/>
  <c r="CW118" i="1"/>
  <c r="CW271" i="1"/>
  <c r="CX271" i="1"/>
  <c r="CW307" i="1"/>
  <c r="CX307" i="1"/>
  <c r="CW298" i="1"/>
  <c r="CX298" i="1"/>
  <c r="CX279" i="1"/>
  <c r="CW279" i="1"/>
  <c r="CW252" i="1"/>
  <c r="CX252" i="1"/>
  <c r="CX262" i="1"/>
  <c r="CW262" i="1"/>
  <c r="CW253" i="1"/>
  <c r="CX253" i="1"/>
  <c r="CX96" i="1"/>
  <c r="CW96" i="1"/>
  <c r="CX244" i="1"/>
  <c r="CW244" i="1"/>
  <c r="CX239" i="1"/>
  <c r="CW239" i="1"/>
  <c r="CX78" i="1"/>
  <c r="CW78" i="1"/>
  <c r="CX197" i="1"/>
  <c r="CW197" i="1"/>
  <c r="CX19" i="1"/>
  <c r="CW19" i="1"/>
  <c r="CW51" i="1"/>
  <c r="CX51" i="1"/>
  <c r="CX193" i="1"/>
  <c r="CW193" i="1"/>
  <c r="CX310" i="1"/>
  <c r="CW310" i="1"/>
  <c r="CW283" i="1"/>
  <c r="CX283" i="1"/>
  <c r="CX286" i="1"/>
  <c r="CW286" i="1"/>
  <c r="CX52" i="1"/>
  <c r="CW52" i="1"/>
  <c r="CW72" i="1"/>
  <c r="CX72" i="1"/>
  <c r="CX176" i="1"/>
  <c r="CW176" i="1"/>
  <c r="CX121" i="1"/>
  <c r="CW121" i="1"/>
  <c r="CW247" i="1"/>
  <c r="CX247" i="1"/>
  <c r="CW185" i="1"/>
  <c r="CX185" i="1"/>
  <c r="CX231" i="1"/>
  <c r="CW231" i="1"/>
  <c r="CX99" i="1"/>
  <c r="CW99" i="1"/>
  <c r="CV32" i="1"/>
  <c r="CX27" i="1"/>
  <c r="CW27" i="1"/>
  <c r="CX224" i="1"/>
  <c r="CW224" i="1"/>
  <c r="CW21" i="1"/>
  <c r="CX21" i="1"/>
  <c r="CW206" i="1"/>
  <c r="CX206" i="1"/>
  <c r="CW79" i="1"/>
  <c r="CX79" i="1"/>
  <c r="CX17" i="1"/>
  <c r="CW17" i="1"/>
  <c r="CX290" i="1"/>
  <c r="CW290" i="1"/>
  <c r="CX146" i="1"/>
  <c r="CW146" i="1"/>
  <c r="CX45" i="1"/>
  <c r="CW45" i="1"/>
  <c r="CX311" i="1"/>
  <c r="CW311" i="1"/>
  <c r="CX275" i="1"/>
  <c r="CW275" i="1"/>
  <c r="CX53" i="1"/>
  <c r="CW53" i="1"/>
  <c r="CX280" i="1"/>
  <c r="CV280" i="1"/>
  <c r="CW280" i="1"/>
  <c r="CX302" i="1"/>
  <c r="CW302" i="1"/>
  <c r="CW64" i="1"/>
  <c r="CX64" i="1"/>
  <c r="CW134" i="1"/>
  <c r="CX134" i="1"/>
  <c r="CW98" i="1"/>
  <c r="CX98" i="1"/>
  <c r="CW228" i="1"/>
  <c r="CX228" i="1"/>
  <c r="CX83" i="1"/>
  <c r="CW83" i="1"/>
  <c r="CX23" i="1"/>
  <c r="CW23" i="1"/>
  <c r="CW195" i="1"/>
  <c r="CX195" i="1"/>
  <c r="CW293" i="1"/>
  <c r="CX293" i="1"/>
  <c r="CW124" i="1"/>
  <c r="CX124" i="1"/>
  <c r="CX16" i="1"/>
  <c r="CW16" i="1"/>
  <c r="CX199" i="1"/>
  <c r="CW199" i="1"/>
  <c r="CX255" i="1"/>
  <c r="CW255" i="1"/>
  <c r="CX84" i="1"/>
  <c r="CW84" i="1"/>
  <c r="CW100" i="1"/>
  <c r="CX100" i="1"/>
  <c r="CQ68" i="1"/>
  <c r="K68" i="1"/>
  <c r="K17" i="1"/>
  <c r="CP209" i="1"/>
  <c r="EU32" i="1"/>
  <c r="EO287" i="1"/>
  <c r="AU84" i="1"/>
  <c r="FZ84" i="1" s="1"/>
  <c r="FT287" i="1"/>
  <c r="EU287" i="1"/>
  <c r="CQ211" i="1"/>
  <c r="CR287" i="1"/>
  <c r="FA287" i="1"/>
  <c r="FM287" i="1"/>
  <c r="DO287" i="1"/>
  <c r="FG287" i="1"/>
  <c r="FM32" i="1"/>
  <c r="CR211" i="1"/>
  <c r="EL211" i="1"/>
  <c r="EK211" i="1"/>
  <c r="FW211" i="1"/>
  <c r="EX211" i="1"/>
  <c r="EJ211" i="1"/>
  <c r="DT211" i="1"/>
  <c r="FV211" i="1"/>
  <c r="FJ211" i="1"/>
  <c r="EW211" i="1"/>
  <c r="DS211" i="1"/>
  <c r="CY211" i="1"/>
  <c r="N211" i="1" s="1"/>
  <c r="FU211" i="1"/>
  <c r="FI211" i="1"/>
  <c r="EV211" i="1"/>
  <c r="EF211" i="1"/>
  <c r="DR211" i="1"/>
  <c r="FH211" i="1"/>
  <c r="EE211" i="1"/>
  <c r="DQ211" i="1"/>
  <c r="ED211" i="1"/>
  <c r="DP211" i="1"/>
  <c r="ER211" i="1"/>
  <c r="FQ211" i="1"/>
  <c r="EQ211" i="1"/>
  <c r="FB211" i="1"/>
  <c r="FP211" i="1"/>
  <c r="FD211" i="1"/>
  <c r="EP211" i="1"/>
  <c r="FN211" i="1"/>
  <c r="FO211" i="1"/>
  <c r="FC211" i="1"/>
  <c r="CN211" i="1"/>
  <c r="CO211" i="1" s="1"/>
  <c r="M211" i="1" s="1"/>
  <c r="CP211" i="1"/>
  <c r="CC210" i="1"/>
  <c r="CL210" i="1" s="1"/>
  <c r="FZ210" i="1" s="1"/>
  <c r="CR162" i="1"/>
  <c r="CR163" i="1"/>
  <c r="CQ30" i="1"/>
  <c r="CN183" i="1"/>
  <c r="DU33" i="1"/>
  <c r="DJ70" i="1"/>
  <c r="DK70" i="1" s="1"/>
  <c r="EL33" i="1"/>
  <c r="FQ33" i="1"/>
  <c r="DQ33" i="1"/>
  <c r="FG32" i="1"/>
  <c r="CR139" i="1"/>
  <c r="CR140" i="1"/>
  <c r="DJ65" i="1"/>
  <c r="DK65" i="1" s="1"/>
  <c r="DS33" i="1"/>
  <c r="EX33" i="1"/>
  <c r="DP33" i="1"/>
  <c r="CY33" i="1"/>
  <c r="N33" i="1" s="1"/>
  <c r="DI33" i="1"/>
  <c r="ED33" i="1"/>
  <c r="CN36" i="1"/>
  <c r="H35" i="1"/>
  <c r="CQ102" i="1"/>
  <c r="H101" i="1"/>
  <c r="EW33" i="1"/>
  <c r="FN33" i="1"/>
  <c r="EE33" i="1"/>
  <c r="CO33" i="1"/>
  <c r="M33" i="1" s="1"/>
  <c r="FJ33" i="1"/>
  <c r="FC33" i="1"/>
  <c r="FH33" i="1"/>
  <c r="CQ22" i="1"/>
  <c r="FV33" i="1"/>
  <c r="FO33" i="1"/>
  <c r="DT33" i="1"/>
  <c r="EP33" i="1"/>
  <c r="DR33" i="1"/>
  <c r="EJ33" i="1"/>
  <c r="FD33" i="1"/>
  <c r="EV33" i="1"/>
  <c r="CP12" i="1"/>
  <c r="CZ12" i="1" s="1"/>
  <c r="H11" i="1"/>
  <c r="FP33" i="1"/>
  <c r="FU33" i="1"/>
  <c r="GB177" i="1"/>
  <c r="CN215" i="1"/>
  <c r="DJ68" i="1"/>
  <c r="DK68" i="1" s="1"/>
  <c r="CP68" i="1"/>
  <c r="FW33" i="1"/>
  <c r="EQ33" i="1"/>
  <c r="EK33" i="1"/>
  <c r="ER33" i="1"/>
  <c r="BA104" i="1"/>
  <c r="BA100" i="1"/>
  <c r="BA94" i="1"/>
  <c r="BA90" i="1"/>
  <c r="BA80" i="1"/>
  <c r="BA70" i="1"/>
  <c r="BA61" i="1"/>
  <c r="BA57" i="1"/>
  <c r="BA51" i="1"/>
  <c r="AU47" i="1"/>
  <c r="DO32" i="1"/>
  <c r="AU23" i="1"/>
  <c r="DP23" i="1" s="1"/>
  <c r="EP18" i="1"/>
  <c r="AX84" i="1"/>
  <c r="AX39" i="1"/>
  <c r="AX27" i="1"/>
  <c r="FI33" i="1"/>
  <c r="EF33" i="1"/>
  <c r="FB33" i="1"/>
  <c r="K34" i="1"/>
  <c r="L34" i="1"/>
  <c r="CR32" i="1"/>
  <c r="CR33" i="1"/>
  <c r="CR34" i="1"/>
  <c r="L33" i="1"/>
  <c r="L32" i="1"/>
  <c r="BX37" i="1"/>
  <c r="CL37" i="1" s="1"/>
  <c r="FZ37" i="1" s="1"/>
  <c r="I37" i="1"/>
  <c r="J37" i="1"/>
  <c r="K37" i="1" s="1"/>
  <c r="J39" i="1"/>
  <c r="L39" i="1" s="1"/>
  <c r="CN34" i="1"/>
  <c r="CP34" i="1"/>
  <c r="CL34" i="1"/>
  <c r="FZ34" i="1" s="1"/>
  <c r="CY69" i="1"/>
  <c r="BB68" i="1"/>
  <c r="BB70" i="1" s="1"/>
  <c r="BB69" i="1"/>
  <c r="CR69" i="1"/>
  <c r="L69" i="1"/>
  <c r="EL69" i="1"/>
  <c r="EF69" i="1"/>
  <c r="FV69" i="1"/>
  <c r="DR69" i="1"/>
  <c r="FC69" i="1"/>
  <c r="EW69" i="1"/>
  <c r="EQ69" i="1"/>
  <c r="DS69" i="1"/>
  <c r="FP69" i="1"/>
  <c r="FI69" i="1"/>
  <c r="CP69" i="1"/>
  <c r="ER69" i="1"/>
  <c r="DT69" i="1"/>
  <c r="FO69" i="1"/>
  <c r="FJ69" i="1"/>
  <c r="FQ69" i="1"/>
  <c r="EK69" i="1"/>
  <c r="EE69" i="1"/>
  <c r="EX69" i="1"/>
  <c r="DQ69" i="1"/>
  <c r="FW69" i="1"/>
  <c r="FD69" i="1"/>
  <c r="DJ69" i="1"/>
  <c r="DK69" i="1" s="1"/>
  <c r="DI69" i="1"/>
  <c r="DU69" i="1"/>
  <c r="EJ69" i="1"/>
  <c r="EV69" i="1"/>
  <c r="FN69" i="1"/>
  <c r="FH69" i="1"/>
  <c r="FB69" i="1"/>
  <c r="DP69" i="1"/>
  <c r="FU69" i="1"/>
  <c r="ED69" i="1"/>
  <c r="EP69" i="1"/>
  <c r="CQ69" i="1"/>
  <c r="K69" i="1"/>
  <c r="CY45" i="1"/>
  <c r="N45" i="1" s="1"/>
  <c r="DU159" i="1"/>
  <c r="CY272" i="1"/>
  <c r="N272" i="1" s="1"/>
  <c r="CY123" i="1"/>
  <c r="N123" i="1" s="1"/>
  <c r="CY170" i="1"/>
  <c r="N170" i="1" s="1"/>
  <c r="DI131" i="1"/>
  <c r="CN209" i="1"/>
  <c r="EW156" i="1"/>
  <c r="CY90" i="1"/>
  <c r="N90" i="1" s="1"/>
  <c r="BX103" i="1"/>
  <c r="BY103" i="1"/>
  <c r="J103" i="1"/>
  <c r="CP103" i="1" s="1"/>
  <c r="BX26" i="1"/>
  <c r="DI118" i="1"/>
  <c r="AN57" i="1"/>
  <c r="AO57" i="1" s="1"/>
  <c r="U105" i="1"/>
  <c r="U106" i="1" s="1"/>
  <c r="BX216" i="1"/>
  <c r="BX112" i="1"/>
  <c r="K12" i="1"/>
  <c r="CN12" i="1"/>
  <c r="AN104" i="1"/>
  <c r="AN105" i="1" s="1"/>
  <c r="BN270" i="1"/>
  <c r="BN64" i="1"/>
  <c r="CP182" i="1"/>
  <c r="CN182" i="1"/>
  <c r="CQ182" i="1"/>
  <c r="CL12" i="1"/>
  <c r="FZ12" i="1" s="1"/>
  <c r="BN100" i="1"/>
  <c r="DJ99" i="1"/>
  <c r="DK99" i="1" s="1"/>
  <c r="CP183" i="1"/>
  <c r="CP99" i="1"/>
  <c r="CR131" i="1"/>
  <c r="DJ278" i="1"/>
  <c r="DK278" i="1" s="1"/>
  <c r="AN100" i="1"/>
  <c r="AO100" i="1" s="1"/>
  <c r="AO99" i="1"/>
  <c r="BN99" i="1"/>
  <c r="CL102" i="1"/>
  <c r="FZ102" i="1" s="1"/>
  <c r="DI100" i="1"/>
  <c r="CO171" i="1"/>
  <c r="M171" i="1" s="1"/>
  <c r="EK156" i="1"/>
  <c r="CY156" i="1"/>
  <c r="N156" i="1" s="1"/>
  <c r="DI99" i="1"/>
  <c r="CY99" i="1"/>
  <c r="N99" i="1" s="1"/>
  <c r="ED159" i="1"/>
  <c r="CO100" i="1"/>
  <c r="M100" i="1" s="1"/>
  <c r="CY100" i="1"/>
  <c r="N100" i="1" s="1"/>
  <c r="CY98" i="1"/>
  <c r="N98" i="1" s="1"/>
  <c r="CO98" i="1"/>
  <c r="M98" i="1" s="1"/>
  <c r="DZ275" i="1"/>
  <c r="CY275" i="1"/>
  <c r="N275" i="1" s="1"/>
  <c r="FI159" i="1"/>
  <c r="EE159" i="1"/>
  <c r="FB156" i="1"/>
  <c r="FJ156" i="1"/>
  <c r="CO99" i="1"/>
  <c r="M99" i="1" s="1"/>
  <c r="DI98" i="1"/>
  <c r="EW157" i="1"/>
  <c r="EW145" i="1" s="1"/>
  <c r="EX157" i="1"/>
  <c r="EX145" i="1" s="1"/>
  <c r="CY171" i="1"/>
  <c r="N171" i="1" s="1"/>
  <c r="DI171" i="1"/>
  <c r="CY29" i="1"/>
  <c r="N29" i="1" s="1"/>
  <c r="FI156" i="1"/>
  <c r="CQ99" i="1"/>
  <c r="K99" i="1"/>
  <c r="DJ100" i="1"/>
  <c r="DK100" i="1" s="1"/>
  <c r="CQ221" i="1"/>
  <c r="CP221" i="1"/>
  <c r="CN221" i="1"/>
  <c r="CR100" i="1"/>
  <c r="CR99" i="1"/>
  <c r="L98" i="1"/>
  <c r="L100" i="1"/>
  <c r="L99" i="1"/>
  <c r="CR98" i="1"/>
  <c r="CQ100" i="1"/>
  <c r="K100" i="1"/>
  <c r="FV156" i="1"/>
  <c r="CO170" i="1"/>
  <c r="M170" i="1" s="1"/>
  <c r="BU13" i="1"/>
  <c r="CO226" i="1"/>
  <c r="M226" i="1" s="1"/>
  <c r="EQ156" i="1"/>
  <c r="EE160" i="1"/>
  <c r="CY200" i="1"/>
  <c r="N200" i="1" s="1"/>
  <c r="CY49" i="1"/>
  <c r="N49" i="1" s="1"/>
  <c r="CY82" i="1"/>
  <c r="N82" i="1" s="1"/>
  <c r="CY135" i="1"/>
  <c r="N135" i="1" s="1"/>
  <c r="CY61" i="1"/>
  <c r="N61" i="1" s="1"/>
  <c r="CY300" i="1"/>
  <c r="N300" i="1" s="1"/>
  <c r="EX134" i="1"/>
  <c r="EX161" i="1" s="1"/>
  <c r="EX162" i="1" s="1"/>
  <c r="EX163" i="1" s="1"/>
  <c r="CY240" i="1"/>
  <c r="N240" i="1" s="1"/>
  <c r="CY232" i="1"/>
  <c r="N232" i="1" s="1"/>
  <c r="CY297" i="1"/>
  <c r="N297" i="1" s="1"/>
  <c r="CY252" i="1"/>
  <c r="N252" i="1" s="1"/>
  <c r="CY262" i="1"/>
  <c r="N262" i="1" s="1"/>
  <c r="EL96" i="1"/>
  <c r="EK159" i="1"/>
  <c r="CY235" i="1"/>
  <c r="N235" i="1" s="1"/>
  <c r="FN156" i="1"/>
  <c r="CY241" i="1"/>
  <c r="N241" i="1" s="1"/>
  <c r="CY136" i="1"/>
  <c r="N136" i="1" s="1"/>
  <c r="DU156" i="1"/>
  <c r="DR156" i="1"/>
  <c r="CY311" i="1"/>
  <c r="N311" i="1" s="1"/>
  <c r="FD157" i="1"/>
  <c r="FD145" i="1" s="1"/>
  <c r="EX156" i="1"/>
  <c r="EP156" i="1"/>
  <c r="DT156" i="1"/>
  <c r="CY234" i="1"/>
  <c r="N234" i="1" s="1"/>
  <c r="DI64" i="1"/>
  <c r="DI156" i="1"/>
  <c r="FC156" i="1"/>
  <c r="CY237" i="1"/>
  <c r="N237" i="1" s="1"/>
  <c r="CY228" i="1"/>
  <c r="N228" i="1" s="1"/>
  <c r="EE156" i="1"/>
  <c r="FQ156" i="1"/>
  <c r="DS305" i="1"/>
  <c r="CY119" i="1"/>
  <c r="N119" i="1" s="1"/>
  <c r="CY131" i="1"/>
  <c r="FU156" i="1"/>
  <c r="CY133" i="1"/>
  <c r="N133" i="1" s="1"/>
  <c r="CP215" i="1"/>
  <c r="CZ215" i="1" s="1"/>
  <c r="DX176" i="1"/>
  <c r="CB221" i="1"/>
  <c r="CL221" i="1" s="1"/>
  <c r="FZ221" i="1" s="1"/>
  <c r="FO160" i="1"/>
  <c r="AN18" i="1"/>
  <c r="AN19" i="1" s="1"/>
  <c r="AO19" i="1" s="1"/>
  <c r="BN46" i="1"/>
  <c r="FO157" i="1"/>
  <c r="FO145" i="1" s="1"/>
  <c r="CO159" i="1"/>
  <c r="M159" i="1" s="1"/>
  <c r="CQ36" i="1"/>
  <c r="K36" i="1"/>
  <c r="DS159" i="1"/>
  <c r="EP159" i="1"/>
  <c r="DT159" i="1"/>
  <c r="EQ159" i="1"/>
  <c r="FC159" i="1"/>
  <c r="EV159" i="1"/>
  <c r="FP159" i="1"/>
  <c r="FB159" i="1"/>
  <c r="DP159" i="1"/>
  <c r="BK70" i="1"/>
  <c r="CY301" i="1"/>
  <c r="N301" i="1" s="1"/>
  <c r="EE157" i="1"/>
  <c r="EE145" i="1" s="1"/>
  <c r="DQ157" i="1"/>
  <c r="DQ145" i="1" s="1"/>
  <c r="CP36" i="1"/>
  <c r="CZ36" i="1" s="1"/>
  <c r="DI134" i="1"/>
  <c r="EJ159" i="1"/>
  <c r="FU159" i="1"/>
  <c r="DX275" i="1"/>
  <c r="AO46" i="1"/>
  <c r="CL25" i="1"/>
  <c r="FZ25" i="1" s="1"/>
  <c r="CY53" i="1"/>
  <c r="N53" i="1" s="1"/>
  <c r="CY121" i="1"/>
  <c r="N121" i="1" s="1"/>
  <c r="FU157" i="1"/>
  <c r="FU145" i="1" s="1"/>
  <c r="ER157" i="1"/>
  <c r="ER145" i="1" s="1"/>
  <c r="FI134" i="1"/>
  <c r="FI161" i="1" s="1"/>
  <c r="FI162" i="1" s="1"/>
  <c r="FI163" i="1" s="1"/>
  <c r="DI170" i="1"/>
  <c r="BN216" i="1"/>
  <c r="EF159" i="1"/>
  <c r="DQ159" i="1"/>
  <c r="FD159" i="1"/>
  <c r="EL159" i="1"/>
  <c r="EW159" i="1"/>
  <c r="DR159" i="1"/>
  <c r="FQ159" i="1"/>
  <c r="DI159" i="1"/>
  <c r="FO159" i="1"/>
  <c r="FB160" i="1"/>
  <c r="CY199" i="1"/>
  <c r="N199" i="1" s="1"/>
  <c r="BN217" i="1"/>
  <c r="CY227" i="1"/>
  <c r="N227" i="1" s="1"/>
  <c r="DQ134" i="1"/>
  <c r="DQ161" i="1" s="1"/>
  <c r="DQ162" i="1" s="1"/>
  <c r="DQ163" i="1" s="1"/>
  <c r="CY152" i="1"/>
  <c r="N152" i="1" s="1"/>
  <c r="ER159" i="1"/>
  <c r="FV159" i="1"/>
  <c r="CY159" i="1"/>
  <c r="N159" i="1" s="1"/>
  <c r="FN159" i="1"/>
  <c r="FW159" i="1"/>
  <c r="FJ159" i="1"/>
  <c r="EX159" i="1"/>
  <c r="EK160" i="1"/>
  <c r="CY30" i="1"/>
  <c r="N30" i="1" s="1"/>
  <c r="DT134" i="1"/>
  <c r="DT161" i="1" s="1"/>
  <c r="DT162" i="1" s="1"/>
  <c r="DT163" i="1" s="1"/>
  <c r="CR171" i="1"/>
  <c r="CR170" i="1"/>
  <c r="DX166" i="1"/>
  <c r="CO152" i="1"/>
  <c r="M152" i="1" s="1"/>
  <c r="FN160" i="1"/>
  <c r="FC96" i="1"/>
  <c r="FC97" i="1" s="1"/>
  <c r="FC98" i="1" s="1"/>
  <c r="FC99" i="1" s="1"/>
  <c r="FC100" i="1" s="1"/>
  <c r="CO160" i="1"/>
  <c r="M160" i="1" s="1"/>
  <c r="FP96" i="1"/>
  <c r="CY224" i="1"/>
  <c r="N224" i="1" s="1"/>
  <c r="CY226" i="1"/>
  <c r="N226" i="1" s="1"/>
  <c r="CY302" i="1"/>
  <c r="N302" i="1" s="1"/>
  <c r="CO232" i="1"/>
  <c r="M232" i="1" s="1"/>
  <c r="FP134" i="1"/>
  <c r="FP161" i="1" s="1"/>
  <c r="FP162" i="1" s="1"/>
  <c r="FP163" i="1" s="1"/>
  <c r="DI152" i="1"/>
  <c r="EX160" i="1"/>
  <c r="CY64" i="1"/>
  <c r="N64" i="1" s="1"/>
  <c r="CY89" i="1"/>
  <c r="N89" i="1" s="1"/>
  <c r="EV134" i="1"/>
  <c r="EV161" i="1" s="1"/>
  <c r="EV162" i="1" s="1"/>
  <c r="EV163" i="1" s="1"/>
  <c r="AN70" i="1"/>
  <c r="CO185" i="1"/>
  <c r="M185" i="1" s="1"/>
  <c r="BY216" i="1"/>
  <c r="FV134" i="1"/>
  <c r="FV161" i="1" s="1"/>
  <c r="FV162" i="1" s="1"/>
  <c r="FV163" i="1" s="1"/>
  <c r="DI135" i="1"/>
  <c r="CO134" i="1"/>
  <c r="M134" i="1" s="1"/>
  <c r="EP134" i="1"/>
  <c r="EP161" i="1" s="1"/>
  <c r="EP162" i="1" s="1"/>
  <c r="EP163" i="1" s="1"/>
  <c r="CO135" i="1"/>
  <c r="M135" i="1" s="1"/>
  <c r="DI129" i="1"/>
  <c r="FP157" i="1"/>
  <c r="FP145" i="1" s="1"/>
  <c r="EP157" i="1"/>
  <c r="EP145" i="1" s="1"/>
  <c r="FB157" i="1"/>
  <c r="FB145" i="1" s="1"/>
  <c r="FC134" i="1"/>
  <c r="FC161" i="1" s="1"/>
  <c r="FC162" i="1" s="1"/>
  <c r="FC163" i="1" s="1"/>
  <c r="EK134" i="1"/>
  <c r="EK161" i="1" s="1"/>
  <c r="EK162" i="1" s="1"/>
  <c r="EK163" i="1" s="1"/>
  <c r="FV157" i="1"/>
  <c r="FV145" i="1" s="1"/>
  <c r="FQ157" i="1"/>
  <c r="FQ145" i="1" s="1"/>
  <c r="CL182" i="1"/>
  <c r="FZ182" i="1" s="1"/>
  <c r="DJ309" i="1"/>
  <c r="FO134" i="1"/>
  <c r="FO161" i="1" s="1"/>
  <c r="FO162" i="1" s="1"/>
  <c r="FO163" i="1" s="1"/>
  <c r="EF134" i="1"/>
  <c r="EF161" i="1" s="1"/>
  <c r="EF162" i="1" s="1"/>
  <c r="EF163" i="1" s="1"/>
  <c r="CR152" i="1"/>
  <c r="CO157" i="1"/>
  <c r="M157" i="1" s="1"/>
  <c r="DP157" i="1"/>
  <c r="DP145" i="1" s="1"/>
  <c r="EL157" i="1"/>
  <c r="EL145" i="1" s="1"/>
  <c r="EQ134" i="1"/>
  <c r="EQ161" i="1" s="1"/>
  <c r="EQ162" i="1" s="1"/>
  <c r="EQ163" i="1" s="1"/>
  <c r="FU134" i="1"/>
  <c r="FU161" i="1" s="1"/>
  <c r="CY289" i="1"/>
  <c r="N289" i="1" s="1"/>
  <c r="DS157" i="1"/>
  <c r="DS145" i="1" s="1"/>
  <c r="EQ157" i="1"/>
  <c r="EQ145" i="1" s="1"/>
  <c r="FC157" i="1"/>
  <c r="FC145" i="1" s="1"/>
  <c r="FQ134" i="1"/>
  <c r="FQ161" i="1" s="1"/>
  <c r="FQ162" i="1" s="1"/>
  <c r="FQ163" i="1" s="1"/>
  <c r="CY134" i="1"/>
  <c r="N134" i="1" s="1"/>
  <c r="ED157" i="1"/>
  <c r="ED145" i="1" s="1"/>
  <c r="FH157" i="1"/>
  <c r="FH145" i="1" s="1"/>
  <c r="ER134" i="1"/>
  <c r="ER161" i="1" s="1"/>
  <c r="ER162" i="1" s="1"/>
  <c r="ER163" i="1" s="1"/>
  <c r="EW134" i="1"/>
  <c r="EW161" i="1" s="1"/>
  <c r="EW162" i="1" s="1"/>
  <c r="EW163" i="1" s="1"/>
  <c r="DT157" i="1"/>
  <c r="DT145" i="1" s="1"/>
  <c r="FW157" i="1"/>
  <c r="FW145" i="1" s="1"/>
  <c r="DP134" i="1"/>
  <c r="DP161" i="1" s="1"/>
  <c r="FJ134" i="1"/>
  <c r="FJ161" i="1" s="1"/>
  <c r="FJ162" i="1" s="1"/>
  <c r="FJ163" i="1" s="1"/>
  <c r="CY269" i="1"/>
  <c r="N269" i="1" s="1"/>
  <c r="CY157" i="1"/>
  <c r="N157" i="1" s="1"/>
  <c r="FI157" i="1"/>
  <c r="FI145" i="1" s="1"/>
  <c r="FB134" i="1"/>
  <c r="FB161" i="1" s="1"/>
  <c r="EE134" i="1"/>
  <c r="EE161" i="1" s="1"/>
  <c r="EE162" i="1" s="1"/>
  <c r="EE163" i="1" s="1"/>
  <c r="FW134" i="1"/>
  <c r="FW161" i="1" s="1"/>
  <c r="FW162" i="1" s="1"/>
  <c r="FW163" i="1" s="1"/>
  <c r="CO129" i="1"/>
  <c r="M129" i="1" s="1"/>
  <c r="EF157" i="1"/>
  <c r="EF145" i="1" s="1"/>
  <c r="EK157" i="1"/>
  <c r="EK145" i="1" s="1"/>
  <c r="FJ157" i="1"/>
  <c r="FJ145" i="1" s="1"/>
  <c r="FN134" i="1"/>
  <c r="FN161" i="1" s="1"/>
  <c r="FH134" i="1"/>
  <c r="FH161" i="1" s="1"/>
  <c r="DU134" i="1"/>
  <c r="DU161" i="1" s="1"/>
  <c r="DU162" i="1" s="1"/>
  <c r="DU163" i="1" s="1"/>
  <c r="CO136" i="1"/>
  <c r="M136" i="1" s="1"/>
  <c r="DI136" i="1"/>
  <c r="EL134" i="1"/>
  <c r="EL161" i="1" s="1"/>
  <c r="EL162" i="1" s="1"/>
  <c r="EL163" i="1" s="1"/>
  <c r="ED134" i="1"/>
  <c r="ED161" i="1" s="1"/>
  <c r="ED162" i="1" s="1"/>
  <c r="DS134" i="1"/>
  <c r="DS161" i="1" s="1"/>
  <c r="DS162" i="1" s="1"/>
  <c r="DS163" i="1" s="1"/>
  <c r="EJ134" i="1"/>
  <c r="EJ161" i="1" s="1"/>
  <c r="EJ162" i="1" s="1"/>
  <c r="FD134" i="1"/>
  <c r="FD161" i="1" s="1"/>
  <c r="FD162" i="1" s="1"/>
  <c r="FD163" i="1" s="1"/>
  <c r="DR134" i="1"/>
  <c r="DR161" i="1" s="1"/>
  <c r="DR162" i="1" s="1"/>
  <c r="DR163" i="1" s="1"/>
  <c r="FV96" i="1"/>
  <c r="DS96" i="1"/>
  <c r="DS114" i="1" s="1"/>
  <c r="FO96" i="1"/>
  <c r="FO97" i="1" s="1"/>
  <c r="FO98" i="1" s="1"/>
  <c r="FO99" i="1" s="1"/>
  <c r="FO100" i="1" s="1"/>
  <c r="EK96" i="1"/>
  <c r="EK114" i="1" s="1"/>
  <c r="ER96" i="1"/>
  <c r="ER97" i="1" s="1"/>
  <c r="ER98" i="1" s="1"/>
  <c r="ER99" i="1" s="1"/>
  <c r="ER100" i="1" s="1"/>
  <c r="CR134" i="1"/>
  <c r="FW96" i="1"/>
  <c r="FW97" i="1" s="1"/>
  <c r="FW98" i="1" s="1"/>
  <c r="FW99" i="1" s="1"/>
  <c r="FW100" i="1" s="1"/>
  <c r="CY253" i="1"/>
  <c r="N253" i="1" s="1"/>
  <c r="DT96" i="1"/>
  <c r="DT114" i="1" s="1"/>
  <c r="FD96" i="1"/>
  <c r="FD97" i="1" s="1"/>
  <c r="FD98" i="1" s="1"/>
  <c r="FD99" i="1" s="1"/>
  <c r="FD100" i="1" s="1"/>
  <c r="CP95" i="1"/>
  <c r="CN95" i="1"/>
  <c r="CO95" i="1" s="1"/>
  <c r="M95" i="1" s="1"/>
  <c r="EQ96" i="1"/>
  <c r="BK61" i="1"/>
  <c r="BN61" i="1" s="1"/>
  <c r="FQ96" i="1"/>
  <c r="FQ97" i="1" s="1"/>
  <c r="FQ98" i="1" s="1"/>
  <c r="FQ99" i="1" s="1"/>
  <c r="FQ100" i="1" s="1"/>
  <c r="DI275" i="1"/>
  <c r="EX96" i="1"/>
  <c r="EX97" i="1" s="1"/>
  <c r="EX98" i="1" s="1"/>
  <c r="EX99" i="1" s="1"/>
  <c r="EX100" i="1" s="1"/>
  <c r="FI96" i="1"/>
  <c r="FI110" i="1" s="1"/>
  <c r="DU297" i="1"/>
  <c r="DU298" i="1" s="1"/>
  <c r="ER156" i="1"/>
  <c r="DQ156" i="1"/>
  <c r="CO130" i="1"/>
  <c r="M130" i="1" s="1"/>
  <c r="CY129" i="1"/>
  <c r="N129" i="1" s="1"/>
  <c r="CO275" i="1"/>
  <c r="M275" i="1" s="1"/>
  <c r="DQ96" i="1"/>
  <c r="DQ97" i="1" s="1"/>
  <c r="DQ98" i="1" s="1"/>
  <c r="DQ99" i="1" s="1"/>
  <c r="DQ100" i="1" s="1"/>
  <c r="CY194" i="1"/>
  <c r="N194" i="1" s="1"/>
  <c r="CY225" i="1"/>
  <c r="N225" i="1" s="1"/>
  <c r="EF156" i="1"/>
  <c r="EL156" i="1"/>
  <c r="CQ12" i="1"/>
  <c r="DI166" i="1"/>
  <c r="EF96" i="1"/>
  <c r="EF97" i="1" s="1"/>
  <c r="EF98" i="1" s="1"/>
  <c r="EF99" i="1" s="1"/>
  <c r="EF100" i="1" s="1"/>
  <c r="EV156" i="1"/>
  <c r="FO156" i="1"/>
  <c r="EV305" i="1"/>
  <c r="CY124" i="1"/>
  <c r="N124" i="1" s="1"/>
  <c r="FD156" i="1"/>
  <c r="CO186" i="1"/>
  <c r="M186" i="1" s="1"/>
  <c r="CO133" i="1"/>
  <c r="M133" i="1" s="1"/>
  <c r="CR157" i="1"/>
  <c r="CL215" i="1"/>
  <c r="FZ215" i="1" s="1"/>
  <c r="DU305" i="1"/>
  <c r="DU64" i="1"/>
  <c r="FW305" i="1"/>
  <c r="DI133" i="1"/>
  <c r="CY233" i="1"/>
  <c r="N233" i="1" s="1"/>
  <c r="CY270" i="1"/>
  <c r="N270" i="1" s="1"/>
  <c r="FI305" i="1"/>
  <c r="CR174" i="1"/>
  <c r="DI27" i="1"/>
  <c r="CO305" i="1"/>
  <c r="M305" i="1" s="1"/>
  <c r="DR305" i="1"/>
  <c r="CR183" i="1"/>
  <c r="CR146" i="1"/>
  <c r="EJ305" i="1"/>
  <c r="CR166" i="1"/>
  <c r="EX305" i="1"/>
  <c r="FU305" i="1"/>
  <c r="L45" i="1"/>
  <c r="FQ305" i="1"/>
  <c r="CY305" i="1"/>
  <c r="N305" i="1" s="1"/>
  <c r="BN135" i="1"/>
  <c r="BK136" i="1"/>
  <c r="BN136" i="1" s="1"/>
  <c r="CR136" i="1"/>
  <c r="CR135" i="1"/>
  <c r="CR133" i="1"/>
  <c r="CR27" i="1"/>
  <c r="CR293" i="1"/>
  <c r="ED305" i="1"/>
  <c r="EL305" i="1"/>
  <c r="CR129" i="1"/>
  <c r="CR176" i="1"/>
  <c r="CY27" i="1"/>
  <c r="N27" i="1" s="1"/>
  <c r="CO27" i="1"/>
  <c r="M27" i="1" s="1"/>
  <c r="DQ305" i="1"/>
  <c r="FB305" i="1"/>
  <c r="CR182" i="1"/>
  <c r="CR128" i="1"/>
  <c r="EF305" i="1"/>
  <c r="FN305" i="1"/>
  <c r="DU157" i="1"/>
  <c r="DU145" i="1" s="1"/>
  <c r="CR232" i="1"/>
  <c r="CR168" i="1"/>
  <c r="CR165" i="1"/>
  <c r="DI176" i="1"/>
  <c r="DZ176" i="1"/>
  <c r="CY238" i="1"/>
  <c r="N238" i="1" s="1"/>
  <c r="CY176" i="1"/>
  <c r="N176" i="1" s="1"/>
  <c r="CR274" i="1"/>
  <c r="AN61" i="1"/>
  <c r="AO61" i="1" s="1"/>
  <c r="CL111" i="1"/>
  <c r="FZ111" i="1" s="1"/>
  <c r="CO176" i="1"/>
  <c r="M176" i="1" s="1"/>
  <c r="DI157" i="1"/>
  <c r="CO298" i="1"/>
  <c r="M298" i="1" s="1"/>
  <c r="CR275" i="1"/>
  <c r="CL36" i="1"/>
  <c r="FZ36" i="1" s="1"/>
  <c r="FH160" i="1"/>
  <c r="CO125" i="1"/>
  <c r="M125" i="1" s="1"/>
  <c r="DZ166" i="1"/>
  <c r="ER160" i="1"/>
  <c r="DR160" i="1"/>
  <c r="CY125" i="1"/>
  <c r="N125" i="1" s="1"/>
  <c r="CO227" i="1"/>
  <c r="M227" i="1" s="1"/>
  <c r="FH159" i="1"/>
  <c r="CY231" i="1"/>
  <c r="N231" i="1" s="1"/>
  <c r="DQ160" i="1"/>
  <c r="CY256" i="1"/>
  <c r="N256" i="1" s="1"/>
  <c r="EV160" i="1"/>
  <c r="ED160" i="1"/>
  <c r="FW160" i="1"/>
  <c r="CY309" i="1"/>
  <c r="N309" i="1" s="1"/>
  <c r="CO300" i="1"/>
  <c r="M300" i="1" s="1"/>
  <c r="CY186" i="1"/>
  <c r="N186" i="1" s="1"/>
  <c r="FQ160" i="1"/>
  <c r="CY255" i="1"/>
  <c r="N255" i="1" s="1"/>
  <c r="CY126" i="1"/>
  <c r="N126" i="1" s="1"/>
  <c r="CO84" i="1"/>
  <c r="M84" i="1" s="1"/>
  <c r="CO61" i="1"/>
  <c r="M61" i="1" s="1"/>
  <c r="CO166" i="1"/>
  <c r="M166" i="1" s="1"/>
  <c r="EP160" i="1"/>
  <c r="DP160" i="1"/>
  <c r="CO57" i="1"/>
  <c r="M57" i="1" s="1"/>
  <c r="CP47" i="1"/>
  <c r="DJ310" i="1"/>
  <c r="CO131" i="1"/>
  <c r="M131" i="1" s="1"/>
  <c r="CY166" i="1"/>
  <c r="N166" i="1" s="1"/>
  <c r="FD160" i="1"/>
  <c r="FJ160" i="1"/>
  <c r="CO45" i="1"/>
  <c r="M45" i="1" s="1"/>
  <c r="FJ96" i="1"/>
  <c r="DJ311" i="1"/>
  <c r="CO240" i="1"/>
  <c r="M240" i="1" s="1"/>
  <c r="EJ160" i="1"/>
  <c r="DT160" i="1"/>
  <c r="FU160" i="1"/>
  <c r="EW305" i="1"/>
  <c r="FD305" i="1"/>
  <c r="CO196" i="1"/>
  <c r="M196" i="1" s="1"/>
  <c r="CY160" i="1"/>
  <c r="N160" i="1" s="1"/>
  <c r="DU160" i="1"/>
  <c r="CY284" i="1"/>
  <c r="N284" i="1" s="1"/>
  <c r="FJ305" i="1"/>
  <c r="FP305" i="1"/>
  <c r="CO278" i="1"/>
  <c r="M278" i="1" s="1"/>
  <c r="CY85" i="1"/>
  <c r="N85" i="1" s="1"/>
  <c r="CO199" i="1"/>
  <c r="M199" i="1" s="1"/>
  <c r="AU52" i="1"/>
  <c r="EJ52" i="1" s="1"/>
  <c r="K51" i="1"/>
  <c r="EQ305" i="1"/>
  <c r="CO89" i="1"/>
  <c r="M89" i="1" s="1"/>
  <c r="CO200" i="1"/>
  <c r="M200" i="1" s="1"/>
  <c r="CO228" i="1"/>
  <c r="M228" i="1" s="1"/>
  <c r="CY84" i="1"/>
  <c r="N84" i="1" s="1"/>
  <c r="CY196" i="1"/>
  <c r="N196" i="1" s="1"/>
  <c r="CO238" i="1"/>
  <c r="M238" i="1" s="1"/>
  <c r="DI305" i="1"/>
  <c r="DU304" i="1"/>
  <c r="CB216" i="1"/>
  <c r="CB217" i="1"/>
  <c r="ED228" i="1"/>
  <c r="CQ227" i="1"/>
  <c r="CY197" i="1"/>
  <c r="N197" i="1" s="1"/>
  <c r="CO284" i="1"/>
  <c r="M284" i="1" s="1"/>
  <c r="CR216" i="1"/>
  <c r="AU96" i="1"/>
  <c r="K95" i="1"/>
  <c r="CQ95" i="1"/>
  <c r="CY260" i="1"/>
  <c r="N260" i="1" s="1"/>
  <c r="CY304" i="1"/>
  <c r="N304" i="1" s="1"/>
  <c r="CO239" i="1"/>
  <c r="M239" i="1" s="1"/>
  <c r="CQ215" i="1"/>
  <c r="FU118" i="1"/>
  <c r="CQ117" i="1"/>
  <c r="I39" i="1"/>
  <c r="BY39" i="1"/>
  <c r="CQ70" i="1"/>
  <c r="K70" i="1"/>
  <c r="CO272" i="1"/>
  <c r="M272" i="1" s="1"/>
  <c r="DJ233" i="1"/>
  <c r="DK233" i="1" s="1"/>
  <c r="FU90" i="1"/>
  <c r="EJ90" i="1"/>
  <c r="EJ91" i="1" s="1"/>
  <c r="FV90" i="1"/>
  <c r="FV91" i="1" s="1"/>
  <c r="FJ90" i="1"/>
  <c r="FJ91" i="1" s="1"/>
  <c r="EK90" i="1"/>
  <c r="EK91" i="1" s="1"/>
  <c r="DQ90" i="1"/>
  <c r="FW90" i="1"/>
  <c r="FW91" i="1" s="1"/>
  <c r="EW90" i="1"/>
  <c r="DR90" i="1"/>
  <c r="DR91" i="1" s="1"/>
  <c r="FN90" i="1"/>
  <c r="FN91" i="1" s="1"/>
  <c r="EX90" i="1"/>
  <c r="EX91" i="1" s="1"/>
  <c r="DS90" i="1"/>
  <c r="DS91" i="1" s="1"/>
  <c r="FO90" i="1"/>
  <c r="FO91" i="1" s="1"/>
  <c r="FB90" i="1"/>
  <c r="FC90" i="1"/>
  <c r="FC91" i="1" s="1"/>
  <c r="ED90" i="1"/>
  <c r="ED91" i="1" s="1"/>
  <c r="FQ90" i="1"/>
  <c r="FQ91" i="1" s="1"/>
  <c r="EE90" i="1"/>
  <c r="EE91" i="1" s="1"/>
  <c r="FH90" i="1"/>
  <c r="ER90" i="1"/>
  <c r="ER91" i="1" s="1"/>
  <c r="EV90" i="1"/>
  <c r="EV91" i="1" s="1"/>
  <c r="EP90" i="1"/>
  <c r="EP91" i="1" s="1"/>
  <c r="DP90" i="1"/>
  <c r="DP91" i="1" s="1"/>
  <c r="EQ90" i="1"/>
  <c r="EQ91" i="1" s="1"/>
  <c r="EF90" i="1"/>
  <c r="EF91" i="1" s="1"/>
  <c r="EL90" i="1"/>
  <c r="EL91" i="1" s="1"/>
  <c r="DI90" i="1"/>
  <c r="FI90" i="1"/>
  <c r="FI91" i="1" s="1"/>
  <c r="CO90" i="1"/>
  <c r="M90" i="1" s="1"/>
  <c r="FP90" i="1"/>
  <c r="FD90" i="1"/>
  <c r="FD91" i="1" s="1"/>
  <c r="DT90" i="1"/>
  <c r="DT91" i="1" s="1"/>
  <c r="FO82" i="1"/>
  <c r="FO132" i="1" s="1"/>
  <c r="EP82" i="1"/>
  <c r="EP132" i="1" s="1"/>
  <c r="DP82" i="1"/>
  <c r="DP132" i="1" s="1"/>
  <c r="DP151" i="1" s="1"/>
  <c r="EF82" i="1"/>
  <c r="EF132" i="1" s="1"/>
  <c r="FP82" i="1"/>
  <c r="FP132" i="1" s="1"/>
  <c r="EQ82" i="1"/>
  <c r="EQ132" i="1" s="1"/>
  <c r="DR82" i="1"/>
  <c r="DR132" i="1" s="1"/>
  <c r="FB82" i="1"/>
  <c r="FB132" i="1" s="1"/>
  <c r="FB151" i="1" s="1"/>
  <c r="ER82" i="1"/>
  <c r="ER132" i="1" s="1"/>
  <c r="FH82" i="1"/>
  <c r="FH132" i="1" s="1"/>
  <c r="FH151" i="1" s="1"/>
  <c r="ED82" i="1"/>
  <c r="ED132" i="1" s="1"/>
  <c r="FN82" i="1"/>
  <c r="FN132" i="1" s="1"/>
  <c r="FN151" i="1" s="1"/>
  <c r="FC82" i="1"/>
  <c r="FC132" i="1" s="1"/>
  <c r="EE82" i="1"/>
  <c r="EE132" i="1" s="1"/>
  <c r="FI82" i="1"/>
  <c r="FI132" i="1" s="1"/>
  <c r="FD82" i="1"/>
  <c r="FD132" i="1" s="1"/>
  <c r="EJ82" i="1"/>
  <c r="EJ132" i="1" s="1"/>
  <c r="DU82" i="1"/>
  <c r="DU132" i="1" s="1"/>
  <c r="EV82" i="1"/>
  <c r="EV132" i="1" s="1"/>
  <c r="FJ82" i="1"/>
  <c r="FJ132" i="1" s="1"/>
  <c r="EK82" i="1"/>
  <c r="EK132" i="1" s="1"/>
  <c r="CO82" i="1"/>
  <c r="M82" i="1" s="1"/>
  <c r="EW82" i="1"/>
  <c r="EW132" i="1" s="1"/>
  <c r="EX82" i="1"/>
  <c r="EX132" i="1" s="1"/>
  <c r="FU82" i="1"/>
  <c r="FU132" i="1" s="1"/>
  <c r="FU151" i="1" s="1"/>
  <c r="FQ82" i="1"/>
  <c r="FQ132" i="1" s="1"/>
  <c r="EL82" i="1"/>
  <c r="EL132" i="1" s="1"/>
  <c r="DI82" i="1"/>
  <c r="FV82" i="1"/>
  <c r="FV132" i="1" s="1"/>
  <c r="DS82" i="1"/>
  <c r="DS132" i="1" s="1"/>
  <c r="FW82" i="1"/>
  <c r="FW132" i="1" s="1"/>
  <c r="DQ82" i="1"/>
  <c r="DQ132" i="1" s="1"/>
  <c r="DT82" i="1"/>
  <c r="DT132" i="1" s="1"/>
  <c r="CQ61" i="1"/>
  <c r="K61" i="1"/>
  <c r="ED234" i="1"/>
  <c r="CQ233" i="1"/>
  <c r="EE196" i="1"/>
  <c r="FI196" i="1"/>
  <c r="FH196" i="1"/>
  <c r="ER196" i="1"/>
  <c r="FP196" i="1"/>
  <c r="EJ196" i="1"/>
  <c r="FO196" i="1"/>
  <c r="FV196" i="1"/>
  <c r="EV196" i="1"/>
  <c r="DT196" i="1"/>
  <c r="EW196" i="1"/>
  <c r="FN196" i="1"/>
  <c r="DQ196" i="1"/>
  <c r="EF196" i="1"/>
  <c r="FB196" i="1"/>
  <c r="FQ196" i="1"/>
  <c r="FC196" i="1"/>
  <c r="ED196" i="1"/>
  <c r="DS196" i="1"/>
  <c r="DP196" i="1"/>
  <c r="EL196" i="1"/>
  <c r="FJ196" i="1"/>
  <c r="DR196" i="1"/>
  <c r="EX196" i="1"/>
  <c r="EQ196" i="1"/>
  <c r="FD196" i="1"/>
  <c r="FW196" i="1"/>
  <c r="FU196" i="1"/>
  <c r="EK196" i="1"/>
  <c r="EP196" i="1"/>
  <c r="FN64" i="1"/>
  <c r="EX64" i="1"/>
  <c r="FV64" i="1"/>
  <c r="EP64" i="1"/>
  <c r="FO64" i="1"/>
  <c r="EJ64" i="1"/>
  <c r="FI64" i="1"/>
  <c r="EQ64" i="1"/>
  <c r="FJ64" i="1"/>
  <c r="EK64" i="1"/>
  <c r="FP64" i="1"/>
  <c r="ER64" i="1"/>
  <c r="FB64" i="1"/>
  <c r="EL64" i="1"/>
  <c r="FC64" i="1"/>
  <c r="ED64" i="1"/>
  <c r="DR64" i="1"/>
  <c r="FD64" i="1"/>
  <c r="EE64" i="1"/>
  <c r="DP64" i="1"/>
  <c r="FU64" i="1"/>
  <c r="FH64" i="1"/>
  <c r="EF64" i="1"/>
  <c r="DQ64" i="1"/>
  <c r="FW64" i="1"/>
  <c r="EV64" i="1"/>
  <c r="DT64" i="1"/>
  <c r="DS64" i="1"/>
  <c r="FQ64" i="1"/>
  <c r="EW64" i="1"/>
  <c r="CL183" i="1"/>
  <c r="FZ183" i="1" s="1"/>
  <c r="BN194" i="1"/>
  <c r="DS84" i="1"/>
  <c r="EW84" i="1"/>
  <c r="FW84" i="1"/>
  <c r="EE84" i="1"/>
  <c r="FQ84" i="1"/>
  <c r="ER84" i="1"/>
  <c r="EF84" i="1"/>
  <c r="DI84" i="1"/>
  <c r="EK84" i="1"/>
  <c r="FI84" i="1"/>
  <c r="DT84" i="1"/>
  <c r="FP84" i="1"/>
  <c r="DQ84" i="1"/>
  <c r="FO84" i="1"/>
  <c r="FC84" i="1"/>
  <c r="FD84" i="1"/>
  <c r="FJ84" i="1"/>
  <c r="EX84" i="1"/>
  <c r="EL84" i="1"/>
  <c r="EQ84" i="1"/>
  <c r="DU84" i="1"/>
  <c r="FV84" i="1"/>
  <c r="FN29" i="1"/>
  <c r="EW29" i="1"/>
  <c r="DP29" i="1"/>
  <c r="FO29" i="1"/>
  <c r="ER29" i="1"/>
  <c r="CO29" i="1"/>
  <c r="M29" i="1" s="1"/>
  <c r="FI29" i="1"/>
  <c r="FP29" i="1"/>
  <c r="FD29" i="1"/>
  <c r="DQ29" i="1"/>
  <c r="EE29" i="1"/>
  <c r="FQ29" i="1"/>
  <c r="EX29" i="1"/>
  <c r="DT29" i="1"/>
  <c r="FH29" i="1"/>
  <c r="ED29" i="1"/>
  <c r="DI29" i="1"/>
  <c r="DR29" i="1"/>
  <c r="DS29" i="1"/>
  <c r="FJ29" i="1"/>
  <c r="EF29" i="1"/>
  <c r="EL29" i="1"/>
  <c r="EV29" i="1"/>
  <c r="FB29" i="1"/>
  <c r="EJ29" i="1"/>
  <c r="FU29" i="1"/>
  <c r="FC29" i="1"/>
  <c r="EK29" i="1"/>
  <c r="EP29" i="1"/>
  <c r="FV29" i="1"/>
  <c r="EQ29" i="1"/>
  <c r="DU29" i="1"/>
  <c r="FW29" i="1"/>
  <c r="DJ205" i="1"/>
  <c r="DK205" i="1" s="1"/>
  <c r="AS19" i="1"/>
  <c r="DJ18" i="1"/>
  <c r="DK18" i="1" s="1"/>
  <c r="CY130" i="1"/>
  <c r="N130" i="1" s="1"/>
  <c r="CY52" i="1"/>
  <c r="N52" i="1" s="1"/>
  <c r="CQ65" i="1"/>
  <c r="CQ266" i="1"/>
  <c r="CY242" i="1"/>
  <c r="N242" i="1" s="1"/>
  <c r="CO64" i="1"/>
  <c r="M64" i="1" s="1"/>
  <c r="DI130" i="1"/>
  <c r="CQ272" i="1"/>
  <c r="DJ84" i="1"/>
  <c r="DK84" i="1" s="1"/>
  <c r="AS85" i="1"/>
  <c r="CQ232" i="1"/>
  <c r="FO238" i="1"/>
  <c r="FJ238" i="1"/>
  <c r="FD238" i="1"/>
  <c r="ED238" i="1"/>
  <c r="EW238" i="1"/>
  <c r="DS238" i="1"/>
  <c r="EX238" i="1"/>
  <c r="FB238" i="1"/>
  <c r="FU238" i="1"/>
  <c r="FC238" i="1"/>
  <c r="FV238" i="1"/>
  <c r="EP238" i="1"/>
  <c r="FW238" i="1"/>
  <c r="EQ238" i="1"/>
  <c r="FN238" i="1"/>
  <c r="ER238" i="1"/>
  <c r="FP238" i="1"/>
  <c r="EJ238" i="1"/>
  <c r="FH238" i="1"/>
  <c r="EK238" i="1"/>
  <c r="DP238" i="1"/>
  <c r="FI238" i="1"/>
  <c r="EL238" i="1"/>
  <c r="DT238" i="1"/>
  <c r="FQ238" i="1"/>
  <c r="EE238" i="1"/>
  <c r="DQ238" i="1"/>
  <c r="EV238" i="1"/>
  <c r="EF238" i="1"/>
  <c r="DR238" i="1"/>
  <c r="FQ269" i="1"/>
  <c r="EQ269" i="1"/>
  <c r="FB269" i="1"/>
  <c r="ER269" i="1"/>
  <c r="FC269" i="1"/>
  <c r="EJ269" i="1"/>
  <c r="CO269" i="1"/>
  <c r="M269" i="1" s="1"/>
  <c r="FD269" i="1"/>
  <c r="EK269" i="1"/>
  <c r="FW269" i="1"/>
  <c r="EV269" i="1"/>
  <c r="EL269" i="1"/>
  <c r="FP269" i="1"/>
  <c r="EW269" i="1"/>
  <c r="FU269" i="1"/>
  <c r="EX269" i="1"/>
  <c r="DP269" i="1"/>
  <c r="FN269" i="1"/>
  <c r="FH269" i="1"/>
  <c r="DQ269" i="1"/>
  <c r="FI269" i="1"/>
  <c r="ED269" i="1"/>
  <c r="DR269" i="1"/>
  <c r="FJ269" i="1"/>
  <c r="EE269" i="1"/>
  <c r="DT269" i="1"/>
  <c r="FV269" i="1"/>
  <c r="EF269" i="1"/>
  <c r="DI269" i="1"/>
  <c r="DS269" i="1"/>
  <c r="FO269" i="1"/>
  <c r="EP269" i="1"/>
  <c r="DU269" i="1"/>
  <c r="CY279" i="1"/>
  <c r="N279" i="1" s="1"/>
  <c r="DI279" i="1"/>
  <c r="FH61" i="1"/>
  <c r="EE61" i="1"/>
  <c r="EE66" i="1" s="1"/>
  <c r="EE188" i="1" s="1"/>
  <c r="FO61" i="1"/>
  <c r="FO66" i="1" s="1"/>
  <c r="FO188" i="1" s="1"/>
  <c r="FV61" i="1"/>
  <c r="FV66" i="1" s="1"/>
  <c r="FV188" i="1" s="1"/>
  <c r="DS61" i="1"/>
  <c r="EP61" i="1"/>
  <c r="ED61" i="1"/>
  <c r="ED66" i="1" s="1"/>
  <c r="ED188" i="1" s="1"/>
  <c r="FJ61" i="1"/>
  <c r="FJ66" i="1" s="1"/>
  <c r="FJ188" i="1" s="1"/>
  <c r="ER61" i="1"/>
  <c r="ER66" i="1" s="1"/>
  <c r="ER188" i="1" s="1"/>
  <c r="DR61" i="1"/>
  <c r="FQ61" i="1"/>
  <c r="FQ66" i="1" s="1"/>
  <c r="FQ188" i="1" s="1"/>
  <c r="DT61" i="1"/>
  <c r="FI61" i="1"/>
  <c r="FI66" i="1" s="1"/>
  <c r="FI188" i="1" s="1"/>
  <c r="EX61" i="1"/>
  <c r="EX66" i="1" s="1"/>
  <c r="EX188" i="1" s="1"/>
  <c r="EQ61" i="1"/>
  <c r="EQ66" i="1" s="1"/>
  <c r="EQ188" i="1" s="1"/>
  <c r="FW61" i="1"/>
  <c r="FW66" i="1" s="1"/>
  <c r="FW188" i="1" s="1"/>
  <c r="EL61" i="1"/>
  <c r="EL66" i="1" s="1"/>
  <c r="EL188" i="1" s="1"/>
  <c r="EW61" i="1"/>
  <c r="EW66" i="1" s="1"/>
  <c r="EW188" i="1" s="1"/>
  <c r="FU61" i="1"/>
  <c r="DQ61" i="1"/>
  <c r="FN61" i="1"/>
  <c r="DP61" i="1"/>
  <c r="FD61" i="1"/>
  <c r="FD66" i="1" s="1"/>
  <c r="FD188" i="1" s="1"/>
  <c r="EK61" i="1"/>
  <c r="EK66" i="1" s="1"/>
  <c r="EK188" i="1" s="1"/>
  <c r="FB61" i="1"/>
  <c r="FP61" i="1"/>
  <c r="FP66" i="1" s="1"/>
  <c r="FP188" i="1" s="1"/>
  <c r="EV61" i="1"/>
  <c r="EJ61" i="1"/>
  <c r="EJ66" i="1" s="1"/>
  <c r="EJ188" i="1" s="1"/>
  <c r="EF61" i="1"/>
  <c r="EF66" i="1" s="1"/>
  <c r="EF188" i="1" s="1"/>
  <c r="FC61" i="1"/>
  <c r="FC66" i="1" s="1"/>
  <c r="FC188" i="1" s="1"/>
  <c r="FC226" i="1"/>
  <c r="FQ226" i="1"/>
  <c r="EL226" i="1"/>
  <c r="EX226" i="1"/>
  <c r="FV226" i="1"/>
  <c r="EF226" i="1"/>
  <c r="EV226" i="1"/>
  <c r="FJ226" i="1"/>
  <c r="EJ226" i="1"/>
  <c r="EK226" i="1"/>
  <c r="FH226" i="1"/>
  <c r="FI226" i="1"/>
  <c r="FD226" i="1"/>
  <c r="EP226" i="1"/>
  <c r="EW226" i="1"/>
  <c r="FP226" i="1"/>
  <c r="ER226" i="1"/>
  <c r="FO226" i="1"/>
  <c r="FW226" i="1"/>
  <c r="DP226" i="1"/>
  <c r="EE226" i="1"/>
  <c r="DS226" i="1"/>
  <c r="FB226" i="1"/>
  <c r="DR226" i="1"/>
  <c r="ED226" i="1"/>
  <c r="FN226" i="1"/>
  <c r="FU226" i="1"/>
  <c r="DT226" i="1"/>
  <c r="DQ226" i="1"/>
  <c r="EQ226" i="1"/>
  <c r="DI199" i="1"/>
  <c r="FJ199" i="1"/>
  <c r="EE199" i="1"/>
  <c r="FW199" i="1"/>
  <c r="FD199" i="1"/>
  <c r="EQ199" i="1"/>
  <c r="FB199" i="1"/>
  <c r="DS199" i="1"/>
  <c r="EJ199" i="1"/>
  <c r="FU199" i="1"/>
  <c r="FP199" i="1"/>
  <c r="EF199" i="1"/>
  <c r="FO199" i="1"/>
  <c r="EX199" i="1"/>
  <c r="ED199" i="1"/>
  <c r="EK199" i="1"/>
  <c r="FH199" i="1"/>
  <c r="FN199" i="1"/>
  <c r="DQ199" i="1"/>
  <c r="DT199" i="1"/>
  <c r="FQ199" i="1"/>
  <c r="FC199" i="1"/>
  <c r="ER199" i="1"/>
  <c r="EW199" i="1"/>
  <c r="EL199" i="1"/>
  <c r="DU199" i="1"/>
  <c r="FI199" i="1"/>
  <c r="FV199" i="1"/>
  <c r="DR199" i="1"/>
  <c r="EV199" i="1"/>
  <c r="EP199" i="1"/>
  <c r="DP199" i="1"/>
  <c r="DS235" i="1"/>
  <c r="DS101" i="1" s="1"/>
  <c r="CO235" i="1"/>
  <c r="M235" i="1" s="1"/>
  <c r="ER235" i="1"/>
  <c r="ER236" i="1" s="1"/>
  <c r="FV235" i="1"/>
  <c r="EK235" i="1"/>
  <c r="EK236" i="1" s="1"/>
  <c r="EQ235" i="1"/>
  <c r="EQ236" i="1" s="1"/>
  <c r="EE235" i="1"/>
  <c r="EE236" i="1" s="1"/>
  <c r="DT235" i="1"/>
  <c r="DT101" i="1" s="1"/>
  <c r="FP235" i="1"/>
  <c r="FP236" i="1" s="1"/>
  <c r="FC235" i="1"/>
  <c r="FC236" i="1" s="1"/>
  <c r="FJ235" i="1"/>
  <c r="FJ236" i="1" s="1"/>
  <c r="EX235" i="1"/>
  <c r="EX236" i="1" s="1"/>
  <c r="FI235" i="1"/>
  <c r="FI236" i="1" s="1"/>
  <c r="EW235" i="1"/>
  <c r="EW236" i="1" s="1"/>
  <c r="FQ235" i="1"/>
  <c r="FQ236" i="1" s="1"/>
  <c r="EF235" i="1"/>
  <c r="EF236" i="1" s="1"/>
  <c r="DQ235" i="1"/>
  <c r="DQ101" i="1" s="1"/>
  <c r="FW235" i="1"/>
  <c r="FW236" i="1" s="1"/>
  <c r="EL235" i="1"/>
  <c r="EL236" i="1" s="1"/>
  <c r="FO235" i="1"/>
  <c r="FO236" i="1" s="1"/>
  <c r="FD235" i="1"/>
  <c r="FD236" i="1" s="1"/>
  <c r="FH297" i="1"/>
  <c r="DT297" i="1"/>
  <c r="DT298" i="1" s="1"/>
  <c r="FQ297" i="1"/>
  <c r="FQ298" i="1" s="1"/>
  <c r="EF297" i="1"/>
  <c r="EF298" i="1" s="1"/>
  <c r="DS297" i="1"/>
  <c r="DS298" i="1" s="1"/>
  <c r="FP297" i="1"/>
  <c r="FP298" i="1" s="1"/>
  <c r="ER297" i="1"/>
  <c r="ER298" i="1" s="1"/>
  <c r="FD297" i="1"/>
  <c r="FD298" i="1" s="1"/>
  <c r="EQ297" i="1"/>
  <c r="EQ298" i="1" s="1"/>
  <c r="EE297" i="1"/>
  <c r="EE298" i="1" s="1"/>
  <c r="DR297" i="1"/>
  <c r="DR298" i="1" s="1"/>
  <c r="FO297" i="1"/>
  <c r="FO298" i="1" s="1"/>
  <c r="EP297" i="1"/>
  <c r="EP298" i="1" s="1"/>
  <c r="ED297" i="1"/>
  <c r="ED298" i="1" s="1"/>
  <c r="DI297" i="1"/>
  <c r="FN297" i="1"/>
  <c r="FN298" i="1" s="1"/>
  <c r="FC297" i="1"/>
  <c r="FC298" i="1" s="1"/>
  <c r="DQ297" i="1"/>
  <c r="DQ298" i="1" s="1"/>
  <c r="FB297" i="1"/>
  <c r="DP297" i="1"/>
  <c r="FW297" i="1"/>
  <c r="FW298" i="1" s="1"/>
  <c r="FV297" i="1"/>
  <c r="FV298" i="1" s="1"/>
  <c r="EX297" i="1"/>
  <c r="EX298" i="1" s="1"/>
  <c r="EL297" i="1"/>
  <c r="EL298" i="1" s="1"/>
  <c r="FJ297" i="1"/>
  <c r="FJ298" i="1" s="1"/>
  <c r="EW297" i="1"/>
  <c r="EW298" i="1" s="1"/>
  <c r="EK297" i="1"/>
  <c r="EK298" i="1" s="1"/>
  <c r="FU297" i="1"/>
  <c r="EJ297" i="1"/>
  <c r="EJ298" i="1" s="1"/>
  <c r="FI297" i="1"/>
  <c r="FI298" i="1" s="1"/>
  <c r="EV297" i="1"/>
  <c r="EV298" i="1" s="1"/>
  <c r="AS51" i="1"/>
  <c r="DJ50" i="1"/>
  <c r="DK50" i="1" s="1"/>
  <c r="EJ157" i="1"/>
  <c r="EJ145" i="1" s="1"/>
  <c r="FN157" i="1"/>
  <c r="FN145" i="1" s="1"/>
  <c r="DR157" i="1"/>
  <c r="DR145" i="1" s="1"/>
  <c r="EV157" i="1"/>
  <c r="EV145" i="1" s="1"/>
  <c r="CP245" i="1"/>
  <c r="CR245" i="1"/>
  <c r="CC208" i="1"/>
  <c r="CL208" i="1" s="1"/>
  <c r="FZ208" i="1" s="1"/>
  <c r="EW96" i="1"/>
  <c r="EW97" i="1" s="1"/>
  <c r="EW98" i="1" s="1"/>
  <c r="EW99" i="1" s="1"/>
  <c r="EW100" i="1" s="1"/>
  <c r="FW242" i="1"/>
  <c r="FW122" i="1" s="1"/>
  <c r="FB242" i="1"/>
  <c r="DS242" i="1"/>
  <c r="DS122" i="1" s="1"/>
  <c r="FP242" i="1"/>
  <c r="FP122" i="1" s="1"/>
  <c r="FN242" i="1"/>
  <c r="ER242" i="1"/>
  <c r="ER122" i="1" s="1"/>
  <c r="DP242" i="1"/>
  <c r="FU242" i="1"/>
  <c r="EX242" i="1"/>
  <c r="EX122" i="1" s="1"/>
  <c r="EF242" i="1"/>
  <c r="EF122" i="1" s="1"/>
  <c r="DR242" i="1"/>
  <c r="DR122" i="1" s="1"/>
  <c r="FV242" i="1"/>
  <c r="FV122" i="1" s="1"/>
  <c r="FD242" i="1"/>
  <c r="FD122" i="1" s="1"/>
  <c r="EV242" i="1"/>
  <c r="EV122" i="1" s="1"/>
  <c r="DQ242" i="1"/>
  <c r="DQ122" i="1" s="1"/>
  <c r="FO242" i="1"/>
  <c r="FO122" i="1" s="1"/>
  <c r="FC242" i="1"/>
  <c r="FC122" i="1" s="1"/>
  <c r="EP242" i="1"/>
  <c r="EP122" i="1" s="1"/>
  <c r="EQ242" i="1"/>
  <c r="EQ122" i="1" s="1"/>
  <c r="FI242" i="1"/>
  <c r="FI122" i="1" s="1"/>
  <c r="FQ242" i="1"/>
  <c r="FQ122" i="1" s="1"/>
  <c r="EJ242" i="1"/>
  <c r="EJ122" i="1" s="1"/>
  <c r="EL242" i="1"/>
  <c r="EL122" i="1" s="1"/>
  <c r="FH242" i="1"/>
  <c r="EK242" i="1"/>
  <c r="EK122" i="1" s="1"/>
  <c r="ED242" i="1"/>
  <c r="ED122" i="1" s="1"/>
  <c r="FJ242" i="1"/>
  <c r="FJ122" i="1" s="1"/>
  <c r="EE242" i="1"/>
  <c r="EE122" i="1" s="1"/>
  <c r="DT242" i="1"/>
  <c r="DT122" i="1" s="1"/>
  <c r="CO242" i="1"/>
  <c r="M242" i="1" s="1"/>
  <c r="EW242" i="1"/>
  <c r="EW122" i="1" s="1"/>
  <c r="EW309" i="1"/>
  <c r="EL309" i="1"/>
  <c r="DQ309" i="1"/>
  <c r="FO309" i="1"/>
  <c r="FW309" i="1"/>
  <c r="EE309" i="1"/>
  <c r="FH309" i="1"/>
  <c r="EP309" i="1"/>
  <c r="FN309" i="1"/>
  <c r="ER309" i="1"/>
  <c r="DU309" i="1"/>
  <c r="EV309" i="1"/>
  <c r="EK309" i="1"/>
  <c r="DT309" i="1"/>
  <c r="FJ309" i="1"/>
  <c r="FB309" i="1"/>
  <c r="FC309" i="1"/>
  <c r="FD309" i="1"/>
  <c r="EF309" i="1"/>
  <c r="DP309" i="1"/>
  <c r="CO309" i="1"/>
  <c r="M309" i="1" s="1"/>
  <c r="EQ309" i="1"/>
  <c r="FP309" i="1"/>
  <c r="EJ309" i="1"/>
  <c r="DI309" i="1"/>
  <c r="DR309" i="1"/>
  <c r="FQ309" i="1"/>
  <c r="ED309" i="1"/>
  <c r="FU309" i="1"/>
  <c r="FV309" i="1"/>
  <c r="DS309" i="1"/>
  <c r="FI309" i="1"/>
  <c r="EX309" i="1"/>
  <c r="CY70" i="1"/>
  <c r="FQ70" i="1"/>
  <c r="FQ62" i="1" s="1"/>
  <c r="EW70" i="1"/>
  <c r="EW62" i="1" s="1"/>
  <c r="DI70" i="1"/>
  <c r="EX70" i="1"/>
  <c r="EX62" i="1" s="1"/>
  <c r="DU70" i="1"/>
  <c r="FH70" i="1"/>
  <c r="EK70" i="1"/>
  <c r="EK62" i="1" s="1"/>
  <c r="FI70" i="1"/>
  <c r="FI62" i="1" s="1"/>
  <c r="EL70" i="1"/>
  <c r="EL62" i="1" s="1"/>
  <c r="FJ70" i="1"/>
  <c r="FJ62" i="1" s="1"/>
  <c r="ED70" i="1"/>
  <c r="ED62" i="1" s="1"/>
  <c r="DP70" i="1"/>
  <c r="FO70" i="1"/>
  <c r="FO62" i="1" s="1"/>
  <c r="EJ70" i="1"/>
  <c r="EJ62" i="1" s="1"/>
  <c r="DQ70" i="1"/>
  <c r="FU70" i="1"/>
  <c r="FB70" i="1"/>
  <c r="FV70" i="1"/>
  <c r="FV62" i="1" s="1"/>
  <c r="FC70" i="1"/>
  <c r="FC62" i="1" s="1"/>
  <c r="EE70" i="1"/>
  <c r="EE62" i="1" s="1"/>
  <c r="DR70" i="1"/>
  <c r="FW70" i="1"/>
  <c r="FW62" i="1" s="1"/>
  <c r="EF70" i="1"/>
  <c r="EF62" i="1" s="1"/>
  <c r="CO70" i="1"/>
  <c r="M70" i="1" s="1"/>
  <c r="FN70" i="1"/>
  <c r="FD70" i="1"/>
  <c r="FD62" i="1" s="1"/>
  <c r="EP70" i="1"/>
  <c r="EP62" i="1" s="1"/>
  <c r="DS70" i="1"/>
  <c r="FP70" i="1"/>
  <c r="FP62" i="1" s="1"/>
  <c r="EQ70" i="1"/>
  <c r="EQ62" i="1" s="1"/>
  <c r="DT70" i="1"/>
  <c r="EV70" i="1"/>
  <c r="EV62" i="1" s="1"/>
  <c r="ER70" i="1"/>
  <c r="ER62" i="1" s="1"/>
  <c r="DT125" i="1"/>
  <c r="ED125" i="1"/>
  <c r="FI125" i="1"/>
  <c r="FW125" i="1"/>
  <c r="EK125" i="1"/>
  <c r="EX125" i="1"/>
  <c r="ER125" i="1"/>
  <c r="EW125" i="1"/>
  <c r="FJ125" i="1"/>
  <c r="EV125" i="1"/>
  <c r="FD125" i="1"/>
  <c r="FN125" i="1"/>
  <c r="EQ125" i="1"/>
  <c r="EL125" i="1"/>
  <c r="FV125" i="1"/>
  <c r="DU125" i="1"/>
  <c r="EP125" i="1"/>
  <c r="FB125" i="1"/>
  <c r="FQ125" i="1"/>
  <c r="FP125" i="1"/>
  <c r="EE125" i="1"/>
  <c r="DS125" i="1"/>
  <c r="FC125" i="1"/>
  <c r="FU125" i="1"/>
  <c r="DI125" i="1"/>
  <c r="FH125" i="1"/>
  <c r="DR125" i="1"/>
  <c r="EJ125" i="1"/>
  <c r="DQ125" i="1"/>
  <c r="FO125" i="1"/>
  <c r="DP125" i="1"/>
  <c r="EF125" i="1"/>
  <c r="CY22" i="1"/>
  <c r="CV22" i="1" s="1"/>
  <c r="FW22" i="1"/>
  <c r="EX22" i="1"/>
  <c r="EL22" i="1"/>
  <c r="FN22" i="1"/>
  <c r="FQ22" i="1"/>
  <c r="FC22" i="1"/>
  <c r="DU22" i="1"/>
  <c r="FH22" i="1"/>
  <c r="ER22" i="1"/>
  <c r="FO22" i="1"/>
  <c r="FD22" i="1"/>
  <c r="FV22" i="1"/>
  <c r="EP22" i="1"/>
  <c r="FP22" i="1"/>
  <c r="DI22" i="1"/>
  <c r="EK22" i="1"/>
  <c r="FI22" i="1"/>
  <c r="FB22" i="1"/>
  <c r="DQ22" i="1"/>
  <c r="FJ22" i="1"/>
  <c r="EV22" i="1"/>
  <c r="EE22" i="1"/>
  <c r="CO22" i="1"/>
  <c r="M22" i="1" s="1"/>
  <c r="EF22" i="1"/>
  <c r="DR22" i="1"/>
  <c r="DP22" i="1"/>
  <c r="DS22" i="1"/>
  <c r="FU22" i="1"/>
  <c r="EJ22" i="1"/>
  <c r="EQ22" i="1"/>
  <c r="DT22" i="1"/>
  <c r="ED22" i="1"/>
  <c r="EW22" i="1"/>
  <c r="FD228" i="1"/>
  <c r="EF228" i="1"/>
  <c r="EE228" i="1"/>
  <c r="FC228" i="1"/>
  <c r="FO228" i="1"/>
  <c r="FV228" i="1"/>
  <c r="EX228" i="1"/>
  <c r="EQ228" i="1"/>
  <c r="ER228" i="1"/>
  <c r="EL228" i="1"/>
  <c r="FJ228" i="1"/>
  <c r="EW228" i="1"/>
  <c r="FP228" i="1"/>
  <c r="DS228" i="1"/>
  <c r="FI228" i="1"/>
  <c r="DQ228" i="1"/>
  <c r="FQ228" i="1"/>
  <c r="DT228" i="1"/>
  <c r="EK228" i="1"/>
  <c r="FW228" i="1"/>
  <c r="EW121" i="1"/>
  <c r="EW202" i="1" s="1"/>
  <c r="EQ121" i="1"/>
  <c r="EQ202" i="1" s="1"/>
  <c r="FO121" i="1"/>
  <c r="FO202" i="1" s="1"/>
  <c r="FW121" i="1"/>
  <c r="FW202" i="1" s="1"/>
  <c r="FQ121" i="1"/>
  <c r="FQ202" i="1" s="1"/>
  <c r="EK121" i="1"/>
  <c r="EK202" i="1" s="1"/>
  <c r="EF121" i="1"/>
  <c r="EF202" i="1" s="1"/>
  <c r="FP121" i="1"/>
  <c r="FP202" i="1" s="1"/>
  <c r="FD121" i="1"/>
  <c r="FD202" i="1" s="1"/>
  <c r="EL121" i="1"/>
  <c r="EL202" i="1" s="1"/>
  <c r="DT121" i="1"/>
  <c r="FC121" i="1"/>
  <c r="FC202" i="1" s="1"/>
  <c r="EX121" i="1"/>
  <c r="EX202" i="1" s="1"/>
  <c r="FV121" i="1"/>
  <c r="FV202" i="1" s="1"/>
  <c r="FI121" i="1"/>
  <c r="FI202" i="1" s="1"/>
  <c r="FJ121" i="1"/>
  <c r="FJ202" i="1" s="1"/>
  <c r="DQ121" i="1"/>
  <c r="CO121" i="1"/>
  <c r="M121" i="1" s="1"/>
  <c r="ER121" i="1"/>
  <c r="ER202" i="1" s="1"/>
  <c r="EE121" i="1"/>
  <c r="EE202" i="1" s="1"/>
  <c r="DS121" i="1"/>
  <c r="FW241" i="1"/>
  <c r="ER241" i="1"/>
  <c r="DS241" i="1"/>
  <c r="FN241" i="1"/>
  <c r="EK241" i="1"/>
  <c r="FO241" i="1"/>
  <c r="EL241" i="1"/>
  <c r="FJ241" i="1"/>
  <c r="FP241" i="1"/>
  <c r="ED241" i="1"/>
  <c r="FH241" i="1"/>
  <c r="EE241" i="1"/>
  <c r="EX241" i="1"/>
  <c r="EF241" i="1"/>
  <c r="FB241" i="1"/>
  <c r="EW241" i="1"/>
  <c r="FC241" i="1"/>
  <c r="EP241" i="1"/>
  <c r="FQ241" i="1"/>
  <c r="FU241" i="1"/>
  <c r="FI241" i="1"/>
  <c r="FV241" i="1"/>
  <c r="EV241" i="1"/>
  <c r="DP241" i="1"/>
  <c r="CO241" i="1"/>
  <c r="M241" i="1" s="1"/>
  <c r="DQ241" i="1"/>
  <c r="DR241" i="1"/>
  <c r="DT241" i="1"/>
  <c r="FD241" i="1"/>
  <c r="EJ241" i="1"/>
  <c r="EQ241" i="1"/>
  <c r="FH156" i="1"/>
  <c r="DS156" i="1"/>
  <c r="DP156" i="1"/>
  <c r="FP156" i="1"/>
  <c r="EJ156" i="1"/>
  <c r="ED156" i="1"/>
  <c r="CO156" i="1"/>
  <c r="M156" i="1" s="1"/>
  <c r="FW156" i="1"/>
  <c r="FB231" i="1"/>
  <c r="ER231" i="1"/>
  <c r="DI231" i="1"/>
  <c r="FC231" i="1"/>
  <c r="EK231" i="1"/>
  <c r="FQ231" i="1"/>
  <c r="ED231" i="1"/>
  <c r="DU231" i="1"/>
  <c r="FU231" i="1"/>
  <c r="EE231" i="1"/>
  <c r="FJ231" i="1"/>
  <c r="EQ231" i="1"/>
  <c r="CO231" i="1"/>
  <c r="M231" i="1" s="1"/>
  <c r="FO231" i="1"/>
  <c r="EJ231" i="1"/>
  <c r="DS231" i="1"/>
  <c r="FP231" i="1"/>
  <c r="FH231" i="1"/>
  <c r="FI231" i="1"/>
  <c r="FD231" i="1"/>
  <c r="EV231" i="1"/>
  <c r="EW231" i="1"/>
  <c r="EX231" i="1"/>
  <c r="EF231" i="1"/>
  <c r="DP231" i="1"/>
  <c r="EP231" i="1"/>
  <c r="FV231" i="1"/>
  <c r="EL231" i="1"/>
  <c r="FW231" i="1"/>
  <c r="DQ231" i="1"/>
  <c r="FN231" i="1"/>
  <c r="DR231" i="1"/>
  <c r="DT231" i="1"/>
  <c r="CO279" i="1"/>
  <c r="M279" i="1" s="1"/>
  <c r="FO124" i="1"/>
  <c r="EJ124" i="1"/>
  <c r="FQ124" i="1"/>
  <c r="EK124" i="1"/>
  <c r="EX124" i="1"/>
  <c r="EW124" i="1"/>
  <c r="DP124" i="1"/>
  <c r="CO124" i="1"/>
  <c r="M124" i="1" s="1"/>
  <c r="FB124" i="1"/>
  <c r="EP124" i="1"/>
  <c r="DQ124" i="1"/>
  <c r="FP124" i="1"/>
  <c r="FC124" i="1"/>
  <c r="EL124" i="1"/>
  <c r="DT124" i="1"/>
  <c r="FU124" i="1"/>
  <c r="FD124" i="1"/>
  <c r="DR124" i="1"/>
  <c r="FV124" i="1"/>
  <c r="EV124" i="1"/>
  <c r="DS124" i="1"/>
  <c r="FW124" i="1"/>
  <c r="ER124" i="1"/>
  <c r="DU124" i="1"/>
  <c r="FN124" i="1"/>
  <c r="EQ124" i="1"/>
  <c r="FH124" i="1"/>
  <c r="ED124" i="1"/>
  <c r="FI124" i="1"/>
  <c r="EE124" i="1"/>
  <c r="DI124" i="1"/>
  <c r="FJ124" i="1"/>
  <c r="EF124" i="1"/>
  <c r="CY72" i="1"/>
  <c r="N72" i="1" s="1"/>
  <c r="FU72" i="1"/>
  <c r="EQ72" i="1"/>
  <c r="EF72" i="1"/>
  <c r="FV72" i="1"/>
  <c r="FD72" i="1"/>
  <c r="DU72" i="1"/>
  <c r="FW72" i="1"/>
  <c r="EV72" i="1"/>
  <c r="DQ72" i="1"/>
  <c r="FQ72" i="1"/>
  <c r="ER72" i="1"/>
  <c r="DT72" i="1"/>
  <c r="FN72" i="1"/>
  <c r="EW72" i="1"/>
  <c r="CO72" i="1"/>
  <c r="M72" i="1" s="1"/>
  <c r="FO72" i="1"/>
  <c r="EX72" i="1"/>
  <c r="FH72" i="1"/>
  <c r="FP72" i="1"/>
  <c r="DS72" i="1"/>
  <c r="FI72" i="1"/>
  <c r="EL72" i="1"/>
  <c r="DR72" i="1"/>
  <c r="FJ72" i="1"/>
  <c r="EK72" i="1"/>
  <c r="DP72" i="1"/>
  <c r="FB72" i="1"/>
  <c r="ED72" i="1"/>
  <c r="DI72" i="1"/>
  <c r="FC72" i="1"/>
  <c r="EE72" i="1"/>
  <c r="EP72" i="1"/>
  <c r="EJ72" i="1"/>
  <c r="CO126" i="1"/>
  <c r="M126" i="1" s="1"/>
  <c r="FJ126" i="1"/>
  <c r="FJ243" i="1" s="1"/>
  <c r="FJ244" i="1" s="1"/>
  <c r="FJ245" i="1" s="1"/>
  <c r="FJ246" i="1" s="1"/>
  <c r="FJ247" i="1" s="1"/>
  <c r="FJ248" i="1" s="1"/>
  <c r="EX126" i="1"/>
  <c r="EX243" i="1" s="1"/>
  <c r="EX244" i="1" s="1"/>
  <c r="EX245" i="1" s="1"/>
  <c r="EX246" i="1" s="1"/>
  <c r="EX247" i="1" s="1"/>
  <c r="EX248" i="1" s="1"/>
  <c r="EV126" i="1"/>
  <c r="EV243" i="1" s="1"/>
  <c r="EV244" i="1" s="1"/>
  <c r="EV245" i="1" s="1"/>
  <c r="EV246" i="1" s="1"/>
  <c r="EV247" i="1" s="1"/>
  <c r="EV248" i="1" s="1"/>
  <c r="EW126" i="1"/>
  <c r="EW243" i="1" s="1"/>
  <c r="EW244" i="1" s="1"/>
  <c r="EW245" i="1" s="1"/>
  <c r="EW246" i="1" s="1"/>
  <c r="EW247" i="1" s="1"/>
  <c r="EW248" i="1" s="1"/>
  <c r="DU126" i="1"/>
  <c r="DU243" i="1" s="1"/>
  <c r="DU244" i="1" s="1"/>
  <c r="DU245" i="1" s="1"/>
  <c r="DU246" i="1" s="1"/>
  <c r="DU247" i="1" s="1"/>
  <c r="DU248" i="1" s="1"/>
  <c r="FW126" i="1"/>
  <c r="FW243" i="1" s="1"/>
  <c r="FW244" i="1" s="1"/>
  <c r="FW245" i="1" s="1"/>
  <c r="FW246" i="1" s="1"/>
  <c r="FW247" i="1" s="1"/>
  <c r="FW248" i="1" s="1"/>
  <c r="FU126" i="1"/>
  <c r="FU243" i="1" s="1"/>
  <c r="FU244" i="1" s="1"/>
  <c r="FU245" i="1" s="1"/>
  <c r="FU246" i="1" s="1"/>
  <c r="FU247" i="1" s="1"/>
  <c r="DP126" i="1"/>
  <c r="ER126" i="1"/>
  <c r="ER243" i="1" s="1"/>
  <c r="ER244" i="1" s="1"/>
  <c r="ER245" i="1" s="1"/>
  <c r="ER246" i="1" s="1"/>
  <c r="ER247" i="1" s="1"/>
  <c r="ER248" i="1" s="1"/>
  <c r="FQ126" i="1"/>
  <c r="FQ243" i="1" s="1"/>
  <c r="FQ244" i="1" s="1"/>
  <c r="FQ245" i="1" s="1"/>
  <c r="FQ246" i="1" s="1"/>
  <c r="FQ247" i="1" s="1"/>
  <c r="FQ248" i="1" s="1"/>
  <c r="EJ126" i="1"/>
  <c r="EJ243" i="1" s="1"/>
  <c r="EJ244" i="1" s="1"/>
  <c r="EJ245" i="1" s="1"/>
  <c r="EJ246" i="1" s="1"/>
  <c r="EJ247" i="1" s="1"/>
  <c r="EJ248" i="1" s="1"/>
  <c r="FP126" i="1"/>
  <c r="FP243" i="1" s="1"/>
  <c r="FD126" i="1"/>
  <c r="FD243" i="1" s="1"/>
  <c r="FD244" i="1" s="1"/>
  <c r="FD245" i="1" s="1"/>
  <c r="FD246" i="1" s="1"/>
  <c r="FD247" i="1" s="1"/>
  <c r="FD248" i="1" s="1"/>
  <c r="EK126" i="1"/>
  <c r="EK243" i="1" s="1"/>
  <c r="EK244" i="1" s="1"/>
  <c r="EK245" i="1" s="1"/>
  <c r="EK246" i="1" s="1"/>
  <c r="EK247" i="1" s="1"/>
  <c r="EK248" i="1" s="1"/>
  <c r="FH126" i="1"/>
  <c r="FI126" i="1"/>
  <c r="FI243" i="1" s="1"/>
  <c r="FI244" i="1" s="1"/>
  <c r="FI245" i="1" s="1"/>
  <c r="FI246" i="1" s="1"/>
  <c r="FI247" i="1" s="1"/>
  <c r="FI248" i="1" s="1"/>
  <c r="DI126" i="1"/>
  <c r="EP126" i="1"/>
  <c r="EP243" i="1" s="1"/>
  <c r="EP244" i="1" s="1"/>
  <c r="EP245" i="1" s="1"/>
  <c r="EP246" i="1" s="1"/>
  <c r="EP247" i="1" s="1"/>
  <c r="EP248" i="1" s="1"/>
  <c r="EL126" i="1"/>
  <c r="EL243" i="1" s="1"/>
  <c r="EL244" i="1" s="1"/>
  <c r="EL245" i="1" s="1"/>
  <c r="EL246" i="1" s="1"/>
  <c r="EL247" i="1" s="1"/>
  <c r="EL248" i="1" s="1"/>
  <c r="EE126" i="1"/>
  <c r="EE243" i="1" s="1"/>
  <c r="EE244" i="1" s="1"/>
  <c r="EE245" i="1" s="1"/>
  <c r="EE246" i="1" s="1"/>
  <c r="EE247" i="1" s="1"/>
  <c r="EE248" i="1" s="1"/>
  <c r="EF126" i="1"/>
  <c r="EF243" i="1" s="1"/>
  <c r="EF244" i="1" s="1"/>
  <c r="EF245" i="1" s="1"/>
  <c r="EF246" i="1" s="1"/>
  <c r="EF247" i="1" s="1"/>
  <c r="EF248" i="1" s="1"/>
  <c r="DQ126" i="1"/>
  <c r="DQ243" i="1" s="1"/>
  <c r="DQ244" i="1" s="1"/>
  <c r="DQ245" i="1" s="1"/>
  <c r="DQ246" i="1" s="1"/>
  <c r="DQ247" i="1" s="1"/>
  <c r="DQ248" i="1" s="1"/>
  <c r="FB126" i="1"/>
  <c r="EQ126" i="1"/>
  <c r="EQ243" i="1" s="1"/>
  <c r="EQ244" i="1" s="1"/>
  <c r="EQ245" i="1" s="1"/>
  <c r="EQ246" i="1" s="1"/>
  <c r="EQ247" i="1" s="1"/>
  <c r="EQ248" i="1" s="1"/>
  <c r="ED126" i="1"/>
  <c r="ED243" i="1" s="1"/>
  <c r="ED244" i="1" s="1"/>
  <c r="ED245" i="1" s="1"/>
  <c r="ED246" i="1" s="1"/>
  <c r="ED247" i="1" s="1"/>
  <c r="ED248" i="1" s="1"/>
  <c r="DT126" i="1"/>
  <c r="DT243" i="1" s="1"/>
  <c r="DT244" i="1" s="1"/>
  <c r="DT245" i="1" s="1"/>
  <c r="DT246" i="1" s="1"/>
  <c r="DT247" i="1" s="1"/>
  <c r="DT248" i="1" s="1"/>
  <c r="FC126" i="1"/>
  <c r="FC243" i="1" s="1"/>
  <c r="FC244" i="1" s="1"/>
  <c r="FC245" i="1" s="1"/>
  <c r="FC246" i="1" s="1"/>
  <c r="FC247" i="1" s="1"/>
  <c r="FC248" i="1" s="1"/>
  <c r="DR126" i="1"/>
  <c r="DR243" i="1" s="1"/>
  <c r="DR244" i="1" s="1"/>
  <c r="DR245" i="1" s="1"/>
  <c r="DR246" i="1" s="1"/>
  <c r="DR247" i="1" s="1"/>
  <c r="DR248" i="1" s="1"/>
  <c r="FO126" i="1"/>
  <c r="FO243" i="1" s="1"/>
  <c r="FO244" i="1" s="1"/>
  <c r="FO245" i="1" s="1"/>
  <c r="FO246" i="1" s="1"/>
  <c r="FO247" i="1" s="1"/>
  <c r="FO248" i="1" s="1"/>
  <c r="FN126" i="1"/>
  <c r="FV126" i="1"/>
  <c r="DS126" i="1"/>
  <c r="DS243" i="1" s="1"/>
  <c r="DS244" i="1" s="1"/>
  <c r="DS245" i="1" s="1"/>
  <c r="DS246" i="1" s="1"/>
  <c r="DS247" i="1" s="1"/>
  <c r="DS248" i="1" s="1"/>
  <c r="FP311" i="1"/>
  <c r="FP281" i="1" s="1"/>
  <c r="FP299" i="1" s="1"/>
  <c r="EE311" i="1"/>
  <c r="EE281" i="1" s="1"/>
  <c r="EE299" i="1" s="1"/>
  <c r="DQ311" i="1"/>
  <c r="DQ281" i="1" s="1"/>
  <c r="FI311" i="1"/>
  <c r="FI281" i="1" s="1"/>
  <c r="FI299" i="1" s="1"/>
  <c r="EQ311" i="1"/>
  <c r="DT311" i="1"/>
  <c r="DT281" i="1" s="1"/>
  <c r="FQ311" i="1"/>
  <c r="FQ281" i="1" s="1"/>
  <c r="FQ299" i="1" s="1"/>
  <c r="EK311" i="1"/>
  <c r="EK281" i="1" s="1"/>
  <c r="EK299" i="1" s="1"/>
  <c r="EF311" i="1"/>
  <c r="EF281" i="1" s="1"/>
  <c r="EF299" i="1" s="1"/>
  <c r="DR311" i="1"/>
  <c r="DR281" i="1" s="1"/>
  <c r="EW311" i="1"/>
  <c r="EW281" i="1" s="1"/>
  <c r="EW299" i="1" s="1"/>
  <c r="EJ311" i="1"/>
  <c r="EJ281" i="1" s="1"/>
  <c r="EJ299" i="1" s="1"/>
  <c r="CO311" i="1"/>
  <c r="M311" i="1" s="1"/>
  <c r="DI311" i="1"/>
  <c r="FW311" i="1"/>
  <c r="FW281" i="1" s="1"/>
  <c r="FW299" i="1" s="1"/>
  <c r="EX311" i="1"/>
  <c r="EX281" i="1" s="1"/>
  <c r="EX299" i="1" s="1"/>
  <c r="EL311" i="1"/>
  <c r="EL281" i="1" s="1"/>
  <c r="EL299" i="1" s="1"/>
  <c r="EP311" i="1"/>
  <c r="EP281" i="1" s="1"/>
  <c r="EP299" i="1" s="1"/>
  <c r="FN311" i="1"/>
  <c r="FB311" i="1"/>
  <c r="FH311" i="1"/>
  <c r="EV311" i="1"/>
  <c r="EV281" i="1" s="1"/>
  <c r="EV299" i="1" s="1"/>
  <c r="FJ311" i="1"/>
  <c r="FJ281" i="1" s="1"/>
  <c r="FJ299" i="1" s="1"/>
  <c r="FC311" i="1"/>
  <c r="FC281" i="1" s="1"/>
  <c r="FC299" i="1" s="1"/>
  <c r="DP311" i="1"/>
  <c r="FD311" i="1"/>
  <c r="FD281" i="1" s="1"/>
  <c r="FD299" i="1" s="1"/>
  <c r="DS311" i="1"/>
  <c r="DS281" i="1" s="1"/>
  <c r="DU311" i="1"/>
  <c r="DU281" i="1" s="1"/>
  <c r="ER311" i="1"/>
  <c r="ER281" i="1" s="1"/>
  <c r="ER299" i="1" s="1"/>
  <c r="ED311" i="1"/>
  <c r="ED281" i="1" s="1"/>
  <c r="ED299" i="1" s="1"/>
  <c r="FU311" i="1"/>
  <c r="FV311" i="1"/>
  <c r="FV281" i="1" s="1"/>
  <c r="FV299" i="1" s="1"/>
  <c r="FO311" i="1"/>
  <c r="FO281" i="1" s="1"/>
  <c r="FO299" i="1" s="1"/>
  <c r="CO246" i="1"/>
  <c r="M246" i="1" s="1"/>
  <c r="CY246" i="1"/>
  <c r="DI246" i="1"/>
  <c r="CY59" i="1"/>
  <c r="CV59" i="1" s="1"/>
  <c r="FD59" i="1"/>
  <c r="ED59" i="1"/>
  <c r="DP59" i="1"/>
  <c r="FP59" i="1"/>
  <c r="EX59" i="1"/>
  <c r="DI59" i="1"/>
  <c r="FC59" i="1"/>
  <c r="EJ59" i="1"/>
  <c r="CO59" i="1"/>
  <c r="M59" i="1" s="1"/>
  <c r="FH59" i="1"/>
  <c r="EK59" i="1"/>
  <c r="DR59" i="1"/>
  <c r="FN59" i="1"/>
  <c r="EL59" i="1"/>
  <c r="EE59" i="1"/>
  <c r="FW59" i="1"/>
  <c r="EF59" i="1"/>
  <c r="FB59" i="1"/>
  <c r="FI59" i="1"/>
  <c r="FJ59" i="1"/>
  <c r="EV59" i="1"/>
  <c r="DT59" i="1"/>
  <c r="FO59" i="1"/>
  <c r="DS59" i="1"/>
  <c r="EP59" i="1"/>
  <c r="DU59" i="1"/>
  <c r="EW59" i="1"/>
  <c r="DQ59" i="1"/>
  <c r="FV59" i="1"/>
  <c r="EQ59" i="1"/>
  <c r="FU59" i="1"/>
  <c r="ER59" i="1"/>
  <c r="FQ59" i="1"/>
  <c r="FI123" i="1"/>
  <c r="EP123" i="1"/>
  <c r="FP123" i="1"/>
  <c r="EW123" i="1"/>
  <c r="DR123" i="1"/>
  <c r="FO123" i="1"/>
  <c r="EF123" i="1"/>
  <c r="FH123" i="1"/>
  <c r="EJ123" i="1"/>
  <c r="FN123" i="1"/>
  <c r="DI123" i="1"/>
  <c r="FQ123" i="1"/>
  <c r="DT123" i="1"/>
  <c r="EL123" i="1"/>
  <c r="DP123" i="1"/>
  <c r="ER123" i="1"/>
  <c r="DU123" i="1"/>
  <c r="FV123" i="1"/>
  <c r="FJ123" i="1"/>
  <c r="FB123" i="1"/>
  <c r="DS123" i="1"/>
  <c r="FD123" i="1"/>
  <c r="EV123" i="1"/>
  <c r="FC123" i="1"/>
  <c r="EX123" i="1"/>
  <c r="ED123" i="1"/>
  <c r="FW123" i="1"/>
  <c r="EE123" i="1"/>
  <c r="DQ123" i="1"/>
  <c r="EK123" i="1"/>
  <c r="EQ123" i="1"/>
  <c r="CO123" i="1"/>
  <c r="M123" i="1" s="1"/>
  <c r="FU123" i="1"/>
  <c r="CR159" i="1"/>
  <c r="CR297" i="1"/>
  <c r="CR196" i="1"/>
  <c r="CR295" i="1"/>
  <c r="L78" i="1"/>
  <c r="CR271" i="1"/>
  <c r="CR241" i="1"/>
  <c r="CR220" i="1"/>
  <c r="CR17" i="1"/>
  <c r="CR50" i="1"/>
  <c r="CR83" i="1"/>
  <c r="CR277" i="1"/>
  <c r="CR267" i="1"/>
  <c r="CR200" i="1"/>
  <c r="L21" i="1"/>
  <c r="L51" i="1"/>
  <c r="CR199" i="1"/>
  <c r="L23" i="1"/>
  <c r="CR300" i="1"/>
  <c r="L56" i="1"/>
  <c r="L19" i="1"/>
  <c r="L52" i="1"/>
  <c r="L102" i="1"/>
  <c r="CR64" i="1"/>
  <c r="CR209" i="1"/>
  <c r="CR70" i="1"/>
  <c r="CR286" i="1"/>
  <c r="CR78" i="1"/>
  <c r="CR311" i="1"/>
  <c r="CR88" i="1"/>
  <c r="CR93" i="1"/>
  <c r="CR120" i="1"/>
  <c r="CR262" i="1"/>
  <c r="CR124" i="1"/>
  <c r="L72" i="1"/>
  <c r="L10" i="1"/>
  <c r="CR82" i="1"/>
  <c r="CR239" i="1"/>
  <c r="CR221" i="1"/>
  <c r="CR290" i="1"/>
  <c r="CR47" i="1"/>
  <c r="CR253" i="1"/>
  <c r="CR10" i="1"/>
  <c r="CR259" i="1"/>
  <c r="L57" i="1"/>
  <c r="L53" i="1"/>
  <c r="L88" i="1"/>
  <c r="L93" i="1"/>
  <c r="CR242" i="1"/>
  <c r="CR238" i="1"/>
  <c r="CR19" i="1"/>
  <c r="CR289" i="1"/>
  <c r="CR49" i="1"/>
  <c r="CR22" i="1"/>
  <c r="L82" i="1"/>
  <c r="L67" i="1"/>
  <c r="L61" i="1"/>
  <c r="L90" i="1"/>
  <c r="CR237" i="1"/>
  <c r="CR193" i="1"/>
  <c r="CR205" i="1"/>
  <c r="CR52" i="1"/>
  <c r="CR118" i="1"/>
  <c r="CR260" i="1"/>
  <c r="L22" i="1"/>
  <c r="L68" i="1"/>
  <c r="L89" i="1"/>
  <c r="CR29" i="1"/>
  <c r="CR68" i="1"/>
  <c r="CR61" i="1"/>
  <c r="CR231" i="1"/>
  <c r="CR278" i="1"/>
  <c r="CR119" i="1"/>
  <c r="CR125" i="1"/>
  <c r="CR272" i="1"/>
  <c r="CR23" i="1"/>
  <c r="CR302" i="1"/>
  <c r="L70" i="1"/>
  <c r="L79" i="1"/>
  <c r="CR30" i="1"/>
  <c r="CR194" i="1"/>
  <c r="CR309" i="1"/>
  <c r="CR79" i="1"/>
  <c r="CR123" i="1"/>
  <c r="CR12" i="1"/>
  <c r="CR258" i="1"/>
  <c r="CR21" i="1"/>
  <c r="L36" i="1"/>
  <c r="L46" i="1"/>
  <c r="L96" i="1"/>
  <c r="CR203" i="1"/>
  <c r="CR228" i="1"/>
  <c r="CR284" i="1"/>
  <c r="CR307" i="1"/>
  <c r="CR92" i="1"/>
  <c r="CR269" i="1"/>
  <c r="CR201" i="1"/>
  <c r="L47" i="1"/>
  <c r="CR225" i="1"/>
  <c r="CR197" i="1"/>
  <c r="CR53" i="1"/>
  <c r="CR84" i="1"/>
  <c r="CR255" i="1"/>
  <c r="CR117" i="1"/>
  <c r="L12" i="1"/>
  <c r="L18" i="1"/>
  <c r="L80" i="1"/>
  <c r="CR308" i="1"/>
  <c r="CR224" i="1"/>
  <c r="CR16" i="1"/>
  <c r="CR244" i="1"/>
  <c r="CR215" i="1"/>
  <c r="CR96" i="1"/>
  <c r="CR265" i="1"/>
  <c r="L55" i="1"/>
  <c r="L17" i="1"/>
  <c r="L95" i="1"/>
  <c r="CR310" i="1"/>
  <c r="CR206" i="1"/>
  <c r="CR195" i="1"/>
  <c r="CR45" i="1"/>
  <c r="CR251" i="1"/>
  <c r="CR301" i="1"/>
  <c r="L49" i="1"/>
  <c r="CR55" i="1"/>
  <c r="CR240" i="1"/>
  <c r="CR18" i="1"/>
  <c r="CR283" i="1"/>
  <c r="CR252" i="1"/>
  <c r="CR234" i="1"/>
  <c r="CR36" i="1"/>
  <c r="CR263" i="1"/>
  <c r="L16" i="1"/>
  <c r="L50" i="1"/>
  <c r="CR63" i="1"/>
  <c r="CR226" i="1"/>
  <c r="CR229" i="1"/>
  <c r="CR46" i="1"/>
  <c r="CR102" i="1"/>
  <c r="CR95" i="1"/>
  <c r="CR115" i="1"/>
  <c r="CR116" i="1"/>
  <c r="L85" i="1"/>
  <c r="L59" i="1"/>
  <c r="L84" i="1"/>
  <c r="CR57" i="1"/>
  <c r="CR94" i="1"/>
  <c r="CR85" i="1"/>
  <c r="CR86" i="1"/>
  <c r="CR90" i="1"/>
  <c r="CR233" i="1"/>
  <c r="CR261" i="1"/>
  <c r="CR256" i="1"/>
  <c r="CR51" i="1"/>
  <c r="L86" i="1"/>
  <c r="L83" i="1"/>
  <c r="CR65" i="1"/>
  <c r="CR67" i="1"/>
  <c r="CR204" i="1"/>
  <c r="CR59" i="1"/>
  <c r="CR89" i="1"/>
  <c r="CR80" i="1"/>
  <c r="CR270" i="1"/>
  <c r="CR266" i="1"/>
  <c r="CR126" i="1"/>
  <c r="CR72" i="1"/>
  <c r="L94" i="1"/>
  <c r="L60" i="1"/>
  <c r="L92" i="1"/>
  <c r="CR56" i="1"/>
  <c r="CR227" i="1"/>
  <c r="CR207" i="1"/>
  <c r="CR60" i="1"/>
  <c r="CR235" i="1"/>
  <c r="CR121" i="1"/>
  <c r="CO244" i="1"/>
  <c r="M244" i="1" s="1"/>
  <c r="EB244" i="1"/>
  <c r="CY244" i="1"/>
  <c r="N244" i="1" s="1"/>
  <c r="DX244" i="1"/>
  <c r="DZ244" i="1"/>
  <c r="DI244" i="1"/>
  <c r="FW256" i="1"/>
  <c r="FW257" i="1" s="1"/>
  <c r="EV256" i="1"/>
  <c r="EV257" i="1" s="1"/>
  <c r="EJ256" i="1"/>
  <c r="EJ257" i="1" s="1"/>
  <c r="DU256" i="1"/>
  <c r="FP256" i="1"/>
  <c r="FP257" i="1" s="1"/>
  <c r="FD256" i="1"/>
  <c r="FD257" i="1" s="1"/>
  <c r="DP256" i="1"/>
  <c r="FQ256" i="1"/>
  <c r="FQ257" i="1" s="1"/>
  <c r="EW256" i="1"/>
  <c r="EW257" i="1" s="1"/>
  <c r="EQ256" i="1"/>
  <c r="EQ257" i="1" s="1"/>
  <c r="DQ256" i="1"/>
  <c r="DR256" i="1"/>
  <c r="CO256" i="1"/>
  <c r="M256" i="1" s="1"/>
  <c r="FO256" i="1"/>
  <c r="FO257" i="1" s="1"/>
  <c r="EX256" i="1"/>
  <c r="EX257" i="1" s="1"/>
  <c r="ER256" i="1"/>
  <c r="ER257" i="1" s="1"/>
  <c r="DS256" i="1"/>
  <c r="FH256" i="1"/>
  <c r="EK256" i="1"/>
  <c r="EK257" i="1" s="1"/>
  <c r="DI256" i="1"/>
  <c r="DT256" i="1"/>
  <c r="FI256" i="1"/>
  <c r="FI257" i="1" s="1"/>
  <c r="EL256" i="1"/>
  <c r="EL257" i="1" s="1"/>
  <c r="FU256" i="1"/>
  <c r="FJ256" i="1"/>
  <c r="FJ257" i="1" s="1"/>
  <c r="ED256" i="1"/>
  <c r="ED257" i="1" s="1"/>
  <c r="FN256" i="1"/>
  <c r="EE256" i="1"/>
  <c r="EE257" i="1" s="1"/>
  <c r="FV256" i="1"/>
  <c r="FV257" i="1" s="1"/>
  <c r="FB256" i="1"/>
  <c r="EP256" i="1"/>
  <c r="EP257" i="1" s="1"/>
  <c r="FC256" i="1"/>
  <c r="FC257" i="1" s="1"/>
  <c r="EF256" i="1"/>
  <c r="EF257" i="1" s="1"/>
  <c r="DJ256" i="1"/>
  <c r="DK256" i="1" s="1"/>
  <c r="CR156" i="1"/>
  <c r="FV302" i="1"/>
  <c r="FV294" i="1" s="1"/>
  <c r="FD302" i="1"/>
  <c r="FD294" i="1" s="1"/>
  <c r="DU302" i="1"/>
  <c r="FW302" i="1"/>
  <c r="FW294" i="1" s="1"/>
  <c r="EJ302" i="1"/>
  <c r="EJ294" i="1" s="1"/>
  <c r="FP302" i="1"/>
  <c r="FP294" i="1" s="1"/>
  <c r="EV302" i="1"/>
  <c r="EK302" i="1"/>
  <c r="EK294" i="1" s="1"/>
  <c r="DS302" i="1"/>
  <c r="FQ302" i="1"/>
  <c r="FQ294" i="1" s="1"/>
  <c r="EW302" i="1"/>
  <c r="EW294" i="1" s="1"/>
  <c r="EX302" i="1"/>
  <c r="EX294" i="1" s="1"/>
  <c r="FH302" i="1"/>
  <c r="EP302" i="1"/>
  <c r="EL302" i="1"/>
  <c r="EL294" i="1" s="1"/>
  <c r="FN302" i="1"/>
  <c r="DQ302" i="1"/>
  <c r="FI302" i="1"/>
  <c r="FI294" i="1" s="1"/>
  <c r="EQ302" i="1"/>
  <c r="EQ294" i="1" s="1"/>
  <c r="ER302" i="1"/>
  <c r="ER294" i="1" s="1"/>
  <c r="FJ302" i="1"/>
  <c r="FJ294" i="1" s="1"/>
  <c r="ED302" i="1"/>
  <c r="ED294" i="1" s="1"/>
  <c r="DP302" i="1"/>
  <c r="FB302" i="1"/>
  <c r="EE302" i="1"/>
  <c r="EE294" i="1" s="1"/>
  <c r="DR302" i="1"/>
  <c r="DT302" i="1"/>
  <c r="FC302" i="1"/>
  <c r="FC294" i="1" s="1"/>
  <c r="EF302" i="1"/>
  <c r="EF294" i="1" s="1"/>
  <c r="FU302" i="1"/>
  <c r="FO302" i="1"/>
  <c r="FO294" i="1" s="1"/>
  <c r="DI302" i="1"/>
  <c r="CR186" i="1"/>
  <c r="CR298" i="1"/>
  <c r="CO233" i="1"/>
  <c r="M233" i="1" s="1"/>
  <c r="CY245" i="1"/>
  <c r="N245" i="1" s="1"/>
  <c r="DI245" i="1"/>
  <c r="CO245" i="1"/>
  <c r="M245" i="1" s="1"/>
  <c r="FO229" i="1"/>
  <c r="FO230" i="1" s="1"/>
  <c r="EL229" i="1"/>
  <c r="EL230" i="1" s="1"/>
  <c r="EK229" i="1"/>
  <c r="EK230" i="1" s="1"/>
  <c r="DQ229" i="1"/>
  <c r="EW229" i="1"/>
  <c r="EW230" i="1" s="1"/>
  <c r="FI229" i="1"/>
  <c r="FI230" i="1" s="1"/>
  <c r="DT229" i="1"/>
  <c r="FW229" i="1"/>
  <c r="FW230" i="1" s="1"/>
  <c r="FP229" i="1"/>
  <c r="FP230" i="1" s="1"/>
  <c r="EE229" i="1"/>
  <c r="EE230" i="1" s="1"/>
  <c r="ER229" i="1"/>
  <c r="ER230" i="1" s="1"/>
  <c r="EX229" i="1"/>
  <c r="EX230" i="1" s="1"/>
  <c r="DS229" i="1"/>
  <c r="EF229" i="1"/>
  <c r="EF230" i="1" s="1"/>
  <c r="FC229" i="1"/>
  <c r="FC230" i="1" s="1"/>
  <c r="FD229" i="1"/>
  <c r="FD230" i="1" s="1"/>
  <c r="FV229" i="1"/>
  <c r="FV230" i="1" s="1"/>
  <c r="FJ229" i="1"/>
  <c r="FJ230" i="1" s="1"/>
  <c r="EQ229" i="1"/>
  <c r="EQ230" i="1" s="1"/>
  <c r="FQ229" i="1"/>
  <c r="FQ230" i="1" s="1"/>
  <c r="FU45" i="1"/>
  <c r="EV45" i="1"/>
  <c r="DQ45" i="1"/>
  <c r="FQ45" i="1"/>
  <c r="ED45" i="1"/>
  <c r="FC45" i="1"/>
  <c r="EF45" i="1"/>
  <c r="DI45" i="1"/>
  <c r="FV45" i="1"/>
  <c r="FD45" i="1"/>
  <c r="EL45" i="1"/>
  <c r="DR45" i="1"/>
  <c r="FW45" i="1"/>
  <c r="ER45" i="1"/>
  <c r="EJ45" i="1"/>
  <c r="FP45" i="1"/>
  <c r="EE45" i="1"/>
  <c r="EK45" i="1"/>
  <c r="FH45" i="1"/>
  <c r="FI45" i="1"/>
  <c r="DU45" i="1"/>
  <c r="FJ45" i="1"/>
  <c r="FB45" i="1"/>
  <c r="DS45" i="1"/>
  <c r="DT45" i="1"/>
  <c r="EP45" i="1"/>
  <c r="EW45" i="1"/>
  <c r="EQ45" i="1"/>
  <c r="EX45" i="1"/>
  <c r="DP45" i="1"/>
  <c r="FN45" i="1"/>
  <c r="FO45" i="1"/>
  <c r="FC252" i="1"/>
  <c r="EQ252" i="1"/>
  <c r="DS252" i="1"/>
  <c r="FN252" i="1"/>
  <c r="EV252" i="1"/>
  <c r="ER252" i="1"/>
  <c r="FP252" i="1"/>
  <c r="FD252" i="1"/>
  <c r="FV252" i="1"/>
  <c r="EJ252" i="1"/>
  <c r="FW252" i="1"/>
  <c r="ED252" i="1"/>
  <c r="FJ252" i="1"/>
  <c r="EK252" i="1"/>
  <c r="FO252" i="1"/>
  <c r="EE252" i="1"/>
  <c r="DP252" i="1"/>
  <c r="FI252" i="1"/>
  <c r="EP252" i="1"/>
  <c r="DT252" i="1"/>
  <c r="FU252" i="1"/>
  <c r="FQ252" i="1"/>
  <c r="FH252" i="1"/>
  <c r="DQ252" i="1"/>
  <c r="CO252" i="1"/>
  <c r="M252" i="1" s="1"/>
  <c r="FB252" i="1"/>
  <c r="DR252" i="1"/>
  <c r="EW252" i="1"/>
  <c r="EX252" i="1"/>
  <c r="EL252" i="1"/>
  <c r="EF252" i="1"/>
  <c r="FI277" i="1"/>
  <c r="FI278" i="1" s="1"/>
  <c r="FI279" i="1" s="1"/>
  <c r="FI280" i="1" s="1"/>
  <c r="FI250" i="1" s="1"/>
  <c r="FP277" i="1"/>
  <c r="FP278" i="1" s="1"/>
  <c r="FP279" i="1" s="1"/>
  <c r="FP280" i="1" s="1"/>
  <c r="FP250" i="1" s="1"/>
  <c r="DT277" i="1"/>
  <c r="DT299" i="1" s="1"/>
  <c r="FN277" i="1"/>
  <c r="FN278" i="1" s="1"/>
  <c r="FN279" i="1" s="1"/>
  <c r="FN280" i="1" s="1"/>
  <c r="FQ277" i="1"/>
  <c r="FQ278" i="1" s="1"/>
  <c r="FQ279" i="1" s="1"/>
  <c r="FQ280" i="1" s="1"/>
  <c r="FQ250" i="1" s="1"/>
  <c r="FC277" i="1"/>
  <c r="FC278" i="1" s="1"/>
  <c r="DR277" i="1"/>
  <c r="DR299" i="1" s="1"/>
  <c r="EF277" i="1"/>
  <c r="EF278" i="1" s="1"/>
  <c r="EF279" i="1" s="1"/>
  <c r="EF280" i="1" s="1"/>
  <c r="EF250" i="1" s="1"/>
  <c r="FB277" i="1"/>
  <c r="FB278" i="1" s="1"/>
  <c r="FB279" i="1" s="1"/>
  <c r="EE277" i="1"/>
  <c r="EE278" i="1" s="1"/>
  <c r="EE279" i="1" s="1"/>
  <c r="EE280" i="1" s="1"/>
  <c r="EE250" i="1" s="1"/>
  <c r="EV277" i="1"/>
  <c r="EV278" i="1" s="1"/>
  <c r="EV279" i="1" s="1"/>
  <c r="EV280" i="1" s="1"/>
  <c r="EV250" i="1" s="1"/>
  <c r="DZ277" i="1"/>
  <c r="FO277" i="1"/>
  <c r="FO278" i="1" s="1"/>
  <c r="FO279" i="1" s="1"/>
  <c r="DX277" i="1"/>
  <c r="CO277" i="1"/>
  <c r="M277" i="1" s="1"/>
  <c r="FU277" i="1"/>
  <c r="EW277" i="1"/>
  <c r="EW278" i="1" s="1"/>
  <c r="EW279" i="1" s="1"/>
  <c r="EW280" i="1" s="1"/>
  <c r="EW250" i="1" s="1"/>
  <c r="FH277" i="1"/>
  <c r="EJ277" i="1"/>
  <c r="EJ278" i="1" s="1"/>
  <c r="EJ279" i="1" s="1"/>
  <c r="EJ280" i="1" s="1"/>
  <c r="EJ250" i="1" s="1"/>
  <c r="FD277" i="1"/>
  <c r="FD278" i="1" s="1"/>
  <c r="FD279" i="1" s="1"/>
  <c r="FD280" i="1" s="1"/>
  <c r="FD250" i="1" s="1"/>
  <c r="FV277" i="1"/>
  <c r="FV278" i="1" s="1"/>
  <c r="FV279" i="1" s="1"/>
  <c r="FV280" i="1" s="1"/>
  <c r="FV250" i="1" s="1"/>
  <c r="EL277" i="1"/>
  <c r="EL278" i="1" s="1"/>
  <c r="EL279" i="1" s="1"/>
  <c r="EL280" i="1" s="1"/>
  <c r="EL250" i="1" s="1"/>
  <c r="EQ277" i="1"/>
  <c r="EQ278" i="1" s="1"/>
  <c r="EQ279" i="1" s="1"/>
  <c r="EQ280" i="1" s="1"/>
  <c r="EQ250" i="1" s="1"/>
  <c r="DP277" i="1"/>
  <c r="DP278" i="1" s="1"/>
  <c r="DP279" i="1" s="1"/>
  <c r="CY277" i="1"/>
  <c r="FJ277" i="1"/>
  <c r="FJ278" i="1" s="1"/>
  <c r="FJ279" i="1" s="1"/>
  <c r="FJ280" i="1" s="1"/>
  <c r="FJ250" i="1" s="1"/>
  <c r="ED277" i="1"/>
  <c r="ED278" i="1" s="1"/>
  <c r="ED279" i="1" s="1"/>
  <c r="ED280" i="1" s="1"/>
  <c r="ED250" i="1" s="1"/>
  <c r="ER277" i="1"/>
  <c r="ER278" i="1" s="1"/>
  <c r="ER279" i="1" s="1"/>
  <c r="ER280" i="1" s="1"/>
  <c r="ER250" i="1" s="1"/>
  <c r="DQ277" i="1"/>
  <c r="DQ299" i="1" s="1"/>
  <c r="EX277" i="1"/>
  <c r="EX278" i="1" s="1"/>
  <c r="EX279" i="1" s="1"/>
  <c r="EX280" i="1" s="1"/>
  <c r="EX250" i="1" s="1"/>
  <c r="DS277" i="1"/>
  <c r="DS299" i="1" s="1"/>
  <c r="FW277" i="1"/>
  <c r="FW278" i="1" s="1"/>
  <c r="FW279" i="1" s="1"/>
  <c r="FW280" i="1" s="1"/>
  <c r="FW250" i="1" s="1"/>
  <c r="EK277" i="1"/>
  <c r="EK278" i="1" s="1"/>
  <c r="EK279" i="1" s="1"/>
  <c r="EK280" i="1" s="1"/>
  <c r="EK250" i="1" s="1"/>
  <c r="EP277" i="1"/>
  <c r="EP278" i="1" s="1"/>
  <c r="EP279" i="1" s="1"/>
  <c r="EP280" i="1" s="1"/>
  <c r="EP250" i="1" s="1"/>
  <c r="DI277" i="1"/>
  <c r="DU277" i="1"/>
  <c r="DU299" i="1" s="1"/>
  <c r="BN195" i="1"/>
  <c r="BK196" i="1"/>
  <c r="CY247" i="1"/>
  <c r="N247" i="1" s="1"/>
  <c r="DI247" i="1"/>
  <c r="CR173" i="1"/>
  <c r="DI278" i="1"/>
  <c r="CY278" i="1"/>
  <c r="N278" i="1" s="1"/>
  <c r="CO234" i="1"/>
  <c r="M234" i="1" s="1"/>
  <c r="EK234" i="1"/>
  <c r="EE234" i="1"/>
  <c r="EQ234" i="1"/>
  <c r="FW234" i="1"/>
  <c r="FC234" i="1"/>
  <c r="FI234" i="1"/>
  <c r="FQ234" i="1"/>
  <c r="FJ234" i="1"/>
  <c r="ER234" i="1"/>
  <c r="EW234" i="1"/>
  <c r="FD234" i="1"/>
  <c r="FP234" i="1"/>
  <c r="FV234" i="1"/>
  <c r="EL234" i="1"/>
  <c r="DS234" i="1"/>
  <c r="DQ234" i="1"/>
  <c r="EF234" i="1"/>
  <c r="EX234" i="1"/>
  <c r="FO234" i="1"/>
  <c r="DT234" i="1"/>
  <c r="FV251" i="1"/>
  <c r="EW251" i="1"/>
  <c r="FW251" i="1"/>
  <c r="FD251" i="1"/>
  <c r="DU251" i="1"/>
  <c r="FN251" i="1"/>
  <c r="EX251" i="1"/>
  <c r="DP251" i="1"/>
  <c r="FQ251" i="1"/>
  <c r="EL251" i="1"/>
  <c r="DI251" i="1"/>
  <c r="DS251" i="1"/>
  <c r="FH251" i="1"/>
  <c r="EF251" i="1"/>
  <c r="DT251" i="1"/>
  <c r="FI251" i="1"/>
  <c r="EJ251" i="1"/>
  <c r="FJ251" i="1"/>
  <c r="EP251" i="1"/>
  <c r="FU251" i="1"/>
  <c r="FC251" i="1"/>
  <c r="ED251" i="1"/>
  <c r="EE251" i="1"/>
  <c r="EQ251" i="1"/>
  <c r="ER251" i="1"/>
  <c r="CO251" i="1"/>
  <c r="M251" i="1" s="1"/>
  <c r="FO251" i="1"/>
  <c r="DQ251" i="1"/>
  <c r="FP251" i="1"/>
  <c r="DR251" i="1"/>
  <c r="FB251" i="1"/>
  <c r="EV251" i="1"/>
  <c r="EK251" i="1"/>
  <c r="BN200" i="1"/>
  <c r="BK201" i="1"/>
  <c r="BN201" i="1" s="1"/>
  <c r="FW258" i="1"/>
  <c r="EW258" i="1"/>
  <c r="DP258" i="1"/>
  <c r="CO258" i="1"/>
  <c r="M258" i="1" s="1"/>
  <c r="FN258" i="1"/>
  <c r="EX258" i="1"/>
  <c r="DQ258" i="1"/>
  <c r="FP258" i="1"/>
  <c r="EJ258" i="1"/>
  <c r="DR258" i="1"/>
  <c r="FQ258" i="1"/>
  <c r="EK258" i="1"/>
  <c r="DT258" i="1"/>
  <c r="FJ258" i="1"/>
  <c r="EP258" i="1"/>
  <c r="DS258" i="1"/>
  <c r="FO258" i="1"/>
  <c r="EL258" i="1"/>
  <c r="DU258" i="1"/>
  <c r="FH258" i="1"/>
  <c r="ED258" i="1"/>
  <c r="FI258" i="1"/>
  <c r="EQ258" i="1"/>
  <c r="FB258" i="1"/>
  <c r="EE258" i="1"/>
  <c r="FC258" i="1"/>
  <c r="ER258" i="1"/>
  <c r="DI258" i="1"/>
  <c r="FU258" i="1"/>
  <c r="EV258" i="1"/>
  <c r="EF258" i="1"/>
  <c r="FV258" i="1"/>
  <c r="FD258" i="1"/>
  <c r="CO280" i="1"/>
  <c r="M280" i="1" s="1"/>
  <c r="CY280" i="1"/>
  <c r="N280" i="1" s="1"/>
  <c r="DI280" i="1"/>
  <c r="CY96" i="1"/>
  <c r="FN185" i="1"/>
  <c r="EP185" i="1"/>
  <c r="DP185" i="1"/>
  <c r="FJ185" i="1"/>
  <c r="EL185" i="1"/>
  <c r="FI185" i="1"/>
  <c r="EK185" i="1"/>
  <c r="FH185" i="1"/>
  <c r="EJ185" i="1"/>
  <c r="FD185" i="1"/>
  <c r="EF185" i="1"/>
  <c r="FC185" i="1"/>
  <c r="EE185" i="1"/>
  <c r="DI185" i="1"/>
  <c r="FW185" i="1"/>
  <c r="FB185" i="1"/>
  <c r="ED185" i="1"/>
  <c r="FV185" i="1"/>
  <c r="EX185" i="1"/>
  <c r="DU185" i="1"/>
  <c r="FU185" i="1"/>
  <c r="EW185" i="1"/>
  <c r="DT185" i="1"/>
  <c r="FQ185" i="1"/>
  <c r="EV185" i="1"/>
  <c r="DS185" i="1"/>
  <c r="FP185" i="1"/>
  <c r="ER185" i="1"/>
  <c r="DR185" i="1"/>
  <c r="FO185" i="1"/>
  <c r="EQ185" i="1"/>
  <c r="DQ185" i="1"/>
  <c r="FU186" i="1"/>
  <c r="FI186" i="1"/>
  <c r="EX186" i="1"/>
  <c r="FO186" i="1"/>
  <c r="FD186" i="1"/>
  <c r="EJ186" i="1"/>
  <c r="DU186" i="1"/>
  <c r="FV186" i="1"/>
  <c r="FH186" i="1"/>
  <c r="DT186" i="1"/>
  <c r="DI186" i="1"/>
  <c r="DS186" i="1"/>
  <c r="EF186" i="1"/>
  <c r="FQ186" i="1"/>
  <c r="ER186" i="1"/>
  <c r="EE186" i="1"/>
  <c r="DR186" i="1"/>
  <c r="FC186" i="1"/>
  <c r="ED186" i="1"/>
  <c r="DQ186" i="1"/>
  <c r="FP186" i="1"/>
  <c r="EQ186" i="1"/>
  <c r="DP186" i="1"/>
  <c r="FN186" i="1"/>
  <c r="FB186" i="1"/>
  <c r="EP186" i="1"/>
  <c r="EW186" i="1"/>
  <c r="EL186" i="1"/>
  <c r="FW186" i="1"/>
  <c r="FJ186" i="1"/>
  <c r="EV186" i="1"/>
  <c r="EK186" i="1"/>
  <c r="CR185" i="1"/>
  <c r="EP272" i="1"/>
  <c r="EP306" i="1" s="1"/>
  <c r="FJ272" i="1"/>
  <c r="FJ306" i="1" s="1"/>
  <c r="ER272" i="1"/>
  <c r="ER306" i="1" s="1"/>
  <c r="EF272" i="1"/>
  <c r="EF306" i="1" s="1"/>
  <c r="FH272" i="1"/>
  <c r="FC272" i="1"/>
  <c r="FC306" i="1" s="1"/>
  <c r="EJ272" i="1"/>
  <c r="EJ306" i="1" s="1"/>
  <c r="FD272" i="1"/>
  <c r="FD306" i="1" s="1"/>
  <c r="FP272" i="1"/>
  <c r="FP306" i="1" s="1"/>
  <c r="EE272" i="1"/>
  <c r="EE306" i="1" s="1"/>
  <c r="FW272" i="1"/>
  <c r="FW306" i="1" s="1"/>
  <c r="EQ272" i="1"/>
  <c r="EQ306" i="1" s="1"/>
  <c r="DT272" i="1"/>
  <c r="EV272" i="1"/>
  <c r="EV306" i="1" s="1"/>
  <c r="EK272" i="1"/>
  <c r="EK306" i="1" s="1"/>
  <c r="FI272" i="1"/>
  <c r="FI306" i="1" s="1"/>
  <c r="DP272" i="1"/>
  <c r="DQ272" i="1"/>
  <c r="ED272" i="1"/>
  <c r="ED306" i="1" s="1"/>
  <c r="EL272" i="1"/>
  <c r="EL306" i="1" s="1"/>
  <c r="FQ272" i="1"/>
  <c r="FQ306" i="1" s="1"/>
  <c r="FO272" i="1"/>
  <c r="FO306" i="1" s="1"/>
  <c r="EW272" i="1"/>
  <c r="EW306" i="1" s="1"/>
  <c r="FU272" i="1"/>
  <c r="EX272" i="1"/>
  <c r="EX306" i="1" s="1"/>
  <c r="DI272" i="1"/>
  <c r="FB272" i="1"/>
  <c r="DU272" i="1"/>
  <c r="FN272" i="1"/>
  <c r="FV272" i="1"/>
  <c r="FV306" i="1" s="1"/>
  <c r="DS272" i="1"/>
  <c r="DR272" i="1"/>
  <c r="FJ237" i="1"/>
  <c r="EP237" i="1"/>
  <c r="DR237" i="1"/>
  <c r="FP237" i="1"/>
  <c r="ED237" i="1"/>
  <c r="FB237" i="1"/>
  <c r="EX237" i="1"/>
  <c r="DT237" i="1"/>
  <c r="FC237" i="1"/>
  <c r="EJ237" i="1"/>
  <c r="DS237" i="1"/>
  <c r="FO237" i="1"/>
  <c r="EQ237" i="1"/>
  <c r="DP237" i="1"/>
  <c r="FQ237" i="1"/>
  <c r="DI237" i="1"/>
  <c r="FH237" i="1"/>
  <c r="FI237" i="1"/>
  <c r="FD237" i="1"/>
  <c r="EV237" i="1"/>
  <c r="EK237" i="1"/>
  <c r="FU237" i="1"/>
  <c r="EW237" i="1"/>
  <c r="EE237" i="1"/>
  <c r="EL237" i="1"/>
  <c r="FV237" i="1"/>
  <c r="DU237" i="1"/>
  <c r="FW237" i="1"/>
  <c r="ER237" i="1"/>
  <c r="FN237" i="1"/>
  <c r="EF237" i="1"/>
  <c r="DQ237" i="1"/>
  <c r="CO237" i="1"/>
  <c r="M237" i="1" s="1"/>
  <c r="FV289" i="1"/>
  <c r="FN289" i="1"/>
  <c r="FC289" i="1"/>
  <c r="DI289" i="1"/>
  <c r="FW289" i="1"/>
  <c r="EP289" i="1"/>
  <c r="FI289" i="1"/>
  <c r="EJ289" i="1"/>
  <c r="DQ289" i="1"/>
  <c r="FD289" i="1"/>
  <c r="EK289" i="1"/>
  <c r="DS289" i="1"/>
  <c r="FH289" i="1"/>
  <c r="EE289" i="1"/>
  <c r="DU289" i="1"/>
  <c r="FQ289" i="1"/>
  <c r="EW289" i="1"/>
  <c r="EF289" i="1"/>
  <c r="EL289" i="1"/>
  <c r="FU289" i="1"/>
  <c r="FO289" i="1"/>
  <c r="DP289" i="1"/>
  <c r="FJ289" i="1"/>
  <c r="DR289" i="1"/>
  <c r="FP289" i="1"/>
  <c r="DT289" i="1"/>
  <c r="EV289" i="1"/>
  <c r="FB289" i="1"/>
  <c r="EX289" i="1"/>
  <c r="EQ289" i="1"/>
  <c r="ED289" i="1"/>
  <c r="ER289" i="1"/>
  <c r="FN260" i="1"/>
  <c r="FH260" i="1"/>
  <c r="EJ260" i="1"/>
  <c r="FU260" i="1"/>
  <c r="DP260" i="1"/>
  <c r="EL260" i="1"/>
  <c r="FB260" i="1"/>
  <c r="EV260" i="1"/>
  <c r="CO260" i="1"/>
  <c r="M260" i="1" s="1"/>
  <c r="FJ260" i="1"/>
  <c r="ED260" i="1"/>
  <c r="FW260" i="1"/>
  <c r="DI260" i="1"/>
  <c r="EP260" i="1"/>
  <c r="DS260" i="1"/>
  <c r="ER260" i="1"/>
  <c r="DR260" i="1"/>
  <c r="FQ260" i="1"/>
  <c r="EW260" i="1"/>
  <c r="EQ260" i="1"/>
  <c r="FV260" i="1"/>
  <c r="DU260" i="1"/>
  <c r="EX260" i="1"/>
  <c r="EE260" i="1"/>
  <c r="FP260" i="1"/>
  <c r="FO260" i="1"/>
  <c r="EF260" i="1"/>
  <c r="FC260" i="1"/>
  <c r="FI260" i="1"/>
  <c r="DQ260" i="1"/>
  <c r="EK260" i="1"/>
  <c r="FD260" i="1"/>
  <c r="DT260" i="1"/>
  <c r="AO79" i="1"/>
  <c r="AN80" i="1"/>
  <c r="AO80" i="1" s="1"/>
  <c r="FW255" i="1"/>
  <c r="EF255" i="1"/>
  <c r="DP255" i="1"/>
  <c r="FH255" i="1"/>
  <c r="ED255" i="1"/>
  <c r="DT255" i="1"/>
  <c r="FI255" i="1"/>
  <c r="EQ255" i="1"/>
  <c r="DQ255" i="1"/>
  <c r="FQ255" i="1"/>
  <c r="ER255" i="1"/>
  <c r="DR255" i="1"/>
  <c r="FJ255" i="1"/>
  <c r="FB255" i="1"/>
  <c r="DS255" i="1"/>
  <c r="CO255" i="1"/>
  <c r="M255" i="1" s="1"/>
  <c r="FC255" i="1"/>
  <c r="EJ255" i="1"/>
  <c r="DU255" i="1"/>
  <c r="EV255" i="1"/>
  <c r="EK255" i="1"/>
  <c r="FN255" i="1"/>
  <c r="FD255" i="1"/>
  <c r="EL255" i="1"/>
  <c r="FU255" i="1"/>
  <c r="EW255" i="1"/>
  <c r="DI255" i="1"/>
  <c r="FO255" i="1"/>
  <c r="EX255" i="1"/>
  <c r="FV255" i="1"/>
  <c r="EE255" i="1"/>
  <c r="FP255" i="1"/>
  <c r="EP255" i="1"/>
  <c r="DT224" i="1"/>
  <c r="DP224" i="1"/>
  <c r="CO224" i="1"/>
  <c r="M224" i="1" s="1"/>
  <c r="DI224" i="1"/>
  <c r="DU224" i="1"/>
  <c r="DR224" i="1"/>
  <c r="DQ224" i="1"/>
  <c r="DS224" i="1"/>
  <c r="CO304" i="1"/>
  <c r="M304" i="1" s="1"/>
  <c r="CR292" i="1"/>
  <c r="CY258" i="1"/>
  <c r="N258" i="1" s="1"/>
  <c r="CO302" i="1"/>
  <c r="M302" i="1" s="1"/>
  <c r="DT305" i="1"/>
  <c r="ER305" i="1"/>
  <c r="EP305" i="1"/>
  <c r="EK305" i="1"/>
  <c r="EE305" i="1"/>
  <c r="FV305" i="1"/>
  <c r="DP305" i="1"/>
  <c r="FO305" i="1"/>
  <c r="FH305" i="1"/>
  <c r="FC305" i="1"/>
  <c r="CO270" i="1"/>
  <c r="M270" i="1" s="1"/>
  <c r="FH270" i="1"/>
  <c r="EE270" i="1"/>
  <c r="DI270" i="1"/>
  <c r="FD270" i="1"/>
  <c r="FB270" i="1"/>
  <c r="FQ270" i="1"/>
  <c r="FP270" i="1"/>
  <c r="FU270" i="1"/>
  <c r="EV270" i="1"/>
  <c r="EL270" i="1"/>
  <c r="FN270" i="1"/>
  <c r="FJ270" i="1"/>
  <c r="DQ270" i="1"/>
  <c r="EF270" i="1"/>
  <c r="FC270" i="1"/>
  <c r="DT270" i="1"/>
  <c r="FV270" i="1"/>
  <c r="DS270" i="1"/>
  <c r="EJ270" i="1"/>
  <c r="EQ270" i="1"/>
  <c r="DR270" i="1"/>
  <c r="EP270" i="1"/>
  <c r="FI270" i="1"/>
  <c r="ED270" i="1"/>
  <c r="EX270" i="1"/>
  <c r="EW270" i="1"/>
  <c r="FW270" i="1"/>
  <c r="FO270" i="1"/>
  <c r="DU270" i="1"/>
  <c r="EK270" i="1"/>
  <c r="ER270" i="1"/>
  <c r="DP270" i="1"/>
  <c r="FW197" i="1"/>
  <c r="FW198" i="1" s="1"/>
  <c r="DS197" i="1"/>
  <c r="DS198" i="1" s="1"/>
  <c r="EQ197" i="1"/>
  <c r="EQ198" i="1" s="1"/>
  <c r="EJ197" i="1"/>
  <c r="EJ198" i="1" s="1"/>
  <c r="FB197" i="1"/>
  <c r="EF197" i="1"/>
  <c r="EF198" i="1" s="1"/>
  <c r="FO197" i="1"/>
  <c r="FO198" i="1" s="1"/>
  <c r="FP197" i="1"/>
  <c r="FP198" i="1" s="1"/>
  <c r="EX197" i="1"/>
  <c r="EX198" i="1" s="1"/>
  <c r="ED197" i="1"/>
  <c r="ED198" i="1" s="1"/>
  <c r="EK197" i="1"/>
  <c r="EK198" i="1" s="1"/>
  <c r="DQ197" i="1"/>
  <c r="DQ198" i="1" s="1"/>
  <c r="DT197" i="1"/>
  <c r="DT198" i="1" s="1"/>
  <c r="DP197" i="1"/>
  <c r="FU197" i="1"/>
  <c r="FH197" i="1"/>
  <c r="ER197" i="1"/>
  <c r="ER198" i="1" s="1"/>
  <c r="EW197" i="1"/>
  <c r="EW198" i="1" s="1"/>
  <c r="FQ197" i="1"/>
  <c r="FQ198" i="1" s="1"/>
  <c r="FI197" i="1"/>
  <c r="FI198" i="1" s="1"/>
  <c r="FC197" i="1"/>
  <c r="FC198" i="1" s="1"/>
  <c r="EL197" i="1"/>
  <c r="EL198" i="1" s="1"/>
  <c r="CO197" i="1"/>
  <c r="M197" i="1" s="1"/>
  <c r="FV197" i="1"/>
  <c r="FV198" i="1" s="1"/>
  <c r="DR197" i="1"/>
  <c r="DR198" i="1" s="1"/>
  <c r="FN197" i="1"/>
  <c r="EV197" i="1"/>
  <c r="EE197" i="1"/>
  <c r="EE198" i="1" s="1"/>
  <c r="EP197" i="1"/>
  <c r="FD197" i="1"/>
  <c r="FD198" i="1" s="1"/>
  <c r="FJ197" i="1"/>
  <c r="FJ198" i="1" s="1"/>
  <c r="CY298" i="1"/>
  <c r="N298" i="1" s="1"/>
  <c r="DI298" i="1"/>
  <c r="CO262" i="1"/>
  <c r="M262" i="1" s="1"/>
  <c r="FN262" i="1"/>
  <c r="FQ262" i="1"/>
  <c r="EF262" i="1"/>
  <c r="DP262" i="1"/>
  <c r="FI262" i="1"/>
  <c r="ED262" i="1"/>
  <c r="FD262" i="1"/>
  <c r="FC262" i="1"/>
  <c r="EJ262" i="1"/>
  <c r="ER262" i="1"/>
  <c r="DT262" i="1"/>
  <c r="EP262" i="1"/>
  <c r="FW262" i="1"/>
  <c r="DQ262" i="1"/>
  <c r="FH262" i="1"/>
  <c r="EX262" i="1"/>
  <c r="DS262" i="1"/>
  <c r="FB262" i="1"/>
  <c r="EW262" i="1"/>
  <c r="EL262" i="1"/>
  <c r="FU262" i="1"/>
  <c r="FV262" i="1"/>
  <c r="EV262" i="1"/>
  <c r="EQ262" i="1"/>
  <c r="EK262" i="1"/>
  <c r="FJ262" i="1"/>
  <c r="DR262" i="1"/>
  <c r="EE262" i="1"/>
  <c r="FO262" i="1"/>
  <c r="FP262" i="1"/>
  <c r="CB14" i="1"/>
  <c r="CB13" i="1"/>
  <c r="I13" i="1"/>
  <c r="J13" i="1"/>
  <c r="DU301" i="1"/>
  <c r="FQ301" i="1"/>
  <c r="EL301" i="1"/>
  <c r="DS301" i="1"/>
  <c r="FD301" i="1"/>
  <c r="EP301" i="1"/>
  <c r="DP301" i="1"/>
  <c r="EV301" i="1"/>
  <c r="EQ301" i="1"/>
  <c r="FW301" i="1"/>
  <c r="EW301" i="1"/>
  <c r="ER301" i="1"/>
  <c r="FU301" i="1"/>
  <c r="EX301" i="1"/>
  <c r="DI301" i="1"/>
  <c r="FH301" i="1"/>
  <c r="FB301" i="1"/>
  <c r="FN301" i="1"/>
  <c r="EE301" i="1"/>
  <c r="FI301" i="1"/>
  <c r="FC301" i="1"/>
  <c r="DT301" i="1"/>
  <c r="FV301" i="1"/>
  <c r="EF301" i="1"/>
  <c r="CO301" i="1"/>
  <c r="M301" i="1" s="1"/>
  <c r="FO301" i="1"/>
  <c r="EJ301" i="1"/>
  <c r="DQ301" i="1"/>
  <c r="FJ301" i="1"/>
  <c r="EK301" i="1"/>
  <c r="DR301" i="1"/>
  <c r="FP301" i="1"/>
  <c r="ED301" i="1"/>
  <c r="DJ201" i="1"/>
  <c r="DK201" i="1" s="1"/>
  <c r="DJ200" i="1"/>
  <c r="DK200" i="1" s="1"/>
  <c r="CB104" i="1"/>
  <c r="I104" i="1"/>
  <c r="EL160" i="1"/>
  <c r="CR160" i="1"/>
  <c r="FV284" i="1"/>
  <c r="FV285" i="1" s="1"/>
  <c r="FQ284" i="1"/>
  <c r="FQ285" i="1" s="1"/>
  <c r="EF284" i="1"/>
  <c r="EF285" i="1" s="1"/>
  <c r="DI284" i="1"/>
  <c r="FP284" i="1"/>
  <c r="FP285" i="1" s="1"/>
  <c r="FC284" i="1"/>
  <c r="FC285" i="1" s="1"/>
  <c r="EJ284" i="1"/>
  <c r="EJ285" i="1" s="1"/>
  <c r="DT284" i="1"/>
  <c r="DT285" i="1" s="1"/>
  <c r="EK284" i="1"/>
  <c r="EK285" i="1" s="1"/>
  <c r="DQ284" i="1"/>
  <c r="DQ285" i="1" s="1"/>
  <c r="FU284" i="1"/>
  <c r="EV284" i="1"/>
  <c r="EV285" i="1" s="1"/>
  <c r="DR284" i="1"/>
  <c r="DR285" i="1" s="1"/>
  <c r="FB284" i="1"/>
  <c r="EL284" i="1"/>
  <c r="EL285" i="1" s="1"/>
  <c r="FW284" i="1"/>
  <c r="FW285" i="1" s="1"/>
  <c r="EW284" i="1"/>
  <c r="EW285" i="1" s="1"/>
  <c r="ER284" i="1"/>
  <c r="ER285" i="1" s="1"/>
  <c r="DS284" i="1"/>
  <c r="DS285" i="1" s="1"/>
  <c r="DP284" i="1"/>
  <c r="DU284" i="1"/>
  <c r="DU285" i="1" s="1"/>
  <c r="FN284" i="1"/>
  <c r="EP284" i="1"/>
  <c r="EP285" i="1" s="1"/>
  <c r="FO284" i="1"/>
  <c r="FO285" i="1" s="1"/>
  <c r="EX284" i="1"/>
  <c r="EX285" i="1" s="1"/>
  <c r="EE284" i="1"/>
  <c r="EE285" i="1" s="1"/>
  <c r="FH284" i="1"/>
  <c r="EQ284" i="1"/>
  <c r="EQ285" i="1" s="1"/>
  <c r="FI284" i="1"/>
  <c r="FI285" i="1" s="1"/>
  <c r="FD284" i="1"/>
  <c r="FD285" i="1" s="1"/>
  <c r="ED284" i="1"/>
  <c r="ED285" i="1" s="1"/>
  <c r="FJ284" i="1"/>
  <c r="FJ285" i="1" s="1"/>
  <c r="FH89" i="1"/>
  <c r="EE89" i="1"/>
  <c r="FC89" i="1"/>
  <c r="EL89" i="1"/>
  <c r="DI89" i="1"/>
  <c r="DP89" i="1"/>
  <c r="FV89" i="1"/>
  <c r="FD89" i="1"/>
  <c r="EV89" i="1"/>
  <c r="DQ89" i="1"/>
  <c r="FN89" i="1"/>
  <c r="FU89" i="1"/>
  <c r="EQ89" i="1"/>
  <c r="EP89" i="1"/>
  <c r="ED89" i="1"/>
  <c r="DR89" i="1"/>
  <c r="ER89" i="1"/>
  <c r="DS89" i="1"/>
  <c r="FW89" i="1"/>
  <c r="EF89" i="1"/>
  <c r="DT89" i="1"/>
  <c r="FP89" i="1"/>
  <c r="EJ89" i="1"/>
  <c r="DU89" i="1"/>
  <c r="FQ89" i="1"/>
  <c r="EK89" i="1"/>
  <c r="FO89" i="1"/>
  <c r="FI89" i="1"/>
  <c r="FJ89" i="1"/>
  <c r="FB89" i="1"/>
  <c r="EW89" i="1"/>
  <c r="EX89" i="1"/>
  <c r="FH194" i="1"/>
  <c r="EL194" i="1"/>
  <c r="DQ194" i="1"/>
  <c r="FI194" i="1"/>
  <c r="EQ194" i="1"/>
  <c r="DR194" i="1"/>
  <c r="FJ194" i="1"/>
  <c r="ER194" i="1"/>
  <c r="DU194" i="1"/>
  <c r="FB194" i="1"/>
  <c r="ED194" i="1"/>
  <c r="DS194" i="1"/>
  <c r="FC194" i="1"/>
  <c r="EE194" i="1"/>
  <c r="DT194" i="1"/>
  <c r="FU194" i="1"/>
  <c r="FD194" i="1"/>
  <c r="EF194" i="1"/>
  <c r="FW194" i="1"/>
  <c r="EV194" i="1"/>
  <c r="FV194" i="1"/>
  <c r="EW194" i="1"/>
  <c r="CO194" i="1"/>
  <c r="M194" i="1" s="1"/>
  <c r="FN194" i="1"/>
  <c r="EX194" i="1"/>
  <c r="DI194" i="1"/>
  <c r="FO194" i="1"/>
  <c r="EJ194" i="1"/>
  <c r="FP194" i="1"/>
  <c r="EK194" i="1"/>
  <c r="DP194" i="1"/>
  <c r="FQ194" i="1"/>
  <c r="EP194" i="1"/>
  <c r="FN253" i="1"/>
  <c r="ER253" i="1"/>
  <c r="ER254" i="1" s="1"/>
  <c r="EL253" i="1"/>
  <c r="EL254" i="1" s="1"/>
  <c r="FO253" i="1"/>
  <c r="FO254" i="1" s="1"/>
  <c r="FQ253" i="1"/>
  <c r="FQ254" i="1" s="1"/>
  <c r="DQ253" i="1"/>
  <c r="EQ253" i="1"/>
  <c r="EQ254" i="1" s="1"/>
  <c r="EF253" i="1"/>
  <c r="EF254" i="1" s="1"/>
  <c r="EV253" i="1"/>
  <c r="DS253" i="1"/>
  <c r="FV253" i="1"/>
  <c r="FV254" i="1" s="1"/>
  <c r="FD253" i="1"/>
  <c r="FD254" i="1" s="1"/>
  <c r="ED253" i="1"/>
  <c r="ED254" i="1" s="1"/>
  <c r="FW253" i="1"/>
  <c r="FW254" i="1" s="1"/>
  <c r="DT253" i="1"/>
  <c r="FH253" i="1"/>
  <c r="FH254" i="1" s="1"/>
  <c r="EW253" i="1"/>
  <c r="EW254" i="1" s="1"/>
  <c r="EK253" i="1"/>
  <c r="EK254" i="1" s="1"/>
  <c r="FJ253" i="1"/>
  <c r="FJ254" i="1" s="1"/>
  <c r="EE253" i="1"/>
  <c r="EE254" i="1" s="1"/>
  <c r="FU253" i="1"/>
  <c r="FP253" i="1"/>
  <c r="FP254" i="1" s="1"/>
  <c r="EP253" i="1"/>
  <c r="EP254" i="1" s="1"/>
  <c r="DP253" i="1"/>
  <c r="CO253" i="1"/>
  <c r="M253" i="1" s="1"/>
  <c r="FI253" i="1"/>
  <c r="FB253" i="1"/>
  <c r="FB254" i="1" s="1"/>
  <c r="FC253" i="1"/>
  <c r="EX253" i="1"/>
  <c r="EX254" i="1" s="1"/>
  <c r="EJ253" i="1"/>
  <c r="EJ254" i="1" s="1"/>
  <c r="DR253" i="1"/>
  <c r="FN300" i="1"/>
  <c r="FD300" i="1"/>
  <c r="FH300" i="1"/>
  <c r="EJ300" i="1"/>
  <c r="DS300" i="1"/>
  <c r="FO300" i="1"/>
  <c r="EK300" i="1"/>
  <c r="FI300" i="1"/>
  <c r="EL300" i="1"/>
  <c r="DR300" i="1"/>
  <c r="FP300" i="1"/>
  <c r="EP300" i="1"/>
  <c r="FJ300" i="1"/>
  <c r="EQ300" i="1"/>
  <c r="FQ300" i="1"/>
  <c r="ER300" i="1"/>
  <c r="DQ300" i="1"/>
  <c r="EV300" i="1"/>
  <c r="ED300" i="1"/>
  <c r="DP300" i="1"/>
  <c r="EW300" i="1"/>
  <c r="EE300" i="1"/>
  <c r="FU300" i="1"/>
  <c r="EX300" i="1"/>
  <c r="EF300" i="1"/>
  <c r="FV300" i="1"/>
  <c r="FB300" i="1"/>
  <c r="DT300" i="1"/>
  <c r="DI300" i="1"/>
  <c r="FW300" i="1"/>
  <c r="FC300" i="1"/>
  <c r="DU300" i="1"/>
  <c r="CR305" i="1"/>
  <c r="CO289" i="1"/>
  <c r="M289" i="1" s="1"/>
  <c r="FP119" i="1"/>
  <c r="FD119" i="1"/>
  <c r="FQ119" i="1"/>
  <c r="DQ119" i="1"/>
  <c r="EQ119" i="1"/>
  <c r="ER119" i="1"/>
  <c r="DS119" i="1"/>
  <c r="DT119" i="1"/>
  <c r="FI119" i="1"/>
  <c r="EE119" i="1"/>
  <c r="FJ119" i="1"/>
  <c r="EF119" i="1"/>
  <c r="EW119" i="1"/>
  <c r="EK119" i="1"/>
  <c r="FW119" i="1"/>
  <c r="EL119" i="1"/>
  <c r="FV119" i="1"/>
  <c r="EX119" i="1"/>
  <c r="FO119" i="1"/>
  <c r="FC119" i="1"/>
  <c r="CO119" i="1"/>
  <c r="M119" i="1" s="1"/>
  <c r="CY16" i="1"/>
  <c r="CV16" i="1" s="1"/>
  <c r="FO16" i="1"/>
  <c r="EW16" i="1"/>
  <c r="DR16" i="1"/>
  <c r="FP16" i="1"/>
  <c r="ER16" i="1"/>
  <c r="FQ16" i="1"/>
  <c r="EX16" i="1"/>
  <c r="FH16" i="1"/>
  <c r="ED16" i="1"/>
  <c r="FB16" i="1"/>
  <c r="EE16" i="1"/>
  <c r="FI16" i="1"/>
  <c r="EF16" i="1"/>
  <c r="FC16" i="1"/>
  <c r="EJ16" i="1"/>
  <c r="DP16" i="1"/>
  <c r="FU16" i="1"/>
  <c r="FJ16" i="1"/>
  <c r="EK16" i="1"/>
  <c r="FV16" i="1"/>
  <c r="FD16" i="1"/>
  <c r="EL16" i="1"/>
  <c r="FW16" i="1"/>
  <c r="EP16" i="1"/>
  <c r="EV16" i="1"/>
  <c r="DQ16" i="1"/>
  <c r="FN16" i="1"/>
  <c r="EQ16" i="1"/>
  <c r="DU16" i="1"/>
  <c r="DI16" i="1"/>
  <c r="CO16" i="1"/>
  <c r="M16" i="1" s="1"/>
  <c r="DT16" i="1"/>
  <c r="DS16" i="1"/>
  <c r="BN204" i="1"/>
  <c r="BK205" i="1"/>
  <c r="DI200" i="1"/>
  <c r="EV200" i="1"/>
  <c r="EV201" i="1" s="1"/>
  <c r="EP200" i="1"/>
  <c r="EP201" i="1" s="1"/>
  <c r="EJ200" i="1"/>
  <c r="EJ201" i="1" s="1"/>
  <c r="FN200" i="1"/>
  <c r="FN201" i="1" s="1"/>
  <c r="DP200" i="1"/>
  <c r="DP201" i="1" s="1"/>
  <c r="FJ200" i="1"/>
  <c r="FJ201" i="1" s="1"/>
  <c r="EE200" i="1"/>
  <c r="EE201" i="1" s="1"/>
  <c r="ED200" i="1"/>
  <c r="ED201" i="1" s="1"/>
  <c r="FH200" i="1"/>
  <c r="FH201" i="1" s="1"/>
  <c r="FW200" i="1"/>
  <c r="FW201" i="1" s="1"/>
  <c r="FD200" i="1"/>
  <c r="FD201" i="1" s="1"/>
  <c r="EQ200" i="1"/>
  <c r="EQ201" i="1" s="1"/>
  <c r="DS200" i="1"/>
  <c r="DS201" i="1" s="1"/>
  <c r="FU200" i="1"/>
  <c r="FU201" i="1" s="1"/>
  <c r="FB200" i="1"/>
  <c r="FB201" i="1" s="1"/>
  <c r="FP200" i="1"/>
  <c r="FP201" i="1" s="1"/>
  <c r="EF200" i="1"/>
  <c r="EF201" i="1" s="1"/>
  <c r="FO200" i="1"/>
  <c r="FO201" i="1" s="1"/>
  <c r="EX200" i="1"/>
  <c r="EX201" i="1" s="1"/>
  <c r="EK200" i="1"/>
  <c r="EK201" i="1" s="1"/>
  <c r="DQ200" i="1"/>
  <c r="DQ201" i="1" s="1"/>
  <c r="DT200" i="1"/>
  <c r="DT201" i="1" s="1"/>
  <c r="FQ200" i="1"/>
  <c r="FQ201" i="1" s="1"/>
  <c r="FC200" i="1"/>
  <c r="FC201" i="1" s="1"/>
  <c r="ER200" i="1"/>
  <c r="ER201" i="1" s="1"/>
  <c r="EW200" i="1"/>
  <c r="EL200" i="1"/>
  <c r="EL201" i="1" s="1"/>
  <c r="DU200" i="1"/>
  <c r="DU201" i="1" s="1"/>
  <c r="FI200" i="1"/>
  <c r="FI201" i="1" s="1"/>
  <c r="DR200" i="1"/>
  <c r="DR201" i="1" s="1"/>
  <c r="FV200" i="1"/>
  <c r="FV201" i="1" s="1"/>
  <c r="FU30" i="1"/>
  <c r="FO30" i="1"/>
  <c r="EF30" i="1"/>
  <c r="CO30" i="1"/>
  <c r="M30" i="1" s="1"/>
  <c r="FV30" i="1"/>
  <c r="EV30" i="1"/>
  <c r="DI30" i="1"/>
  <c r="FW30" i="1"/>
  <c r="EP30" i="1"/>
  <c r="FP30" i="1"/>
  <c r="EQ30" i="1"/>
  <c r="DT30" i="1"/>
  <c r="FQ30" i="1"/>
  <c r="EX30" i="1"/>
  <c r="FB30" i="1"/>
  <c r="ER30" i="1"/>
  <c r="DQ30" i="1"/>
  <c r="FC30" i="1"/>
  <c r="EK30" i="1"/>
  <c r="DP30" i="1"/>
  <c r="FD30" i="1"/>
  <c r="EJ30" i="1"/>
  <c r="FI30" i="1"/>
  <c r="ED30" i="1"/>
  <c r="EL30" i="1"/>
  <c r="DS30" i="1"/>
  <c r="EE30" i="1"/>
  <c r="DU30" i="1"/>
  <c r="FN30" i="1"/>
  <c r="FH30" i="1"/>
  <c r="FJ30" i="1"/>
  <c r="EW30" i="1"/>
  <c r="DR30" i="1"/>
  <c r="FN304" i="1"/>
  <c r="FD304" i="1"/>
  <c r="EJ304" i="1"/>
  <c r="FP304" i="1"/>
  <c r="DR304" i="1"/>
  <c r="FV304" i="1"/>
  <c r="ER304" i="1"/>
  <c r="DI304" i="1"/>
  <c r="FU304" i="1"/>
  <c r="EQ304" i="1"/>
  <c r="FQ304" i="1"/>
  <c r="EP304" i="1"/>
  <c r="FO304" i="1"/>
  <c r="EL304" i="1"/>
  <c r="FJ304" i="1"/>
  <c r="EK304" i="1"/>
  <c r="FI304" i="1"/>
  <c r="EF304" i="1"/>
  <c r="FH304" i="1"/>
  <c r="EE304" i="1"/>
  <c r="FC304" i="1"/>
  <c r="ED304" i="1"/>
  <c r="FB304" i="1"/>
  <c r="DT304" i="1"/>
  <c r="EX304" i="1"/>
  <c r="DS304" i="1"/>
  <c r="EW304" i="1"/>
  <c r="DQ304" i="1"/>
  <c r="FW304" i="1"/>
  <c r="EV304" i="1"/>
  <c r="DP304" i="1"/>
  <c r="BK19" i="1"/>
  <c r="BN19" i="1" s="1"/>
  <c r="BN18" i="1"/>
  <c r="FU233" i="1"/>
  <c r="EQ233" i="1"/>
  <c r="DU233" i="1"/>
  <c r="FI233" i="1"/>
  <c r="ED233" i="1"/>
  <c r="DS233" i="1"/>
  <c r="FJ233" i="1"/>
  <c r="EJ233" i="1"/>
  <c r="FP233" i="1"/>
  <c r="EV233" i="1"/>
  <c r="FW233" i="1"/>
  <c r="EF233" i="1"/>
  <c r="FH233" i="1"/>
  <c r="EX233" i="1"/>
  <c r="FB233" i="1"/>
  <c r="FC233" i="1"/>
  <c r="DI233" i="1"/>
  <c r="FD233" i="1"/>
  <c r="DT233" i="1"/>
  <c r="EK233" i="1"/>
  <c r="DP233" i="1"/>
  <c r="ER233" i="1"/>
  <c r="DQ233" i="1"/>
  <c r="FN233" i="1"/>
  <c r="EL233" i="1"/>
  <c r="DR233" i="1"/>
  <c r="FO233" i="1"/>
  <c r="EP233" i="1"/>
  <c r="FQ233" i="1"/>
  <c r="EW233" i="1"/>
  <c r="FV233" i="1"/>
  <c r="EE233" i="1"/>
  <c r="CO247" i="1"/>
  <c r="M247" i="1" s="1"/>
  <c r="BK279" i="1"/>
  <c r="BN278" i="1"/>
  <c r="EB278" i="1" s="1"/>
  <c r="CC212" i="1"/>
  <c r="CL212" i="1" s="1"/>
  <c r="FZ212" i="1" s="1"/>
  <c r="FW225" i="1"/>
  <c r="FC225" i="1"/>
  <c r="EF225" i="1"/>
  <c r="FO225" i="1"/>
  <c r="EV225" i="1"/>
  <c r="FV225" i="1"/>
  <c r="ER225" i="1"/>
  <c r="FH225" i="1"/>
  <c r="EP225" i="1"/>
  <c r="FN225" i="1"/>
  <c r="EJ225" i="1"/>
  <c r="EX225" i="1"/>
  <c r="ED225" i="1"/>
  <c r="FD225" i="1"/>
  <c r="DS225" i="1"/>
  <c r="FU225" i="1"/>
  <c r="EE225" i="1"/>
  <c r="DT225" i="1"/>
  <c r="FP225" i="1"/>
  <c r="DP225" i="1"/>
  <c r="FQ225" i="1"/>
  <c r="DQ225" i="1"/>
  <c r="FI225" i="1"/>
  <c r="DR225" i="1"/>
  <c r="FJ225" i="1"/>
  <c r="FB225" i="1"/>
  <c r="EQ225" i="1"/>
  <c r="EK225" i="1"/>
  <c r="EL225" i="1"/>
  <c r="EW225" i="1"/>
  <c r="CO225" i="1"/>
  <c r="M225" i="1" s="1"/>
  <c r="FJ85" i="1"/>
  <c r="EK85" i="1"/>
  <c r="EQ85" i="1"/>
  <c r="EF85" i="1"/>
  <c r="FI85" i="1"/>
  <c r="FW85" i="1"/>
  <c r="EE85" i="1"/>
  <c r="ER85" i="1"/>
  <c r="FQ85" i="1"/>
  <c r="FO85" i="1"/>
  <c r="EL85" i="1"/>
  <c r="FP85" i="1"/>
  <c r="DS85" i="1"/>
  <c r="DT85" i="1"/>
  <c r="EW85" i="1"/>
  <c r="FD85" i="1"/>
  <c r="CO85" i="1"/>
  <c r="M85" i="1" s="1"/>
  <c r="DQ85" i="1"/>
  <c r="EX85" i="1"/>
  <c r="FC85" i="1"/>
  <c r="FV85" i="1"/>
  <c r="CO53" i="1"/>
  <c r="M53" i="1" s="1"/>
  <c r="EK53" i="1"/>
  <c r="EK71" i="1" s="1"/>
  <c r="EW53" i="1"/>
  <c r="EW71" i="1" s="1"/>
  <c r="FJ53" i="1"/>
  <c r="FJ71" i="1" s="1"/>
  <c r="FV53" i="1"/>
  <c r="FV71" i="1" s="1"/>
  <c r="DQ53" i="1"/>
  <c r="EL53" i="1"/>
  <c r="EL71" i="1" s="1"/>
  <c r="DT53" i="1"/>
  <c r="EX53" i="1"/>
  <c r="EX71" i="1" s="1"/>
  <c r="FP53" i="1"/>
  <c r="FP71" i="1" s="1"/>
  <c r="FO53" i="1"/>
  <c r="FO71" i="1" s="1"/>
  <c r="EQ53" i="1"/>
  <c r="EQ71" i="1" s="1"/>
  <c r="FQ53" i="1"/>
  <c r="FQ71" i="1" s="1"/>
  <c r="ER53" i="1"/>
  <c r="ER71" i="1" s="1"/>
  <c r="DS53" i="1"/>
  <c r="FW53" i="1"/>
  <c r="FW71" i="1" s="1"/>
  <c r="FD53" i="1"/>
  <c r="FD71" i="1" s="1"/>
  <c r="FC53" i="1"/>
  <c r="FI53" i="1"/>
  <c r="FI71" i="1" s="1"/>
  <c r="EE53" i="1"/>
  <c r="EE71" i="1" s="1"/>
  <c r="EF53" i="1"/>
  <c r="EF71" i="1" s="1"/>
  <c r="EE96" i="1"/>
  <c r="EE97" i="1" s="1"/>
  <c r="EE98" i="1" s="1"/>
  <c r="EE99" i="1" s="1"/>
  <c r="EE100" i="1" s="1"/>
  <c r="CO96" i="1"/>
  <c r="M96" i="1" s="1"/>
  <c r="FP57" i="1"/>
  <c r="FP58" i="1" s="1"/>
  <c r="EQ57" i="1"/>
  <c r="EQ58" i="1" s="1"/>
  <c r="FQ57" i="1"/>
  <c r="FQ58" i="1" s="1"/>
  <c r="EV57" i="1"/>
  <c r="ER57" i="1"/>
  <c r="ER58" i="1" s="1"/>
  <c r="DI57" i="1"/>
  <c r="FH57" i="1"/>
  <c r="EW57" i="1"/>
  <c r="EW58" i="1" s="1"/>
  <c r="FB57" i="1"/>
  <c r="EX57" i="1"/>
  <c r="EX58" i="1" s="1"/>
  <c r="FU57" i="1"/>
  <c r="FI57" i="1"/>
  <c r="FI58" i="1" s="1"/>
  <c r="EJ57" i="1"/>
  <c r="EJ58" i="1" s="1"/>
  <c r="FV57" i="1"/>
  <c r="FV58" i="1" s="1"/>
  <c r="ED57" i="1"/>
  <c r="ED58" i="1" s="1"/>
  <c r="FC57" i="1"/>
  <c r="FC58" i="1" s="1"/>
  <c r="EK57" i="1"/>
  <c r="EK58" i="1" s="1"/>
  <c r="FW57" i="1"/>
  <c r="FW58" i="1" s="1"/>
  <c r="FJ57" i="1"/>
  <c r="FJ58" i="1" s="1"/>
  <c r="EE57" i="1"/>
  <c r="EE58" i="1" s="1"/>
  <c r="FN57" i="1"/>
  <c r="EL57" i="1"/>
  <c r="EL58" i="1" s="1"/>
  <c r="FD57" i="1"/>
  <c r="FD58" i="1" s="1"/>
  <c r="EF57" i="1"/>
  <c r="EF58" i="1" s="1"/>
  <c r="FO57" i="1"/>
  <c r="FO58" i="1" s="1"/>
  <c r="EP57" i="1"/>
  <c r="DP57" i="1"/>
  <c r="DQ57" i="1"/>
  <c r="DR57" i="1"/>
  <c r="DS57" i="1"/>
  <c r="DT57" i="1"/>
  <c r="DU57" i="1"/>
  <c r="FN239" i="1"/>
  <c r="FD239" i="1"/>
  <c r="EL239" i="1"/>
  <c r="FP239" i="1"/>
  <c r="EV239" i="1"/>
  <c r="FQ239" i="1"/>
  <c r="EW239" i="1"/>
  <c r="FU239" i="1"/>
  <c r="EX239" i="1"/>
  <c r="DT239" i="1"/>
  <c r="FV239" i="1"/>
  <c r="EE239" i="1"/>
  <c r="DP239" i="1"/>
  <c r="FW239" i="1"/>
  <c r="EF239" i="1"/>
  <c r="DQ239" i="1"/>
  <c r="FO239" i="1"/>
  <c r="EP239" i="1"/>
  <c r="DR239" i="1"/>
  <c r="FH239" i="1"/>
  <c r="ED239" i="1"/>
  <c r="DS239" i="1"/>
  <c r="FI239" i="1"/>
  <c r="EQ239" i="1"/>
  <c r="FJ239" i="1"/>
  <c r="EJ239" i="1"/>
  <c r="FB239" i="1"/>
  <c r="ER239" i="1"/>
  <c r="FC239" i="1"/>
  <c r="EK239" i="1"/>
  <c r="CO229" i="1"/>
  <c r="M229" i="1" s="1"/>
  <c r="DJ26" i="1"/>
  <c r="DK26" i="1" s="1"/>
  <c r="CY57" i="1"/>
  <c r="N57" i="1" s="1"/>
  <c r="CY229" i="1"/>
  <c r="N229" i="1" s="1"/>
  <c r="CY239" i="1"/>
  <c r="N239" i="1" s="1"/>
  <c r="CY251" i="1"/>
  <c r="N251" i="1" s="1"/>
  <c r="CY185" i="1"/>
  <c r="N185" i="1" s="1"/>
  <c r="FJ52" i="1"/>
  <c r="DS52" i="1"/>
  <c r="CO52" i="1"/>
  <c r="M52" i="1" s="1"/>
  <c r="FO52" i="1"/>
  <c r="FV52" i="1"/>
  <c r="EF52" i="1"/>
  <c r="FD52" i="1"/>
  <c r="EK52" i="1"/>
  <c r="EE52" i="1"/>
  <c r="EX52" i="1"/>
  <c r="DT52" i="1"/>
  <c r="FI52" i="1"/>
  <c r="FC52" i="1"/>
  <c r="DQ52" i="1"/>
  <c r="EW52" i="1"/>
  <c r="ER52" i="1"/>
  <c r="FW52" i="1"/>
  <c r="FQ52" i="1"/>
  <c r="EQ52" i="1"/>
  <c r="FP52" i="1"/>
  <c r="EL52" i="1"/>
  <c r="FO227" i="1"/>
  <c r="EW227" i="1"/>
  <c r="EF227" i="1"/>
  <c r="FJ227" i="1"/>
  <c r="FC227" i="1"/>
  <c r="FD227" i="1"/>
  <c r="EQ227" i="1"/>
  <c r="FQ227" i="1"/>
  <c r="FN227" i="1"/>
  <c r="DR227" i="1"/>
  <c r="EK227" i="1"/>
  <c r="ED227" i="1"/>
  <c r="DT227" i="1"/>
  <c r="FH227" i="1"/>
  <c r="FV227" i="1"/>
  <c r="EJ227" i="1"/>
  <c r="DQ227" i="1"/>
  <c r="FP227" i="1"/>
  <c r="EP227" i="1"/>
  <c r="EO227" i="1" s="1"/>
  <c r="FI227" i="1"/>
  <c r="FB227" i="1"/>
  <c r="EL227" i="1"/>
  <c r="FU227" i="1"/>
  <c r="EV227" i="1"/>
  <c r="FW227" i="1"/>
  <c r="DP227" i="1"/>
  <c r="EX227" i="1"/>
  <c r="ER227" i="1"/>
  <c r="EE227" i="1"/>
  <c r="DS227" i="1"/>
  <c r="FQ240" i="1"/>
  <c r="ED240" i="1"/>
  <c r="DT240" i="1"/>
  <c r="FP240" i="1"/>
  <c r="EE240" i="1"/>
  <c r="DS240" i="1"/>
  <c r="FU240" i="1"/>
  <c r="EF240" i="1"/>
  <c r="FH240" i="1"/>
  <c r="EP240" i="1"/>
  <c r="FI240" i="1"/>
  <c r="EQ240" i="1"/>
  <c r="FJ240" i="1"/>
  <c r="EJ240" i="1"/>
  <c r="FB240" i="1"/>
  <c r="ER240" i="1"/>
  <c r="FC240" i="1"/>
  <c r="EK240" i="1"/>
  <c r="FV240" i="1"/>
  <c r="FD240" i="1"/>
  <c r="EL240" i="1"/>
  <c r="FW240" i="1"/>
  <c r="EV240" i="1"/>
  <c r="DP240" i="1"/>
  <c r="FN240" i="1"/>
  <c r="EW240" i="1"/>
  <c r="DQ240" i="1"/>
  <c r="FO240" i="1"/>
  <c r="EX240" i="1"/>
  <c r="DR240" i="1"/>
  <c r="FB49" i="1"/>
  <c r="ED49" i="1"/>
  <c r="FV49" i="1"/>
  <c r="EV49" i="1"/>
  <c r="DT49" i="1"/>
  <c r="FP49" i="1"/>
  <c r="EQ49" i="1"/>
  <c r="CO49" i="1"/>
  <c r="M49" i="1" s="1"/>
  <c r="FQ49" i="1"/>
  <c r="ER49" i="1"/>
  <c r="DP49" i="1"/>
  <c r="FJ49" i="1"/>
  <c r="DQ49" i="1"/>
  <c r="DU49" i="1"/>
  <c r="DR49" i="1"/>
  <c r="EP49" i="1"/>
  <c r="DS49" i="1"/>
  <c r="EW49" i="1"/>
  <c r="EX49" i="1"/>
  <c r="FU49" i="1"/>
  <c r="EJ49" i="1"/>
  <c r="FW49" i="1"/>
  <c r="EE49" i="1"/>
  <c r="FN49" i="1"/>
  <c r="EL49" i="1"/>
  <c r="FI49" i="1"/>
  <c r="EK49" i="1"/>
  <c r="EF49" i="1"/>
  <c r="FH49" i="1"/>
  <c r="FO49" i="1"/>
  <c r="FC49" i="1"/>
  <c r="FD49" i="1"/>
  <c r="DI49" i="1"/>
  <c r="FW232" i="1"/>
  <c r="EX232" i="1"/>
  <c r="FQ232" i="1"/>
  <c r="EQ232" i="1"/>
  <c r="FJ232" i="1"/>
  <c r="EJ232" i="1"/>
  <c r="DT232" i="1"/>
  <c r="FV232" i="1"/>
  <c r="EW232" i="1"/>
  <c r="FO232" i="1"/>
  <c r="EL232" i="1"/>
  <c r="FI232" i="1"/>
  <c r="FB232" i="1"/>
  <c r="DP232" i="1"/>
  <c r="FC232" i="1"/>
  <c r="DI232" i="1"/>
  <c r="DQ232" i="1"/>
  <c r="FD232" i="1"/>
  <c r="DR232" i="1"/>
  <c r="EV232" i="1"/>
  <c r="DU232" i="1"/>
  <c r="ED232" i="1"/>
  <c r="DS232" i="1"/>
  <c r="EE232" i="1"/>
  <c r="FP232" i="1"/>
  <c r="EF232" i="1"/>
  <c r="FU232" i="1"/>
  <c r="EP232" i="1"/>
  <c r="FN232" i="1"/>
  <c r="ER232" i="1"/>
  <c r="FH232" i="1"/>
  <c r="EK232" i="1"/>
  <c r="CO297" i="1"/>
  <c r="M297" i="1" s="1"/>
  <c r="CR304" i="1"/>
  <c r="CY23" i="1"/>
  <c r="N23" i="1" s="1"/>
  <c r="ER23" i="1"/>
  <c r="EW23" i="1"/>
  <c r="DT23" i="1"/>
  <c r="FV23" i="1"/>
  <c r="EX23" i="1"/>
  <c r="FJ23" i="1"/>
  <c r="EF23" i="1"/>
  <c r="DU23" i="1"/>
  <c r="FW23" i="1"/>
  <c r="FI23" i="1"/>
  <c r="EE23" i="1"/>
  <c r="DS23" i="1"/>
  <c r="CO23" i="1"/>
  <c r="M23" i="1" s="1"/>
  <c r="EL23" i="1"/>
  <c r="FO23" i="1"/>
  <c r="EK23" i="1"/>
  <c r="FD23" i="1"/>
  <c r="FP23" i="1"/>
  <c r="FQ23" i="1"/>
  <c r="EQ23" i="1"/>
  <c r="DQ23" i="1"/>
  <c r="FC23" i="1"/>
  <c r="DI23" i="1"/>
  <c r="DX177" i="1"/>
  <c r="DI177" i="1"/>
  <c r="CY177" i="1"/>
  <c r="CO177" i="1"/>
  <c r="M177" i="1" s="1"/>
  <c r="BY112" i="1"/>
  <c r="BU112" i="1"/>
  <c r="I112" i="1"/>
  <c r="J112" i="1"/>
  <c r="DJ160" i="1"/>
  <c r="DK160" i="1" s="1"/>
  <c r="DZ165" i="1"/>
  <c r="DX165" i="1"/>
  <c r="CY165" i="1"/>
  <c r="DI165" i="1"/>
  <c r="CO165" i="1"/>
  <c r="M165" i="1" s="1"/>
  <c r="CY68" i="1"/>
  <c r="N68" i="1" s="1"/>
  <c r="FQ68" i="1"/>
  <c r="EP68" i="1"/>
  <c r="FB68" i="1"/>
  <c r="EQ68" i="1"/>
  <c r="FC68" i="1"/>
  <c r="ER68" i="1"/>
  <c r="DQ68" i="1"/>
  <c r="FH68" i="1"/>
  <c r="EJ68" i="1"/>
  <c r="FD68" i="1"/>
  <c r="EK68" i="1"/>
  <c r="DS68" i="1"/>
  <c r="FI68" i="1"/>
  <c r="EL68" i="1"/>
  <c r="FV68" i="1"/>
  <c r="FJ68" i="1"/>
  <c r="ED68" i="1"/>
  <c r="DI68" i="1"/>
  <c r="DU68" i="1"/>
  <c r="FU68" i="1"/>
  <c r="EV68" i="1"/>
  <c r="DP68" i="1"/>
  <c r="FN68" i="1"/>
  <c r="EW68" i="1"/>
  <c r="FW68" i="1"/>
  <c r="EX68" i="1"/>
  <c r="CO68" i="1"/>
  <c r="M68" i="1" s="1"/>
  <c r="FO68" i="1"/>
  <c r="EF68" i="1"/>
  <c r="EE68" i="1"/>
  <c r="DR68" i="1"/>
  <c r="DT68" i="1"/>
  <c r="FP68" i="1"/>
  <c r="CO201" i="1"/>
  <c r="M201" i="1" s="1"/>
  <c r="CY201" i="1"/>
  <c r="N201" i="1" s="1"/>
  <c r="DI201" i="1"/>
  <c r="CY65" i="1"/>
  <c r="N65" i="1" s="1"/>
  <c r="FU65" i="1"/>
  <c r="FW65" i="1"/>
  <c r="FJ65" i="1"/>
  <c r="EX65" i="1"/>
  <c r="EQ65" i="1"/>
  <c r="DT65" i="1"/>
  <c r="DI65" i="1"/>
  <c r="FO65" i="1"/>
  <c r="FN65" i="1"/>
  <c r="EE65" i="1"/>
  <c r="EK65" i="1"/>
  <c r="DU65" i="1"/>
  <c r="FB65" i="1"/>
  <c r="DR65" i="1"/>
  <c r="FP65" i="1"/>
  <c r="FC65" i="1"/>
  <c r="EF65" i="1"/>
  <c r="ER65" i="1"/>
  <c r="CO65" i="1"/>
  <c r="M65" i="1" s="1"/>
  <c r="FQ65" i="1"/>
  <c r="DP65" i="1"/>
  <c r="FD65" i="1"/>
  <c r="ED65" i="1"/>
  <c r="EL65" i="1"/>
  <c r="DS65" i="1"/>
  <c r="FV65" i="1"/>
  <c r="DQ65" i="1"/>
  <c r="EV65" i="1"/>
  <c r="EP65" i="1"/>
  <c r="FH65" i="1"/>
  <c r="FI65" i="1"/>
  <c r="EJ65" i="1"/>
  <c r="EW65" i="1"/>
  <c r="CY220" i="1"/>
  <c r="N220" i="1" s="1"/>
  <c r="FO220" i="1"/>
  <c r="EX220" i="1"/>
  <c r="DP220" i="1"/>
  <c r="FQ220" i="1"/>
  <c r="FD220" i="1"/>
  <c r="DT220" i="1"/>
  <c r="FW220" i="1"/>
  <c r="EK220" i="1"/>
  <c r="DQ220" i="1"/>
  <c r="FH220" i="1"/>
  <c r="EL220" i="1"/>
  <c r="FI220" i="1"/>
  <c r="EJ220" i="1"/>
  <c r="FN220" i="1"/>
  <c r="EP220" i="1"/>
  <c r="FJ220" i="1"/>
  <c r="ED220" i="1"/>
  <c r="FP220" i="1"/>
  <c r="EQ220" i="1"/>
  <c r="DR220" i="1"/>
  <c r="EV220" i="1"/>
  <c r="EE220" i="1"/>
  <c r="DI220" i="1"/>
  <c r="FB220" i="1"/>
  <c r="ER220" i="1"/>
  <c r="DS220" i="1"/>
  <c r="FV220" i="1"/>
  <c r="EW220" i="1"/>
  <c r="EF220" i="1"/>
  <c r="CO220" i="1"/>
  <c r="M220" i="1" s="1"/>
  <c r="DU220" i="1"/>
  <c r="FU220" i="1"/>
  <c r="FC220" i="1"/>
  <c r="BN309" i="1"/>
  <c r="BK310" i="1"/>
  <c r="DJ252" i="1"/>
  <c r="DK252" i="1" s="1"/>
  <c r="DU252" i="1"/>
  <c r="DI252" i="1"/>
  <c r="DJ195" i="1"/>
  <c r="DK195" i="1" s="1"/>
  <c r="CR177" i="1"/>
  <c r="DJ177" i="1"/>
  <c r="DK177" i="1" s="1"/>
  <c r="DZ177" i="1" s="1"/>
  <c r="FP160" i="1"/>
  <c r="L25" i="1"/>
  <c r="CR25" i="1"/>
  <c r="CQ25" i="1"/>
  <c r="CN25" i="1"/>
  <c r="CP25" i="1"/>
  <c r="CZ25" i="1" s="1"/>
  <c r="K25" i="1"/>
  <c r="BN84" i="1"/>
  <c r="BK85" i="1"/>
  <c r="CY55" i="1"/>
  <c r="N55" i="1" s="1"/>
  <c r="FO55" i="1"/>
  <c r="EE55" i="1"/>
  <c r="DT55" i="1"/>
  <c r="FH55" i="1"/>
  <c r="EL55" i="1"/>
  <c r="DQ55" i="1"/>
  <c r="FI55" i="1"/>
  <c r="EF55" i="1"/>
  <c r="DS55" i="1"/>
  <c r="FP55" i="1"/>
  <c r="EP55" i="1"/>
  <c r="DP55" i="1"/>
  <c r="FJ55" i="1"/>
  <c r="EQ55" i="1"/>
  <c r="CO55" i="1"/>
  <c r="M55" i="1" s="1"/>
  <c r="FB55" i="1"/>
  <c r="ER55" i="1"/>
  <c r="FC55" i="1"/>
  <c r="ED55" i="1"/>
  <c r="FV55" i="1"/>
  <c r="FD55" i="1"/>
  <c r="EJ55" i="1"/>
  <c r="FU55" i="1"/>
  <c r="EV55" i="1"/>
  <c r="FQ55" i="1"/>
  <c r="EW55" i="1"/>
  <c r="DR55" i="1"/>
  <c r="FW55" i="1"/>
  <c r="EX55" i="1"/>
  <c r="DI55" i="1"/>
  <c r="DU55" i="1"/>
  <c r="FN55" i="1"/>
  <c r="EK55" i="1"/>
  <c r="CY95" i="1"/>
  <c r="N95" i="1" s="1"/>
  <c r="EE95" i="1"/>
  <c r="EQ95" i="1"/>
  <c r="EP95" i="1"/>
  <c r="EX95" i="1"/>
  <c r="FC95" i="1"/>
  <c r="FV95" i="1"/>
  <c r="DP95" i="1"/>
  <c r="FO95" i="1"/>
  <c r="FP95" i="1"/>
  <c r="DR95" i="1"/>
  <c r="FQ95" i="1"/>
  <c r="DQ95" i="1"/>
  <c r="FD95" i="1"/>
  <c r="DT95" i="1"/>
  <c r="FW95" i="1"/>
  <c r="FU95" i="1"/>
  <c r="FJ95" i="1"/>
  <c r="EV95" i="1"/>
  <c r="FI95" i="1"/>
  <c r="EJ95" i="1"/>
  <c r="EK95" i="1"/>
  <c r="FB95" i="1"/>
  <c r="EL95" i="1"/>
  <c r="ED95" i="1"/>
  <c r="DS95" i="1"/>
  <c r="EF95" i="1"/>
  <c r="FN95" i="1"/>
  <c r="FH95" i="1"/>
  <c r="ER95" i="1"/>
  <c r="EW95" i="1"/>
  <c r="CB218" i="1"/>
  <c r="CY261" i="1"/>
  <c r="N261" i="1" s="1"/>
  <c r="CO261" i="1"/>
  <c r="M261" i="1" s="1"/>
  <c r="EV261" i="1"/>
  <c r="FW261" i="1"/>
  <c r="EL261" i="1"/>
  <c r="EJ261" i="1"/>
  <c r="EK261" i="1"/>
  <c r="FI261" i="1"/>
  <c r="DP261" i="1"/>
  <c r="FN261" i="1"/>
  <c r="FJ261" i="1"/>
  <c r="FC261" i="1"/>
  <c r="FH261" i="1"/>
  <c r="EE261" i="1"/>
  <c r="EQ261" i="1"/>
  <c r="ED261" i="1"/>
  <c r="ER261" i="1"/>
  <c r="FV261" i="1"/>
  <c r="DT261" i="1"/>
  <c r="EP261" i="1"/>
  <c r="EF261" i="1"/>
  <c r="FB261" i="1"/>
  <c r="DS261" i="1"/>
  <c r="FU261" i="1"/>
  <c r="FO261" i="1"/>
  <c r="FD261" i="1"/>
  <c r="DI261" i="1"/>
  <c r="EX261" i="1"/>
  <c r="EW261" i="1"/>
  <c r="FP261" i="1"/>
  <c r="DU261" i="1"/>
  <c r="DQ261" i="1"/>
  <c r="DR261" i="1"/>
  <c r="FQ261" i="1"/>
  <c r="CY286" i="1"/>
  <c r="N286" i="1" s="1"/>
  <c r="FP286" i="1"/>
  <c r="FP288" i="1" s="1"/>
  <c r="FB286" i="1"/>
  <c r="ED286" i="1"/>
  <c r="ED288" i="1" s="1"/>
  <c r="DI286" i="1"/>
  <c r="FQ286" i="1"/>
  <c r="FQ288" i="1" s="1"/>
  <c r="EX286" i="1"/>
  <c r="EX288" i="1" s="1"/>
  <c r="DU286" i="1"/>
  <c r="DU288" i="1" s="1"/>
  <c r="EE286" i="1"/>
  <c r="EE288" i="1" s="1"/>
  <c r="FU286" i="1"/>
  <c r="FH286" i="1"/>
  <c r="FC286" i="1"/>
  <c r="FC288" i="1" s="1"/>
  <c r="DQ286" i="1"/>
  <c r="DQ288" i="1" s="1"/>
  <c r="FN286" i="1"/>
  <c r="FI286" i="1"/>
  <c r="FI288" i="1" s="1"/>
  <c r="EF286" i="1"/>
  <c r="EF288" i="1" s="1"/>
  <c r="CO286" i="1"/>
  <c r="M286" i="1" s="1"/>
  <c r="FV286" i="1"/>
  <c r="FV288" i="1" s="1"/>
  <c r="FD286" i="1"/>
  <c r="FD288" i="1" s="1"/>
  <c r="DR286" i="1"/>
  <c r="DR288" i="1" s="1"/>
  <c r="FJ286" i="1"/>
  <c r="FJ288" i="1" s="1"/>
  <c r="EJ286" i="1"/>
  <c r="EJ288" i="1" s="1"/>
  <c r="FO286" i="1"/>
  <c r="FO288" i="1" s="1"/>
  <c r="EP286" i="1"/>
  <c r="EP288" i="1" s="1"/>
  <c r="DP286" i="1"/>
  <c r="EV286" i="1"/>
  <c r="EK286" i="1"/>
  <c r="EK288" i="1" s="1"/>
  <c r="DS286" i="1"/>
  <c r="DS288" i="1" s="1"/>
  <c r="FW286" i="1"/>
  <c r="FW288" i="1" s="1"/>
  <c r="EQ286" i="1"/>
  <c r="EQ288" i="1" s="1"/>
  <c r="EW286" i="1"/>
  <c r="EW288" i="1" s="1"/>
  <c r="ER286" i="1"/>
  <c r="ER288" i="1" s="1"/>
  <c r="EL286" i="1"/>
  <c r="EL288" i="1" s="1"/>
  <c r="DT286" i="1"/>
  <c r="DT288" i="1" s="1"/>
  <c r="CY21" i="1"/>
  <c r="N21" i="1" s="1"/>
  <c r="EW21" i="1"/>
  <c r="DQ21" i="1"/>
  <c r="EL21" i="1"/>
  <c r="ED21" i="1"/>
  <c r="DS21" i="1"/>
  <c r="EX21" i="1"/>
  <c r="DP21" i="1"/>
  <c r="DU21" i="1"/>
  <c r="EQ21" i="1"/>
  <c r="FU21" i="1"/>
  <c r="EP21" i="1"/>
  <c r="DR21" i="1"/>
  <c r="FD21" i="1"/>
  <c r="FQ21" i="1"/>
  <c r="FW21" i="1"/>
  <c r="EF21" i="1"/>
  <c r="CO21" i="1"/>
  <c r="M21" i="1" s="1"/>
  <c r="FB21" i="1"/>
  <c r="FH21" i="1"/>
  <c r="DT21" i="1"/>
  <c r="FN21" i="1"/>
  <c r="ER21" i="1"/>
  <c r="EK21" i="1"/>
  <c r="FP21" i="1"/>
  <c r="FV21" i="1"/>
  <c r="EJ21" i="1"/>
  <c r="EE21" i="1"/>
  <c r="FC21" i="1"/>
  <c r="FO21" i="1"/>
  <c r="EV21" i="1"/>
  <c r="FI21" i="1"/>
  <c r="DI21" i="1"/>
  <c r="FJ21" i="1"/>
  <c r="CY259" i="1"/>
  <c r="N259" i="1" s="1"/>
  <c r="FW259" i="1"/>
  <c r="EF259" i="1"/>
  <c r="FN259" i="1"/>
  <c r="EQ259" i="1"/>
  <c r="FJ259" i="1"/>
  <c r="EJ259" i="1"/>
  <c r="FQ259" i="1"/>
  <c r="EP259" i="1"/>
  <c r="FD259" i="1"/>
  <c r="EL259" i="1"/>
  <c r="FU259" i="1"/>
  <c r="FB259" i="1"/>
  <c r="ER259" i="1"/>
  <c r="EV259" i="1"/>
  <c r="FC259" i="1"/>
  <c r="EK259" i="1"/>
  <c r="ED259" i="1"/>
  <c r="DU259" i="1"/>
  <c r="CO259" i="1"/>
  <c r="M259" i="1" s="1"/>
  <c r="FP259" i="1"/>
  <c r="EE259" i="1"/>
  <c r="DQ259" i="1"/>
  <c r="FV259" i="1"/>
  <c r="DI259" i="1"/>
  <c r="DP259" i="1"/>
  <c r="FH259" i="1"/>
  <c r="DR259" i="1"/>
  <c r="FI259" i="1"/>
  <c r="DS259" i="1"/>
  <c r="FO259" i="1"/>
  <c r="DT259" i="1"/>
  <c r="EW259" i="1"/>
  <c r="EX259" i="1"/>
  <c r="EQ168" i="1"/>
  <c r="FD168" i="1"/>
  <c r="DU168" i="1"/>
  <c r="FU168" i="1"/>
  <c r="DI168" i="1"/>
  <c r="ER168" i="1"/>
  <c r="FH168" i="1"/>
  <c r="FV168" i="1"/>
  <c r="CY168" i="1"/>
  <c r="N168" i="1" s="1"/>
  <c r="ED168" i="1"/>
  <c r="FI168" i="1"/>
  <c r="EE168" i="1"/>
  <c r="EV168" i="1"/>
  <c r="FW168" i="1"/>
  <c r="DP168" i="1"/>
  <c r="EF168" i="1"/>
  <c r="EW168" i="1"/>
  <c r="FJ168" i="1"/>
  <c r="DQ168" i="1"/>
  <c r="DR168" i="1"/>
  <c r="EJ168" i="1"/>
  <c r="EX168" i="1"/>
  <c r="FN168" i="1"/>
  <c r="CO168" i="1"/>
  <c r="M168" i="1" s="1"/>
  <c r="DS168" i="1"/>
  <c r="EK168" i="1"/>
  <c r="FO168" i="1"/>
  <c r="EL168" i="1"/>
  <c r="FB168" i="1"/>
  <c r="FP168" i="1"/>
  <c r="DT168" i="1"/>
  <c r="FC168" i="1"/>
  <c r="EP168" i="1"/>
  <c r="FQ168" i="1"/>
  <c r="CY60" i="1"/>
  <c r="N60" i="1" s="1"/>
  <c r="FB60" i="1"/>
  <c r="EF60" i="1"/>
  <c r="FC60" i="1"/>
  <c r="FP60" i="1"/>
  <c r="FD60" i="1"/>
  <c r="EP60" i="1"/>
  <c r="DI60" i="1"/>
  <c r="FI60" i="1"/>
  <c r="EQ60" i="1"/>
  <c r="DP60" i="1"/>
  <c r="FV60" i="1"/>
  <c r="EW60" i="1"/>
  <c r="DR60" i="1"/>
  <c r="FW60" i="1"/>
  <c r="EX60" i="1"/>
  <c r="DS60" i="1"/>
  <c r="FO60" i="1"/>
  <c r="ED60" i="1"/>
  <c r="DU60" i="1"/>
  <c r="FQ60" i="1"/>
  <c r="EL60" i="1"/>
  <c r="EJ60" i="1"/>
  <c r="ER60" i="1"/>
  <c r="FU60" i="1"/>
  <c r="FN60" i="1"/>
  <c r="FJ60" i="1"/>
  <c r="DQ60" i="1"/>
  <c r="FH60" i="1"/>
  <c r="DT60" i="1"/>
  <c r="EV60" i="1"/>
  <c r="EK60" i="1"/>
  <c r="CO60" i="1"/>
  <c r="M60" i="1" s="1"/>
  <c r="EE60" i="1"/>
  <c r="CY271" i="1"/>
  <c r="N271" i="1" s="1"/>
  <c r="FO271" i="1"/>
  <c r="FD271" i="1"/>
  <c r="DU271" i="1"/>
  <c r="DT271" i="1"/>
  <c r="CO271" i="1"/>
  <c r="M271" i="1" s="1"/>
  <c r="FP271" i="1"/>
  <c r="EP271" i="1"/>
  <c r="DI271" i="1"/>
  <c r="FQ271" i="1"/>
  <c r="EQ271" i="1"/>
  <c r="FN271" i="1"/>
  <c r="ER271" i="1"/>
  <c r="FH271" i="1"/>
  <c r="EJ271" i="1"/>
  <c r="FI271" i="1"/>
  <c r="EK271" i="1"/>
  <c r="FJ271" i="1"/>
  <c r="EL271" i="1"/>
  <c r="DR271" i="1"/>
  <c r="EV271" i="1"/>
  <c r="ED271" i="1"/>
  <c r="EW271" i="1"/>
  <c r="EE271" i="1"/>
  <c r="FU271" i="1"/>
  <c r="EX271" i="1"/>
  <c r="EF271" i="1"/>
  <c r="DS271" i="1"/>
  <c r="FV271" i="1"/>
  <c r="FB271" i="1"/>
  <c r="DP271" i="1"/>
  <c r="DQ271" i="1"/>
  <c r="FW271" i="1"/>
  <c r="FC271" i="1"/>
  <c r="FP146" i="1"/>
  <c r="FB146" i="1"/>
  <c r="DS146" i="1"/>
  <c r="FN146" i="1"/>
  <c r="EK146" i="1"/>
  <c r="DQ146" i="1"/>
  <c r="FW146" i="1"/>
  <c r="EX146" i="1"/>
  <c r="EJ146" i="1"/>
  <c r="DP146" i="1"/>
  <c r="CO146" i="1"/>
  <c r="M146" i="1" s="1"/>
  <c r="CY146" i="1"/>
  <c r="N146" i="1" s="1"/>
  <c r="FU146" i="1"/>
  <c r="FJ146" i="1"/>
  <c r="EV146" i="1"/>
  <c r="EF146" i="1"/>
  <c r="FI146" i="1"/>
  <c r="EE146" i="1"/>
  <c r="DI146" i="1"/>
  <c r="FH146" i="1"/>
  <c r="ED146" i="1"/>
  <c r="EQ146" i="1"/>
  <c r="FQ146" i="1"/>
  <c r="FC146" i="1"/>
  <c r="DT146" i="1"/>
  <c r="FD146" i="1"/>
  <c r="EW146" i="1"/>
  <c r="ER146" i="1"/>
  <c r="EP146" i="1"/>
  <c r="EL146" i="1"/>
  <c r="FV146" i="1"/>
  <c r="DU146" i="1"/>
  <c r="FO146" i="1"/>
  <c r="DR146" i="1"/>
  <c r="DJ225" i="1"/>
  <c r="DK225" i="1" s="1"/>
  <c r="DI225" i="1"/>
  <c r="DU225" i="1"/>
  <c r="BK246" i="1"/>
  <c r="BN245" i="1"/>
  <c r="DX245" i="1" s="1"/>
  <c r="AN23" i="1"/>
  <c r="AO23" i="1" s="1"/>
  <c r="AO22" i="1"/>
  <c r="CY308" i="1"/>
  <c r="N308" i="1" s="1"/>
  <c r="FW308" i="1"/>
  <c r="FI308" i="1"/>
  <c r="FN308" i="1"/>
  <c r="EP308" i="1"/>
  <c r="DQ308" i="1"/>
  <c r="FO308" i="1"/>
  <c r="EQ308" i="1"/>
  <c r="DI308" i="1"/>
  <c r="FJ308" i="1"/>
  <c r="EJ308" i="1"/>
  <c r="DR308" i="1"/>
  <c r="FP308" i="1"/>
  <c r="ER308" i="1"/>
  <c r="DP308" i="1"/>
  <c r="FH308" i="1"/>
  <c r="EK308" i="1"/>
  <c r="CO308" i="1"/>
  <c r="M308" i="1" s="1"/>
  <c r="EV308" i="1"/>
  <c r="EL308" i="1"/>
  <c r="DU308" i="1"/>
  <c r="EW308" i="1"/>
  <c r="ED308" i="1"/>
  <c r="DT308" i="1"/>
  <c r="EX308" i="1"/>
  <c r="EE308" i="1"/>
  <c r="DS308" i="1"/>
  <c r="FQ308" i="1"/>
  <c r="FB308" i="1"/>
  <c r="EF308" i="1"/>
  <c r="FU308" i="1"/>
  <c r="FC308" i="1"/>
  <c r="FV308" i="1"/>
  <c r="FD308" i="1"/>
  <c r="CP130" i="1"/>
  <c r="CO274" i="1"/>
  <c r="M274" i="1" s="1"/>
  <c r="DZ274" i="1"/>
  <c r="DX274" i="1"/>
  <c r="CY274" i="1"/>
  <c r="N274" i="1" s="1"/>
  <c r="DI274" i="1"/>
  <c r="FJ86" i="1"/>
  <c r="FO86" i="1"/>
  <c r="FW86" i="1"/>
  <c r="FQ86" i="1"/>
  <c r="FC86" i="1"/>
  <c r="EK86" i="1"/>
  <c r="ER86" i="1"/>
  <c r="EE86" i="1"/>
  <c r="DQ86" i="1"/>
  <c r="EL86" i="1"/>
  <c r="DT86" i="1"/>
  <c r="FI86" i="1"/>
  <c r="DS86" i="1"/>
  <c r="EQ86" i="1"/>
  <c r="FP86" i="1"/>
  <c r="EX86" i="1"/>
  <c r="EW86" i="1"/>
  <c r="FV86" i="1"/>
  <c r="EF86" i="1"/>
  <c r="CY86" i="1"/>
  <c r="FD86" i="1"/>
  <c r="CO86" i="1"/>
  <c r="M86" i="1" s="1"/>
  <c r="CY46" i="1"/>
  <c r="N46" i="1" s="1"/>
  <c r="FP46" i="1"/>
  <c r="EX46" i="1"/>
  <c r="DU46" i="1"/>
  <c r="FQ46" i="1"/>
  <c r="ER46" i="1"/>
  <c r="DI46" i="1"/>
  <c r="DQ46" i="1"/>
  <c r="FO46" i="1"/>
  <c r="FD46" i="1"/>
  <c r="DP46" i="1"/>
  <c r="FI46" i="1"/>
  <c r="EJ46" i="1"/>
  <c r="FB46" i="1"/>
  <c r="EK46" i="1"/>
  <c r="FC46" i="1"/>
  <c r="EF46" i="1"/>
  <c r="FV46" i="1"/>
  <c r="EP46" i="1"/>
  <c r="DR46" i="1"/>
  <c r="FW46" i="1"/>
  <c r="EW46" i="1"/>
  <c r="DS46" i="1"/>
  <c r="ED46" i="1"/>
  <c r="EE46" i="1"/>
  <c r="EL46" i="1"/>
  <c r="FU46" i="1"/>
  <c r="CO46" i="1"/>
  <c r="M46" i="1" s="1"/>
  <c r="FN46" i="1"/>
  <c r="FH46" i="1"/>
  <c r="FJ46" i="1"/>
  <c r="EV46" i="1"/>
  <c r="DT46" i="1"/>
  <c r="EQ46" i="1"/>
  <c r="CY206" i="1"/>
  <c r="N206" i="1" s="1"/>
  <c r="FW206" i="1"/>
  <c r="ED206" i="1"/>
  <c r="FD206" i="1"/>
  <c r="FN206" i="1"/>
  <c r="FO206" i="1"/>
  <c r="FQ206" i="1"/>
  <c r="FH206" i="1"/>
  <c r="FJ206" i="1"/>
  <c r="FB206" i="1"/>
  <c r="EV206" i="1"/>
  <c r="ER206" i="1"/>
  <c r="EX206" i="1"/>
  <c r="EE206" i="1"/>
  <c r="DP206" i="1"/>
  <c r="EJ206" i="1"/>
  <c r="DQ206" i="1"/>
  <c r="CO206" i="1"/>
  <c r="M206" i="1" s="1"/>
  <c r="EK206" i="1"/>
  <c r="DT206" i="1"/>
  <c r="EF206" i="1"/>
  <c r="FI206" i="1"/>
  <c r="FC206" i="1"/>
  <c r="FU206" i="1"/>
  <c r="EP206" i="1"/>
  <c r="DR206" i="1"/>
  <c r="DS206" i="1"/>
  <c r="EW206" i="1"/>
  <c r="EL206" i="1"/>
  <c r="FV206" i="1"/>
  <c r="EQ206" i="1"/>
  <c r="FP206" i="1"/>
  <c r="CY79" i="1"/>
  <c r="N79" i="1" s="1"/>
  <c r="FN79" i="1"/>
  <c r="EK79" i="1"/>
  <c r="DU79" i="1"/>
  <c r="FH79" i="1"/>
  <c r="EF79" i="1"/>
  <c r="DR79" i="1"/>
  <c r="FI79" i="1"/>
  <c r="EL79" i="1"/>
  <c r="DQ79" i="1"/>
  <c r="FO79" i="1"/>
  <c r="EE79" i="1"/>
  <c r="DI79" i="1"/>
  <c r="FJ79" i="1"/>
  <c r="EJ79" i="1"/>
  <c r="FB79" i="1"/>
  <c r="EP79" i="1"/>
  <c r="FQ79" i="1"/>
  <c r="EQ79" i="1"/>
  <c r="CO79" i="1"/>
  <c r="M79" i="1" s="1"/>
  <c r="FC79" i="1"/>
  <c r="ER79" i="1"/>
  <c r="FU79" i="1"/>
  <c r="FD79" i="1"/>
  <c r="ED79" i="1"/>
  <c r="FW79" i="1"/>
  <c r="EV79" i="1"/>
  <c r="DP79" i="1"/>
  <c r="FP79" i="1"/>
  <c r="EW79" i="1"/>
  <c r="DS79" i="1"/>
  <c r="FV79" i="1"/>
  <c r="EX79" i="1"/>
  <c r="DT79" i="1"/>
  <c r="AN90" i="1"/>
  <c r="AO90" i="1" s="1"/>
  <c r="AO89" i="1"/>
  <c r="CY93" i="1"/>
  <c r="N93" i="1" s="1"/>
  <c r="FC93" i="1"/>
  <c r="EW93" i="1"/>
  <c r="FW93" i="1"/>
  <c r="FD93" i="1"/>
  <c r="EP93" i="1"/>
  <c r="FV93" i="1"/>
  <c r="EX93" i="1"/>
  <c r="DI93" i="1"/>
  <c r="FU93" i="1"/>
  <c r="EV93" i="1"/>
  <c r="FN93" i="1"/>
  <c r="ER93" i="1"/>
  <c r="FO93" i="1"/>
  <c r="ED93" i="1"/>
  <c r="DQ93" i="1"/>
  <c r="FP93" i="1"/>
  <c r="EE93" i="1"/>
  <c r="DR93" i="1"/>
  <c r="FQ93" i="1"/>
  <c r="EQ93" i="1"/>
  <c r="DS93" i="1"/>
  <c r="FH93" i="1"/>
  <c r="EF93" i="1"/>
  <c r="DT93" i="1"/>
  <c r="FI93" i="1"/>
  <c r="EJ93" i="1"/>
  <c r="DU93" i="1"/>
  <c r="FJ93" i="1"/>
  <c r="EK93" i="1"/>
  <c r="DP93" i="1"/>
  <c r="CO93" i="1"/>
  <c r="M93" i="1" s="1"/>
  <c r="FB93" i="1"/>
  <c r="EL93" i="1"/>
  <c r="BN118" i="1"/>
  <c r="BK119" i="1"/>
  <c r="CY307" i="1"/>
  <c r="N307" i="1" s="1"/>
  <c r="FU307" i="1"/>
  <c r="FC307" i="1"/>
  <c r="EQ307" i="1"/>
  <c r="FV307" i="1"/>
  <c r="FD307" i="1"/>
  <c r="CO307" i="1"/>
  <c r="M307" i="1" s="1"/>
  <c r="FW307" i="1"/>
  <c r="EV307" i="1"/>
  <c r="DS307" i="1"/>
  <c r="FO307" i="1"/>
  <c r="ER307" i="1"/>
  <c r="DT307" i="1"/>
  <c r="FQ307" i="1"/>
  <c r="EK307" i="1"/>
  <c r="DQ307" i="1"/>
  <c r="FN307" i="1"/>
  <c r="EL307" i="1"/>
  <c r="DI307" i="1"/>
  <c r="FP307" i="1"/>
  <c r="ED307" i="1"/>
  <c r="DP307" i="1"/>
  <c r="FH307" i="1"/>
  <c r="EE307" i="1"/>
  <c r="DU307" i="1"/>
  <c r="FI307" i="1"/>
  <c r="EF307" i="1"/>
  <c r="DR307" i="1"/>
  <c r="FJ307" i="1"/>
  <c r="EJ307" i="1"/>
  <c r="EX307" i="1"/>
  <c r="EW307" i="1"/>
  <c r="FB307" i="1"/>
  <c r="EP307" i="1"/>
  <c r="BN239" i="1"/>
  <c r="BK240" i="1"/>
  <c r="EK83" i="1"/>
  <c r="FW83" i="1"/>
  <c r="FC83" i="1"/>
  <c r="EV83" i="1"/>
  <c r="EF83" i="1"/>
  <c r="FU83" i="1"/>
  <c r="FP83" i="1"/>
  <c r="EP83" i="1"/>
  <c r="EJ83" i="1"/>
  <c r="DT83" i="1"/>
  <c r="FI83" i="1"/>
  <c r="FO83" i="1"/>
  <c r="ER83" i="1"/>
  <c r="EL83" i="1"/>
  <c r="FV83" i="1"/>
  <c r="FH83" i="1"/>
  <c r="FQ83" i="1"/>
  <c r="FN83" i="1"/>
  <c r="FB83" i="1"/>
  <c r="EQ83" i="1"/>
  <c r="DP83" i="1"/>
  <c r="DS83" i="1"/>
  <c r="EX83" i="1"/>
  <c r="EE83" i="1"/>
  <c r="FJ83" i="1"/>
  <c r="EW83" i="1"/>
  <c r="ED83" i="1"/>
  <c r="DR83" i="1"/>
  <c r="DU83" i="1"/>
  <c r="DQ83" i="1"/>
  <c r="FD83" i="1"/>
  <c r="CY83" i="1"/>
  <c r="N83" i="1" s="1"/>
  <c r="DI83" i="1"/>
  <c r="CO83" i="1"/>
  <c r="M83" i="1" s="1"/>
  <c r="AN14" i="1"/>
  <c r="AO14" i="1" s="1"/>
  <c r="AO13" i="1"/>
  <c r="CY204" i="1"/>
  <c r="N204" i="1" s="1"/>
  <c r="FV204" i="1"/>
  <c r="EK204" i="1"/>
  <c r="DU204" i="1"/>
  <c r="FQ204" i="1"/>
  <c r="EL204" i="1"/>
  <c r="FI204" i="1"/>
  <c r="EP204" i="1"/>
  <c r="FJ204" i="1"/>
  <c r="ED204" i="1"/>
  <c r="FO204" i="1"/>
  <c r="EQ204" i="1"/>
  <c r="FH204" i="1"/>
  <c r="EE204" i="1"/>
  <c r="DR204" i="1"/>
  <c r="FB204" i="1"/>
  <c r="ER204" i="1"/>
  <c r="DS204" i="1"/>
  <c r="EV204" i="1"/>
  <c r="EF204" i="1"/>
  <c r="DP204" i="1"/>
  <c r="FU204" i="1"/>
  <c r="FC204" i="1"/>
  <c r="EJ204" i="1"/>
  <c r="DI204" i="1"/>
  <c r="FW204" i="1"/>
  <c r="EW204" i="1"/>
  <c r="CO204" i="1"/>
  <c r="M204" i="1" s="1"/>
  <c r="FN204" i="1"/>
  <c r="FD204" i="1"/>
  <c r="DQ204" i="1"/>
  <c r="DT204" i="1"/>
  <c r="FP204" i="1"/>
  <c r="EX204" i="1"/>
  <c r="CY118" i="1"/>
  <c r="N118" i="1" s="1"/>
  <c r="FI118" i="1"/>
  <c r="FC118" i="1"/>
  <c r="ER118" i="1"/>
  <c r="FQ118" i="1"/>
  <c r="FP118" i="1"/>
  <c r="EK118" i="1"/>
  <c r="FJ118" i="1"/>
  <c r="DS118" i="1"/>
  <c r="CO118" i="1"/>
  <c r="M118" i="1" s="1"/>
  <c r="DT118" i="1"/>
  <c r="EX118" i="1"/>
  <c r="FD118" i="1"/>
  <c r="EE118" i="1"/>
  <c r="EF118" i="1"/>
  <c r="FW118" i="1"/>
  <c r="EW118" i="1"/>
  <c r="FV118" i="1"/>
  <c r="EL118" i="1"/>
  <c r="EQ118" i="1"/>
  <c r="DQ118" i="1"/>
  <c r="FO118" i="1"/>
  <c r="CP131" i="1"/>
  <c r="FW10" i="1"/>
  <c r="FC10" i="1"/>
  <c r="EQ10" i="1"/>
  <c r="FD10" i="1"/>
  <c r="EX10" i="1"/>
  <c r="FH10" i="1"/>
  <c r="ER10" i="1"/>
  <c r="ED10" i="1"/>
  <c r="FI10" i="1"/>
  <c r="EE10" i="1"/>
  <c r="FN10" i="1"/>
  <c r="EF10" i="1"/>
  <c r="FP10" i="1"/>
  <c r="EJ10" i="1"/>
  <c r="FU10" i="1"/>
  <c r="FQ10" i="1"/>
  <c r="EK10" i="1"/>
  <c r="FV10" i="1"/>
  <c r="FB10" i="1"/>
  <c r="DX10" i="1"/>
  <c r="DX7" i="1" s="1"/>
  <c r="FO10" i="1"/>
  <c r="EP10" i="1"/>
  <c r="DP10" i="1"/>
  <c r="EV10" i="1"/>
  <c r="DQ10" i="1"/>
  <c r="EW10" i="1"/>
  <c r="DR10" i="1"/>
  <c r="FJ10" i="1"/>
  <c r="DS10" i="1"/>
  <c r="CY10" i="1"/>
  <c r="CV10" i="1" s="1"/>
  <c r="DT10" i="1"/>
  <c r="EL10" i="1"/>
  <c r="DZ10" i="1"/>
  <c r="DZ7" i="1" s="1"/>
  <c r="CO10" i="1"/>
  <c r="M10" i="1" s="1"/>
  <c r="DU10" i="1"/>
  <c r="FI160" i="1"/>
  <c r="AO50" i="1"/>
  <c r="AN51" i="1"/>
  <c r="DJ112" i="1"/>
  <c r="DK112" i="1" s="1"/>
  <c r="BN50" i="1"/>
  <c r="BK51" i="1"/>
  <c r="CY67" i="1"/>
  <c r="N67" i="1" s="1"/>
  <c r="FU67" i="1"/>
  <c r="FJ67" i="1"/>
  <c r="EF67" i="1"/>
  <c r="DU67" i="1"/>
  <c r="FV67" i="1"/>
  <c r="EV67" i="1"/>
  <c r="DR67" i="1"/>
  <c r="FN67" i="1"/>
  <c r="EW67" i="1"/>
  <c r="DP67" i="1"/>
  <c r="FO67" i="1"/>
  <c r="EX67" i="1"/>
  <c r="FP67" i="1"/>
  <c r="EP67" i="1"/>
  <c r="FW67" i="1"/>
  <c r="EQ67" i="1"/>
  <c r="FQ67" i="1"/>
  <c r="ER67" i="1"/>
  <c r="FB67" i="1"/>
  <c r="EJ67" i="1"/>
  <c r="FC67" i="1"/>
  <c r="EK67" i="1"/>
  <c r="CO67" i="1"/>
  <c r="M67" i="1" s="1"/>
  <c r="FH67" i="1"/>
  <c r="EL67" i="1"/>
  <c r="DI67" i="1"/>
  <c r="FD67" i="1"/>
  <c r="ED67" i="1"/>
  <c r="DT67" i="1"/>
  <c r="FI67" i="1"/>
  <c r="EE67" i="1"/>
  <c r="DS67" i="1"/>
  <c r="DQ67" i="1"/>
  <c r="CY88" i="1"/>
  <c r="N88" i="1" s="1"/>
  <c r="FI88" i="1"/>
  <c r="EJ88" i="1"/>
  <c r="FJ88" i="1"/>
  <c r="EK88" i="1"/>
  <c r="DR88" i="1"/>
  <c r="FQ88" i="1"/>
  <c r="EL88" i="1"/>
  <c r="DI88" i="1"/>
  <c r="FB88" i="1"/>
  <c r="EQ88" i="1"/>
  <c r="CO88" i="1"/>
  <c r="M88" i="1" s="1"/>
  <c r="FC88" i="1"/>
  <c r="EE88" i="1"/>
  <c r="DS88" i="1"/>
  <c r="FD88" i="1"/>
  <c r="EP88" i="1"/>
  <c r="DP88" i="1"/>
  <c r="FW88" i="1"/>
  <c r="EV88" i="1"/>
  <c r="ED88" i="1"/>
  <c r="DT88" i="1"/>
  <c r="FV88" i="1"/>
  <c r="FH88" i="1"/>
  <c r="DU88" i="1"/>
  <c r="FN88" i="1"/>
  <c r="EW88" i="1"/>
  <c r="DQ88" i="1"/>
  <c r="FO88" i="1"/>
  <c r="EX88" i="1"/>
  <c r="FU88" i="1"/>
  <c r="ER88" i="1"/>
  <c r="FP88" i="1"/>
  <c r="EF88" i="1"/>
  <c r="CY310" i="1"/>
  <c r="N310" i="1" s="1"/>
  <c r="FO310" i="1"/>
  <c r="EW310" i="1"/>
  <c r="DP310" i="1"/>
  <c r="FQ310" i="1"/>
  <c r="EX310" i="1"/>
  <c r="DU310" i="1"/>
  <c r="FH310" i="1"/>
  <c r="ED310" i="1"/>
  <c r="DQ310" i="1"/>
  <c r="FU310" i="1"/>
  <c r="EE310" i="1"/>
  <c r="DS310" i="1"/>
  <c r="FI310" i="1"/>
  <c r="EF310" i="1"/>
  <c r="CO310" i="1"/>
  <c r="M310" i="1" s="1"/>
  <c r="FN310" i="1"/>
  <c r="EP310" i="1"/>
  <c r="DT310" i="1"/>
  <c r="DI310" i="1"/>
  <c r="FJ310" i="1"/>
  <c r="EJ310" i="1"/>
  <c r="DR310" i="1"/>
  <c r="FP310" i="1"/>
  <c r="EQ310" i="1"/>
  <c r="FB310" i="1"/>
  <c r="EK310" i="1"/>
  <c r="FC310" i="1"/>
  <c r="ER310" i="1"/>
  <c r="FV310" i="1"/>
  <c r="FD310" i="1"/>
  <c r="EL310" i="1"/>
  <c r="FW310" i="1"/>
  <c r="EV310" i="1"/>
  <c r="CY266" i="1"/>
  <c r="N266" i="1" s="1"/>
  <c r="FI266" i="1"/>
  <c r="EX266" i="1"/>
  <c r="FJ266" i="1"/>
  <c r="EE266" i="1"/>
  <c r="FO266" i="1"/>
  <c r="EF266" i="1"/>
  <c r="DP266" i="1"/>
  <c r="FB266" i="1"/>
  <c r="EP266" i="1"/>
  <c r="DT266" i="1"/>
  <c r="FC266" i="1"/>
  <c r="EQ266" i="1"/>
  <c r="DQ266" i="1"/>
  <c r="FN266" i="1"/>
  <c r="FD266" i="1"/>
  <c r="ER266" i="1"/>
  <c r="DR266" i="1"/>
  <c r="FU266" i="1"/>
  <c r="EV266" i="1"/>
  <c r="DS266" i="1"/>
  <c r="FP266" i="1"/>
  <c r="EW266" i="1"/>
  <c r="DU266" i="1"/>
  <c r="FV266" i="1"/>
  <c r="EJ266" i="1"/>
  <c r="DI266" i="1"/>
  <c r="FQ266" i="1"/>
  <c r="EK266" i="1"/>
  <c r="FW266" i="1"/>
  <c r="EL266" i="1"/>
  <c r="CO266" i="1"/>
  <c r="M266" i="1" s="1"/>
  <c r="FH266" i="1"/>
  <c r="ED266" i="1"/>
  <c r="CY295" i="1"/>
  <c r="N295" i="1" s="1"/>
  <c r="FO295" i="1"/>
  <c r="EX295" i="1"/>
  <c r="FN295" i="1"/>
  <c r="EW295" i="1"/>
  <c r="FU295" i="1"/>
  <c r="EE295" i="1"/>
  <c r="DT295" i="1"/>
  <c r="ED295" i="1"/>
  <c r="DS295" i="1"/>
  <c r="FC295" i="1"/>
  <c r="EL295" i="1"/>
  <c r="FJ295" i="1"/>
  <c r="DR295" i="1"/>
  <c r="FI295" i="1"/>
  <c r="ER295" i="1"/>
  <c r="DQ295" i="1"/>
  <c r="FW295" i="1"/>
  <c r="FH295" i="1"/>
  <c r="EQ295" i="1"/>
  <c r="DP295" i="1"/>
  <c r="EK295" i="1"/>
  <c r="FD295" i="1"/>
  <c r="EJ295" i="1"/>
  <c r="FQ295" i="1"/>
  <c r="FB295" i="1"/>
  <c r="FP295" i="1"/>
  <c r="EF295" i="1"/>
  <c r="EV295" i="1"/>
  <c r="EP295" i="1"/>
  <c r="FV295" i="1"/>
  <c r="DU295" i="1"/>
  <c r="DI295" i="1"/>
  <c r="CO295" i="1"/>
  <c r="M295" i="1" s="1"/>
  <c r="BK227" i="1"/>
  <c r="BN226" i="1"/>
  <c r="DJ279" i="1"/>
  <c r="DK279" i="1" s="1"/>
  <c r="ED128" i="1"/>
  <c r="ED129" i="1" s="1"/>
  <c r="DP128" i="1"/>
  <c r="ER128" i="1"/>
  <c r="ER129" i="1" s="1"/>
  <c r="ER130" i="1" s="1"/>
  <c r="ER131" i="1" s="1"/>
  <c r="FQ128" i="1"/>
  <c r="FQ129" i="1" s="1"/>
  <c r="FQ130" i="1" s="1"/>
  <c r="FQ131" i="1" s="1"/>
  <c r="EQ128" i="1"/>
  <c r="EQ129" i="1" s="1"/>
  <c r="EQ130" i="1" s="1"/>
  <c r="EQ131" i="1" s="1"/>
  <c r="FP128" i="1"/>
  <c r="FP129" i="1" s="1"/>
  <c r="FP130" i="1" s="1"/>
  <c r="FP131" i="1" s="1"/>
  <c r="FD128" i="1"/>
  <c r="FD129" i="1" s="1"/>
  <c r="FD130" i="1" s="1"/>
  <c r="FD131" i="1" s="1"/>
  <c r="EP128" i="1"/>
  <c r="EP129" i="1" s="1"/>
  <c r="EP130" i="1" s="1"/>
  <c r="EP131" i="1" s="1"/>
  <c r="FO128" i="1"/>
  <c r="FO129" i="1" s="1"/>
  <c r="FO130" i="1" s="1"/>
  <c r="FO131" i="1" s="1"/>
  <c r="FC128" i="1"/>
  <c r="FC129" i="1" s="1"/>
  <c r="FC130" i="1" s="1"/>
  <c r="FC131" i="1" s="1"/>
  <c r="FN128" i="1"/>
  <c r="FB128" i="1"/>
  <c r="EK128" i="1"/>
  <c r="EK129" i="1" s="1"/>
  <c r="EK130" i="1" s="1"/>
  <c r="EK131" i="1" s="1"/>
  <c r="DU128" i="1"/>
  <c r="DU129" i="1" s="1"/>
  <c r="DU130" i="1" s="1"/>
  <c r="DU131" i="1" s="1"/>
  <c r="FW128" i="1"/>
  <c r="FW129" i="1" s="1"/>
  <c r="FW130" i="1" s="1"/>
  <c r="FW131" i="1" s="1"/>
  <c r="EX128" i="1"/>
  <c r="EX129" i="1" s="1"/>
  <c r="EX130" i="1" s="1"/>
  <c r="EX131" i="1" s="1"/>
  <c r="EJ128" i="1"/>
  <c r="EJ129" i="1" s="1"/>
  <c r="DT128" i="1"/>
  <c r="DT129" i="1" s="1"/>
  <c r="DT130" i="1" s="1"/>
  <c r="DT131" i="1" s="1"/>
  <c r="CO128" i="1"/>
  <c r="M128" i="1" s="1"/>
  <c r="FV128" i="1"/>
  <c r="FV129" i="1" s="1"/>
  <c r="FV130" i="1" s="1"/>
  <c r="FV131" i="1" s="1"/>
  <c r="FJ128" i="1"/>
  <c r="FJ129" i="1" s="1"/>
  <c r="FJ130" i="1" s="1"/>
  <c r="FJ131" i="1" s="1"/>
  <c r="EW128" i="1"/>
  <c r="EW129" i="1" s="1"/>
  <c r="EW130" i="1" s="1"/>
  <c r="EW131" i="1" s="1"/>
  <c r="DS128" i="1"/>
  <c r="DS129" i="1" s="1"/>
  <c r="DS130" i="1" s="1"/>
  <c r="DS131" i="1" s="1"/>
  <c r="FU128" i="1"/>
  <c r="FI128" i="1"/>
  <c r="FI129" i="1" s="1"/>
  <c r="FI130" i="1" s="1"/>
  <c r="FI131" i="1" s="1"/>
  <c r="EV128" i="1"/>
  <c r="EV129" i="1" s="1"/>
  <c r="EV130" i="1" s="1"/>
  <c r="EV131" i="1" s="1"/>
  <c r="EF128" i="1"/>
  <c r="EF129" i="1" s="1"/>
  <c r="EF130" i="1" s="1"/>
  <c r="EF131" i="1" s="1"/>
  <c r="DR128" i="1"/>
  <c r="DR129" i="1" s="1"/>
  <c r="DR130" i="1" s="1"/>
  <c r="DR131" i="1" s="1"/>
  <c r="FH128" i="1"/>
  <c r="EE128" i="1"/>
  <c r="EE129" i="1" s="1"/>
  <c r="EE130" i="1" s="1"/>
  <c r="EE131" i="1" s="1"/>
  <c r="DQ128" i="1"/>
  <c r="DQ129" i="1" s="1"/>
  <c r="DQ130" i="1" s="1"/>
  <c r="DQ131" i="1" s="1"/>
  <c r="CY128" i="1"/>
  <c r="N128" i="1" s="1"/>
  <c r="DI128" i="1"/>
  <c r="EL128" i="1"/>
  <c r="EL129" i="1" s="1"/>
  <c r="EL130" i="1" s="1"/>
  <c r="EL131" i="1" s="1"/>
  <c r="FH80" i="1"/>
  <c r="EE80" i="1"/>
  <c r="FP80" i="1"/>
  <c r="EW80" i="1"/>
  <c r="DS80" i="1"/>
  <c r="DP80" i="1"/>
  <c r="FU80" i="1"/>
  <c r="ER80" i="1"/>
  <c r="FB80" i="1"/>
  <c r="EJ80" i="1"/>
  <c r="FJ80" i="1"/>
  <c r="ED80" i="1"/>
  <c r="FO80" i="1"/>
  <c r="EV80" i="1"/>
  <c r="DR80" i="1"/>
  <c r="FV80" i="1"/>
  <c r="FD80" i="1"/>
  <c r="EL80" i="1"/>
  <c r="FI80" i="1"/>
  <c r="EF80" i="1"/>
  <c r="FW80" i="1"/>
  <c r="FQ80" i="1"/>
  <c r="FN80" i="1"/>
  <c r="EX80" i="1"/>
  <c r="DT80" i="1"/>
  <c r="DQ80" i="1"/>
  <c r="EP80" i="1"/>
  <c r="FC80" i="1"/>
  <c r="EK80" i="1"/>
  <c r="EQ80" i="1"/>
  <c r="CY80" i="1"/>
  <c r="N80" i="1" s="1"/>
  <c r="CO80" i="1"/>
  <c r="M80" i="1" s="1"/>
  <c r="DI80" i="1"/>
  <c r="DS160" i="1"/>
  <c r="EF160" i="1"/>
  <c r="DI160" i="1"/>
  <c r="BK80" i="1"/>
  <c r="BN80" i="1" s="1"/>
  <c r="BN79" i="1"/>
  <c r="CY94" i="1"/>
  <c r="N94" i="1" s="1"/>
  <c r="FN94" i="1"/>
  <c r="FC94" i="1"/>
  <c r="DS94" i="1"/>
  <c r="FP94" i="1"/>
  <c r="EP94" i="1"/>
  <c r="DT94" i="1"/>
  <c r="FQ94" i="1"/>
  <c r="EQ94" i="1"/>
  <c r="DU94" i="1"/>
  <c r="FD94" i="1"/>
  <c r="ED94" i="1"/>
  <c r="FH94" i="1"/>
  <c r="ER94" i="1"/>
  <c r="DI94" i="1"/>
  <c r="FI94" i="1"/>
  <c r="EE94" i="1"/>
  <c r="FJ94" i="1"/>
  <c r="EF94" i="1"/>
  <c r="FO94" i="1"/>
  <c r="EJ94" i="1"/>
  <c r="FB94" i="1"/>
  <c r="EK94" i="1"/>
  <c r="FV94" i="1"/>
  <c r="EV94" i="1"/>
  <c r="EL94" i="1"/>
  <c r="DP94" i="1"/>
  <c r="FW94" i="1"/>
  <c r="EW94" i="1"/>
  <c r="DQ94" i="1"/>
  <c r="FU94" i="1"/>
  <c r="DR94" i="1"/>
  <c r="CO94" i="1"/>
  <c r="M94" i="1" s="1"/>
  <c r="EX94" i="1"/>
  <c r="BK233" i="1"/>
  <c r="BN232" i="1"/>
  <c r="CY47" i="1"/>
  <c r="FV47" i="1"/>
  <c r="FV54" i="1" s="1"/>
  <c r="FD47" i="1"/>
  <c r="FD54" i="1" s="1"/>
  <c r="ER47" i="1"/>
  <c r="ER54" i="1" s="1"/>
  <c r="EK47" i="1"/>
  <c r="EK54" i="1" s="1"/>
  <c r="FW47" i="1"/>
  <c r="FW54" i="1" s="1"/>
  <c r="FQ47" i="1"/>
  <c r="FQ54" i="1" s="1"/>
  <c r="EX47" i="1"/>
  <c r="EX54" i="1" s="1"/>
  <c r="EF47" i="1"/>
  <c r="EF54" i="1" s="1"/>
  <c r="DI47" i="1"/>
  <c r="EQ47" i="1"/>
  <c r="EQ54" i="1" s="1"/>
  <c r="DQ47" i="1"/>
  <c r="EL47" i="1"/>
  <c r="EL54" i="1" s="1"/>
  <c r="FP47" i="1"/>
  <c r="FP54" i="1" s="1"/>
  <c r="FJ47" i="1"/>
  <c r="FJ54" i="1" s="1"/>
  <c r="EE47" i="1"/>
  <c r="EE54" i="1" s="1"/>
  <c r="DT47" i="1"/>
  <c r="CO47" i="1"/>
  <c r="M47" i="1" s="1"/>
  <c r="FC47" i="1"/>
  <c r="FC54" i="1" s="1"/>
  <c r="EW47" i="1"/>
  <c r="EW54" i="1" s="1"/>
  <c r="DU47" i="1"/>
  <c r="FO47" i="1"/>
  <c r="FO54" i="1" s="1"/>
  <c r="DS47" i="1"/>
  <c r="FI47" i="1"/>
  <c r="FI54" i="1" s="1"/>
  <c r="CY17" i="1"/>
  <c r="N17" i="1" s="1"/>
  <c r="FO17" i="1"/>
  <c r="EK17" i="1"/>
  <c r="FB17" i="1"/>
  <c r="EL17" i="1"/>
  <c r="FH17" i="1"/>
  <c r="EJ17" i="1"/>
  <c r="FC17" i="1"/>
  <c r="ED17" i="1"/>
  <c r="EP17" i="1"/>
  <c r="EE17" i="1"/>
  <c r="DR17" i="1"/>
  <c r="FU17" i="1"/>
  <c r="EQ17" i="1"/>
  <c r="EF17" i="1"/>
  <c r="DI17" i="1"/>
  <c r="FV17" i="1"/>
  <c r="FI17" i="1"/>
  <c r="DS17" i="1"/>
  <c r="FW17" i="1"/>
  <c r="FD17" i="1"/>
  <c r="CO17" i="1"/>
  <c r="M17" i="1" s="1"/>
  <c r="FN17" i="1"/>
  <c r="EV17" i="1"/>
  <c r="DQ17" i="1"/>
  <c r="FP17" i="1"/>
  <c r="ER17" i="1"/>
  <c r="DT17" i="1"/>
  <c r="FQ17" i="1"/>
  <c r="EW17" i="1"/>
  <c r="DU17" i="1"/>
  <c r="DP17" i="1"/>
  <c r="FJ17" i="1"/>
  <c r="EX17" i="1"/>
  <c r="CB222" i="1"/>
  <c r="CL222" i="1" s="1"/>
  <c r="FZ222" i="1" s="1"/>
  <c r="CY292" i="1"/>
  <c r="N292" i="1" s="1"/>
  <c r="EL292" i="1"/>
  <c r="EW292" i="1"/>
  <c r="EE292" i="1"/>
  <c r="DU292" i="1"/>
  <c r="DQ292" i="1"/>
  <c r="FU292" i="1"/>
  <c r="FO292" i="1"/>
  <c r="FI292" i="1"/>
  <c r="FC292" i="1"/>
  <c r="EQ292" i="1"/>
  <c r="CO292" i="1"/>
  <c r="M292" i="1" s="1"/>
  <c r="EK292" i="1"/>
  <c r="EV292" i="1"/>
  <c r="ED292" i="1"/>
  <c r="DT292" i="1"/>
  <c r="DP292" i="1"/>
  <c r="FN292" i="1"/>
  <c r="FH292" i="1"/>
  <c r="FB292" i="1"/>
  <c r="EP292" i="1"/>
  <c r="DI292" i="1"/>
  <c r="EJ292" i="1"/>
  <c r="DS292" i="1"/>
  <c r="FW292" i="1"/>
  <c r="FQ292" i="1"/>
  <c r="EX292" i="1"/>
  <c r="EF292" i="1"/>
  <c r="DR292" i="1"/>
  <c r="FV292" i="1"/>
  <c r="FP292" i="1"/>
  <c r="FJ292" i="1"/>
  <c r="FD292" i="1"/>
  <c r="ER292" i="1"/>
  <c r="DJ27" i="1"/>
  <c r="DK27" i="1" s="1"/>
  <c r="CC108" i="1"/>
  <c r="BK105" i="1"/>
  <c r="BN104" i="1"/>
  <c r="BX14" i="1"/>
  <c r="BY14" i="1"/>
  <c r="AO84" i="1"/>
  <c r="AN85" i="1"/>
  <c r="AO93" i="1"/>
  <c r="AN94" i="1"/>
  <c r="CY193" i="1"/>
  <c r="N193" i="1" s="1"/>
  <c r="FO193" i="1"/>
  <c r="ER193" i="1"/>
  <c r="DI193" i="1"/>
  <c r="FH193" i="1"/>
  <c r="ED193" i="1"/>
  <c r="DU193" i="1"/>
  <c r="FQ193" i="1"/>
  <c r="EE193" i="1"/>
  <c r="DQ193" i="1"/>
  <c r="FI193" i="1"/>
  <c r="EF193" i="1"/>
  <c r="DR193" i="1"/>
  <c r="FU193" i="1"/>
  <c r="EV193" i="1"/>
  <c r="EJ193" i="1"/>
  <c r="FV193" i="1"/>
  <c r="EW193" i="1"/>
  <c r="FW193" i="1"/>
  <c r="EX193" i="1"/>
  <c r="FP193" i="1"/>
  <c r="FJ193" i="1"/>
  <c r="FN193" i="1"/>
  <c r="EK193" i="1"/>
  <c r="DS193" i="1"/>
  <c r="FB193" i="1"/>
  <c r="EP193" i="1"/>
  <c r="DP193" i="1"/>
  <c r="FC193" i="1"/>
  <c r="EL193" i="1"/>
  <c r="DT193" i="1"/>
  <c r="FD193" i="1"/>
  <c r="EQ193" i="1"/>
  <c r="CO193" i="1"/>
  <c r="M193" i="1" s="1"/>
  <c r="AS104" i="1"/>
  <c r="GA104" i="1" s="1"/>
  <c r="DJ103" i="1"/>
  <c r="DK103" i="1" s="1"/>
  <c r="CY283" i="1"/>
  <c r="N283" i="1" s="1"/>
  <c r="FI283" i="1"/>
  <c r="ER283" i="1"/>
  <c r="CO283" i="1"/>
  <c r="M283" i="1" s="1"/>
  <c r="EV283" i="1"/>
  <c r="EE283" i="1"/>
  <c r="FN283" i="1"/>
  <c r="FB283" i="1"/>
  <c r="EF283" i="1"/>
  <c r="DS283" i="1"/>
  <c r="FO283" i="1"/>
  <c r="EW283" i="1"/>
  <c r="FP283" i="1"/>
  <c r="EX283" i="1"/>
  <c r="DP283" i="1"/>
  <c r="FU283" i="1"/>
  <c r="EK283" i="1"/>
  <c r="FV283" i="1"/>
  <c r="EL283" i="1"/>
  <c r="FJ283" i="1"/>
  <c r="EJ283" i="1"/>
  <c r="FQ283" i="1"/>
  <c r="FC283" i="1"/>
  <c r="DQ283" i="1"/>
  <c r="FW283" i="1"/>
  <c r="EP283" i="1"/>
  <c r="FH283" i="1"/>
  <c r="EQ283" i="1"/>
  <c r="DI283" i="1"/>
  <c r="DU283" i="1"/>
  <c r="DT283" i="1"/>
  <c r="FD283" i="1"/>
  <c r="ED283" i="1"/>
  <c r="DR283" i="1"/>
  <c r="CQ280" i="1"/>
  <c r="CR130" i="1"/>
  <c r="DJ131" i="1"/>
  <c r="DK131" i="1" s="1"/>
  <c r="DJ130" i="1"/>
  <c r="DK130" i="1" s="1"/>
  <c r="L27" i="1"/>
  <c r="CY92" i="1"/>
  <c r="N92" i="1" s="1"/>
  <c r="FB92" i="1"/>
  <c r="EL92" i="1"/>
  <c r="DU92" i="1"/>
  <c r="FC92" i="1"/>
  <c r="EP92" i="1"/>
  <c r="CO92" i="1"/>
  <c r="M92" i="1" s="1"/>
  <c r="FO92" i="1"/>
  <c r="EQ92" i="1"/>
  <c r="DQ92" i="1"/>
  <c r="FD92" i="1"/>
  <c r="ER92" i="1"/>
  <c r="DR92" i="1"/>
  <c r="FQ92" i="1"/>
  <c r="ED92" i="1"/>
  <c r="DP92" i="1"/>
  <c r="FH92" i="1"/>
  <c r="EE92" i="1"/>
  <c r="FU92" i="1"/>
  <c r="EV92" i="1"/>
  <c r="EF92" i="1"/>
  <c r="FW92" i="1"/>
  <c r="EW92" i="1"/>
  <c r="FP92" i="1"/>
  <c r="FI92" i="1"/>
  <c r="FV92" i="1"/>
  <c r="EX92" i="1"/>
  <c r="DS92" i="1"/>
  <c r="FN92" i="1"/>
  <c r="EJ92" i="1"/>
  <c r="DI92" i="1"/>
  <c r="FJ92" i="1"/>
  <c r="EK92" i="1"/>
  <c r="DT92" i="1"/>
  <c r="CY209" i="1"/>
  <c r="N209" i="1" s="1"/>
  <c r="EJ209" i="1"/>
  <c r="CO209" i="1"/>
  <c r="M209" i="1" s="1"/>
  <c r="EK209" i="1"/>
  <c r="DT209" i="1"/>
  <c r="ED209" i="1"/>
  <c r="DP209" i="1"/>
  <c r="EE209" i="1"/>
  <c r="DQ209" i="1"/>
  <c r="FU209" i="1"/>
  <c r="EP209" i="1"/>
  <c r="FW209" i="1"/>
  <c r="ER209" i="1"/>
  <c r="FN209" i="1"/>
  <c r="FO209" i="1"/>
  <c r="FQ209" i="1"/>
  <c r="FH209" i="1"/>
  <c r="FB209" i="1"/>
  <c r="EF209" i="1"/>
  <c r="FV209" i="1"/>
  <c r="FP209" i="1"/>
  <c r="FD209" i="1"/>
  <c r="EQ209" i="1"/>
  <c r="EL209" i="1"/>
  <c r="FI209" i="1"/>
  <c r="EW209" i="1"/>
  <c r="FJ209" i="1"/>
  <c r="EV209" i="1"/>
  <c r="EX209" i="1"/>
  <c r="DS209" i="1"/>
  <c r="FC209" i="1"/>
  <c r="DR209" i="1"/>
  <c r="CY263" i="1"/>
  <c r="N263" i="1" s="1"/>
  <c r="CO263" i="1"/>
  <c r="M263" i="1" s="1"/>
  <c r="EP263" i="1"/>
  <c r="EP264" i="1" s="1"/>
  <c r="FH263" i="1"/>
  <c r="EJ263" i="1"/>
  <c r="EJ264" i="1" s="1"/>
  <c r="EV263" i="1"/>
  <c r="EV264" i="1" s="1"/>
  <c r="FN263" i="1"/>
  <c r="ED263" i="1"/>
  <c r="ED264" i="1" s="1"/>
  <c r="FU263" i="1"/>
  <c r="DP263" i="1"/>
  <c r="DS263" i="1"/>
  <c r="DS264" i="1" s="1"/>
  <c r="EQ263" i="1"/>
  <c r="EQ264" i="1" s="1"/>
  <c r="FD263" i="1"/>
  <c r="FD264" i="1" s="1"/>
  <c r="DR263" i="1"/>
  <c r="DR264" i="1" s="1"/>
  <c r="FP263" i="1"/>
  <c r="FP264" i="1" s="1"/>
  <c r="FI263" i="1"/>
  <c r="FI264" i="1" s="1"/>
  <c r="EK263" i="1"/>
  <c r="EK264" i="1" s="1"/>
  <c r="FB263" i="1"/>
  <c r="FV263" i="1"/>
  <c r="FV264" i="1" s="1"/>
  <c r="ER263" i="1"/>
  <c r="ER264" i="1" s="1"/>
  <c r="EW263" i="1"/>
  <c r="EW264" i="1" s="1"/>
  <c r="FC263" i="1"/>
  <c r="FC264" i="1" s="1"/>
  <c r="FO263" i="1"/>
  <c r="FO264" i="1" s="1"/>
  <c r="EX263" i="1"/>
  <c r="EX264" i="1" s="1"/>
  <c r="EE263" i="1"/>
  <c r="EE264" i="1" s="1"/>
  <c r="FQ263" i="1"/>
  <c r="FQ264" i="1" s="1"/>
  <c r="EF263" i="1"/>
  <c r="EF264" i="1" s="1"/>
  <c r="FJ263" i="1"/>
  <c r="FJ264" i="1" s="1"/>
  <c r="DQ263" i="1"/>
  <c r="DQ264" i="1" s="1"/>
  <c r="FW263" i="1"/>
  <c r="FW264" i="1" s="1"/>
  <c r="EL263" i="1"/>
  <c r="EL264" i="1" s="1"/>
  <c r="DT263" i="1"/>
  <c r="DT264" i="1" s="1"/>
  <c r="CY290" i="1"/>
  <c r="N290" i="1" s="1"/>
  <c r="FP290" i="1"/>
  <c r="FU290" i="1"/>
  <c r="FQ290" i="1"/>
  <c r="ER290" i="1"/>
  <c r="FH290" i="1"/>
  <c r="EK290" i="1"/>
  <c r="FI290" i="1"/>
  <c r="EE290" i="1"/>
  <c r="DU290" i="1"/>
  <c r="FJ290" i="1"/>
  <c r="EL290" i="1"/>
  <c r="DI290" i="1"/>
  <c r="DP290" i="1"/>
  <c r="FN290" i="1"/>
  <c r="EF290" i="1"/>
  <c r="DQ290" i="1"/>
  <c r="EV290" i="1"/>
  <c r="ED290" i="1"/>
  <c r="DR290" i="1"/>
  <c r="FB290" i="1"/>
  <c r="EQ290" i="1"/>
  <c r="DS290" i="1"/>
  <c r="EW290" i="1"/>
  <c r="EJ290" i="1"/>
  <c r="DT290" i="1"/>
  <c r="FV290" i="1"/>
  <c r="FC290" i="1"/>
  <c r="EP290" i="1"/>
  <c r="FW290" i="1"/>
  <c r="EX290" i="1"/>
  <c r="FO290" i="1"/>
  <c r="FD290" i="1"/>
  <c r="CO290" i="1"/>
  <c r="M290" i="1" s="1"/>
  <c r="CY56" i="1"/>
  <c r="N56" i="1" s="1"/>
  <c r="FO56" i="1"/>
  <c r="FD56" i="1"/>
  <c r="FP56" i="1"/>
  <c r="EJ56" i="1"/>
  <c r="FQ56" i="1"/>
  <c r="ED56" i="1"/>
  <c r="FN56" i="1"/>
  <c r="EK56" i="1"/>
  <c r="DI56" i="1"/>
  <c r="FH56" i="1"/>
  <c r="EE56" i="1"/>
  <c r="CO56" i="1"/>
  <c r="M56" i="1" s="1"/>
  <c r="FI56" i="1"/>
  <c r="EL56" i="1"/>
  <c r="FB56" i="1"/>
  <c r="EF56" i="1"/>
  <c r="FJ56" i="1"/>
  <c r="EP56" i="1"/>
  <c r="FC56" i="1"/>
  <c r="EQ56" i="1"/>
  <c r="FU56" i="1"/>
  <c r="EV56" i="1"/>
  <c r="ER56" i="1"/>
  <c r="FV56" i="1"/>
  <c r="EW56" i="1"/>
  <c r="FW56" i="1"/>
  <c r="EX56" i="1"/>
  <c r="DP56" i="1"/>
  <c r="DS56" i="1"/>
  <c r="DT56" i="1"/>
  <c r="DU56" i="1"/>
  <c r="DQ56" i="1"/>
  <c r="DR56" i="1"/>
  <c r="CY63" i="1"/>
  <c r="N63" i="1" s="1"/>
  <c r="FN63" i="1"/>
  <c r="EX63" i="1"/>
  <c r="DU63" i="1"/>
  <c r="FO63" i="1"/>
  <c r="EP63" i="1"/>
  <c r="CO63" i="1"/>
  <c r="M63" i="1" s="1"/>
  <c r="FQ63" i="1"/>
  <c r="EQ63" i="1"/>
  <c r="DQ63" i="1"/>
  <c r="FB63" i="1"/>
  <c r="EJ63" i="1"/>
  <c r="FC63" i="1"/>
  <c r="ER63" i="1"/>
  <c r="FP63" i="1"/>
  <c r="EK63" i="1"/>
  <c r="FD63" i="1"/>
  <c r="EL63" i="1"/>
  <c r="FH63" i="1"/>
  <c r="ED63" i="1"/>
  <c r="DP63" i="1"/>
  <c r="FI63" i="1"/>
  <c r="EE63" i="1"/>
  <c r="DS63" i="1"/>
  <c r="FU63" i="1"/>
  <c r="FJ63" i="1"/>
  <c r="EF63" i="1"/>
  <c r="DI63" i="1"/>
  <c r="FV63" i="1"/>
  <c r="EV63" i="1"/>
  <c r="DR63" i="1"/>
  <c r="FW63" i="1"/>
  <c r="EW63" i="1"/>
  <c r="DT63" i="1"/>
  <c r="BN129" i="1"/>
  <c r="BK130" i="1"/>
  <c r="DI174" i="1"/>
  <c r="DZ174" i="1"/>
  <c r="DX174" i="1"/>
  <c r="CY174" i="1"/>
  <c r="N174" i="1" s="1"/>
  <c r="CO174" i="1"/>
  <c r="M174" i="1" s="1"/>
  <c r="FV160" i="1"/>
  <c r="BK23" i="1"/>
  <c r="BN23" i="1" s="1"/>
  <c r="BN22" i="1"/>
  <c r="CY115" i="1"/>
  <c r="N115" i="1" s="1"/>
  <c r="FD115" i="1"/>
  <c r="DQ115" i="1"/>
  <c r="FN115" i="1"/>
  <c r="EQ115" i="1"/>
  <c r="DT115" i="1"/>
  <c r="FO115" i="1"/>
  <c r="ER115" i="1"/>
  <c r="DU115" i="1"/>
  <c r="FP115" i="1"/>
  <c r="ED115" i="1"/>
  <c r="DR115" i="1"/>
  <c r="FH115" i="1"/>
  <c r="EE115" i="1"/>
  <c r="CO115" i="1"/>
  <c r="M115" i="1" s="1"/>
  <c r="FI115" i="1"/>
  <c r="EF115" i="1"/>
  <c r="DI115" i="1"/>
  <c r="FJ115" i="1"/>
  <c r="EP115" i="1"/>
  <c r="DP115" i="1"/>
  <c r="EV115" i="1"/>
  <c r="EJ115" i="1"/>
  <c r="FW115" i="1"/>
  <c r="EW115" i="1"/>
  <c r="EK115" i="1"/>
  <c r="FV115" i="1"/>
  <c r="EX115" i="1"/>
  <c r="EL115" i="1"/>
  <c r="FQ115" i="1"/>
  <c r="FB115" i="1"/>
  <c r="FU115" i="1"/>
  <c r="FC115" i="1"/>
  <c r="DS115" i="1"/>
  <c r="CP27" i="1"/>
  <c r="BK267" i="1"/>
  <c r="BN266" i="1"/>
  <c r="CY50" i="1"/>
  <c r="N50" i="1" s="1"/>
  <c r="FD50" i="1"/>
  <c r="EE50" i="1"/>
  <c r="DI50" i="1"/>
  <c r="CO50" i="1"/>
  <c r="M50" i="1" s="1"/>
  <c r="FJ50" i="1"/>
  <c r="EJ50" i="1"/>
  <c r="FU50" i="1"/>
  <c r="EQ50" i="1"/>
  <c r="ED50" i="1"/>
  <c r="FW50" i="1"/>
  <c r="FB50" i="1"/>
  <c r="DP50" i="1"/>
  <c r="FO50" i="1"/>
  <c r="EW50" i="1"/>
  <c r="DS50" i="1"/>
  <c r="FP50" i="1"/>
  <c r="EX50" i="1"/>
  <c r="DT50" i="1"/>
  <c r="FH50" i="1"/>
  <c r="EK50" i="1"/>
  <c r="FC50" i="1"/>
  <c r="EF50" i="1"/>
  <c r="EP50" i="1"/>
  <c r="EL50" i="1"/>
  <c r="FV50" i="1"/>
  <c r="FN50" i="1"/>
  <c r="DQ50" i="1"/>
  <c r="FQ50" i="1"/>
  <c r="DR50" i="1"/>
  <c r="FI50" i="1"/>
  <c r="DU50" i="1"/>
  <c r="ER50" i="1"/>
  <c r="EV50" i="1"/>
  <c r="BN124" i="1"/>
  <c r="BK125" i="1"/>
  <c r="CY265" i="1"/>
  <c r="N265" i="1" s="1"/>
  <c r="FB265" i="1"/>
  <c r="EP265" i="1"/>
  <c r="FC265" i="1"/>
  <c r="FW265" i="1"/>
  <c r="FJ265" i="1"/>
  <c r="FO265" i="1"/>
  <c r="EX265" i="1"/>
  <c r="FP265" i="1"/>
  <c r="EK265" i="1"/>
  <c r="FH265" i="1"/>
  <c r="ED265" i="1"/>
  <c r="EV265" i="1"/>
  <c r="EW265" i="1"/>
  <c r="EJ265" i="1"/>
  <c r="EL265" i="1"/>
  <c r="DU265" i="1"/>
  <c r="EE265" i="1"/>
  <c r="DQ265" i="1"/>
  <c r="EF265" i="1"/>
  <c r="DI265" i="1"/>
  <c r="DR265" i="1"/>
  <c r="FV265" i="1"/>
  <c r="EQ265" i="1"/>
  <c r="DS265" i="1"/>
  <c r="FN265" i="1"/>
  <c r="ER265" i="1"/>
  <c r="DT265" i="1"/>
  <c r="FU265" i="1"/>
  <c r="DP265" i="1"/>
  <c r="FQ265" i="1"/>
  <c r="FI265" i="1"/>
  <c r="CO265" i="1"/>
  <c r="M265" i="1" s="1"/>
  <c r="FD265" i="1"/>
  <c r="CY293" i="1"/>
  <c r="N293" i="1" s="1"/>
  <c r="FV293" i="1"/>
  <c r="FV296" i="1" s="1"/>
  <c r="FP293" i="1"/>
  <c r="FP296" i="1" s="1"/>
  <c r="FJ293" i="1"/>
  <c r="FJ296" i="1" s="1"/>
  <c r="FD293" i="1"/>
  <c r="FD296" i="1" s="1"/>
  <c r="ER293" i="1"/>
  <c r="ER296" i="1" s="1"/>
  <c r="EL293" i="1"/>
  <c r="EL296" i="1" s="1"/>
  <c r="EW293" i="1"/>
  <c r="EW296" i="1" s="1"/>
  <c r="EE293" i="1"/>
  <c r="EE296" i="1" s="1"/>
  <c r="DU293" i="1"/>
  <c r="DU296" i="1" s="1"/>
  <c r="DQ293" i="1"/>
  <c r="DQ296" i="1" s="1"/>
  <c r="FU293" i="1"/>
  <c r="FO293" i="1"/>
  <c r="FO296" i="1" s="1"/>
  <c r="FI293" i="1"/>
  <c r="FI296" i="1" s="1"/>
  <c r="FC293" i="1"/>
  <c r="FC296" i="1" s="1"/>
  <c r="EQ293" i="1"/>
  <c r="EQ296" i="1" s="1"/>
  <c r="EK293" i="1"/>
  <c r="EK296" i="1" s="1"/>
  <c r="EV293" i="1"/>
  <c r="EV296" i="1" s="1"/>
  <c r="ED293" i="1"/>
  <c r="ED296" i="1" s="1"/>
  <c r="DT293" i="1"/>
  <c r="DT296" i="1" s="1"/>
  <c r="DP293" i="1"/>
  <c r="FN293" i="1"/>
  <c r="FH293" i="1"/>
  <c r="FB293" i="1"/>
  <c r="EP293" i="1"/>
  <c r="EP296" i="1" s="1"/>
  <c r="CO293" i="1"/>
  <c r="M293" i="1" s="1"/>
  <c r="EJ293" i="1"/>
  <c r="EJ296" i="1" s="1"/>
  <c r="DS293" i="1"/>
  <c r="DS296" i="1" s="1"/>
  <c r="FW293" i="1"/>
  <c r="FW296" i="1" s="1"/>
  <c r="FQ293" i="1"/>
  <c r="FQ296" i="1" s="1"/>
  <c r="DI293" i="1"/>
  <c r="EX293" i="1"/>
  <c r="EX296" i="1" s="1"/>
  <c r="EF293" i="1"/>
  <c r="EF296" i="1" s="1"/>
  <c r="DR293" i="1"/>
  <c r="DR296" i="1" s="1"/>
  <c r="CY19" i="1"/>
  <c r="N19" i="1" s="1"/>
  <c r="FW19" i="1"/>
  <c r="EW19" i="1"/>
  <c r="FD19" i="1"/>
  <c r="FV19" i="1"/>
  <c r="ER19" i="1"/>
  <c r="FQ19" i="1"/>
  <c r="EX19" i="1"/>
  <c r="EK19" i="1"/>
  <c r="FO19" i="1"/>
  <c r="FI19" i="1"/>
  <c r="DQ19" i="1"/>
  <c r="EL19" i="1"/>
  <c r="FP19" i="1"/>
  <c r="FJ19" i="1"/>
  <c r="EE19" i="1"/>
  <c r="DS19" i="1"/>
  <c r="FC19" i="1"/>
  <c r="EQ19" i="1"/>
  <c r="EF19" i="1"/>
  <c r="CO19" i="1"/>
  <c r="M19" i="1" s="1"/>
  <c r="DT19" i="1"/>
  <c r="CY78" i="1"/>
  <c r="N78" i="1" s="1"/>
  <c r="FQ78" i="1"/>
  <c r="EQ78" i="1"/>
  <c r="DU78" i="1"/>
  <c r="FH78" i="1"/>
  <c r="ER78" i="1"/>
  <c r="DI78" i="1"/>
  <c r="FI78" i="1"/>
  <c r="ED78" i="1"/>
  <c r="DR78" i="1"/>
  <c r="FJ78" i="1"/>
  <c r="EJ78" i="1"/>
  <c r="CO78" i="1"/>
  <c r="M78" i="1" s="1"/>
  <c r="FB78" i="1"/>
  <c r="EE78" i="1"/>
  <c r="DS78" i="1"/>
  <c r="FC78" i="1"/>
  <c r="EK78" i="1"/>
  <c r="DP78" i="1"/>
  <c r="FO78" i="1"/>
  <c r="EF78" i="1"/>
  <c r="DT78" i="1"/>
  <c r="FU78" i="1"/>
  <c r="FD78" i="1"/>
  <c r="EL78" i="1"/>
  <c r="FV78" i="1"/>
  <c r="EV78" i="1"/>
  <c r="FW78" i="1"/>
  <c r="EW78" i="1"/>
  <c r="FN78" i="1"/>
  <c r="EX78" i="1"/>
  <c r="DQ78" i="1"/>
  <c r="FP78" i="1"/>
  <c r="EP78" i="1"/>
  <c r="DX173" i="1"/>
  <c r="DI173" i="1"/>
  <c r="CY173" i="1"/>
  <c r="DZ173" i="1"/>
  <c r="CO173" i="1"/>
  <c r="M173" i="1" s="1"/>
  <c r="EW160" i="1"/>
  <c r="CY203" i="1"/>
  <c r="N203" i="1" s="1"/>
  <c r="FV203" i="1"/>
  <c r="FD203" i="1"/>
  <c r="DT203" i="1"/>
  <c r="FN203" i="1"/>
  <c r="EX203" i="1"/>
  <c r="CO203" i="1"/>
  <c r="M203" i="1" s="1"/>
  <c r="FO203" i="1"/>
  <c r="EP203" i="1"/>
  <c r="DP203" i="1"/>
  <c r="FP203" i="1"/>
  <c r="ED203" i="1"/>
  <c r="DI203" i="1"/>
  <c r="FH203" i="1"/>
  <c r="EQ203" i="1"/>
  <c r="DU203" i="1"/>
  <c r="FQ203" i="1"/>
  <c r="EE203" i="1"/>
  <c r="FI203" i="1"/>
  <c r="ER203" i="1"/>
  <c r="FJ203" i="1"/>
  <c r="EF203" i="1"/>
  <c r="FB203" i="1"/>
  <c r="EJ203" i="1"/>
  <c r="EV203" i="1"/>
  <c r="EK203" i="1"/>
  <c r="DQ203" i="1"/>
  <c r="FU203" i="1"/>
  <c r="FC203" i="1"/>
  <c r="EL203" i="1"/>
  <c r="DR203" i="1"/>
  <c r="DS203" i="1"/>
  <c r="FW203" i="1"/>
  <c r="EW203" i="1"/>
  <c r="CY116" i="1"/>
  <c r="N116" i="1" s="1"/>
  <c r="FV116" i="1"/>
  <c r="FV143" i="1" s="1"/>
  <c r="FV144" i="1" s="1"/>
  <c r="EX116" i="1"/>
  <c r="EX143" i="1" s="1"/>
  <c r="EX144" i="1" s="1"/>
  <c r="EJ116" i="1"/>
  <c r="EJ143" i="1" s="1"/>
  <c r="EJ144" i="1" s="1"/>
  <c r="DR116" i="1"/>
  <c r="DR143" i="1" s="1"/>
  <c r="DR144" i="1" s="1"/>
  <c r="FW116" i="1"/>
  <c r="FW143" i="1" s="1"/>
  <c r="FW144" i="1" s="1"/>
  <c r="FB116" i="1"/>
  <c r="FB143" i="1" s="1"/>
  <c r="DS116" i="1"/>
  <c r="DS143" i="1" s="1"/>
  <c r="DS144" i="1" s="1"/>
  <c r="FO116" i="1"/>
  <c r="FO143" i="1" s="1"/>
  <c r="FO144" i="1" s="1"/>
  <c r="FC116" i="1"/>
  <c r="FC143" i="1" s="1"/>
  <c r="FC144" i="1" s="1"/>
  <c r="DT116" i="1"/>
  <c r="DT143" i="1" s="1"/>
  <c r="DT144" i="1" s="1"/>
  <c r="FP116" i="1"/>
  <c r="FP143" i="1" s="1"/>
  <c r="FP144" i="1" s="1"/>
  <c r="FD116" i="1"/>
  <c r="FD143" i="1" s="1"/>
  <c r="FD144" i="1" s="1"/>
  <c r="DU116" i="1"/>
  <c r="DU143" i="1" s="1"/>
  <c r="DU144" i="1" s="1"/>
  <c r="FQ116" i="1"/>
  <c r="FQ143" i="1" s="1"/>
  <c r="FQ144" i="1" s="1"/>
  <c r="EK116" i="1"/>
  <c r="EK143" i="1" s="1"/>
  <c r="EK144" i="1" s="1"/>
  <c r="FU116" i="1"/>
  <c r="FU143" i="1" s="1"/>
  <c r="EL116" i="1"/>
  <c r="EL143" i="1" s="1"/>
  <c r="EL144" i="1" s="1"/>
  <c r="FN116" i="1"/>
  <c r="FN143" i="1" s="1"/>
  <c r="EP116" i="1"/>
  <c r="EP143" i="1" s="1"/>
  <c r="EP144" i="1" s="1"/>
  <c r="FH116" i="1"/>
  <c r="FH143" i="1" s="1"/>
  <c r="EQ116" i="1"/>
  <c r="EQ143" i="1" s="1"/>
  <c r="EQ144" i="1" s="1"/>
  <c r="FI116" i="1"/>
  <c r="FI143" i="1" s="1"/>
  <c r="FI144" i="1" s="1"/>
  <c r="ER116" i="1"/>
  <c r="ER143" i="1" s="1"/>
  <c r="ER144" i="1" s="1"/>
  <c r="FJ116" i="1"/>
  <c r="FJ143" i="1" s="1"/>
  <c r="FJ144" i="1" s="1"/>
  <c r="ED116" i="1"/>
  <c r="ED143" i="1" s="1"/>
  <c r="ED144" i="1" s="1"/>
  <c r="DI116" i="1"/>
  <c r="CO116" i="1"/>
  <c r="M116" i="1" s="1"/>
  <c r="EV116" i="1"/>
  <c r="EV143" i="1" s="1"/>
  <c r="EV144" i="1" s="1"/>
  <c r="EE116" i="1"/>
  <c r="EE143" i="1" s="1"/>
  <c r="EE144" i="1" s="1"/>
  <c r="DP116" i="1"/>
  <c r="DP143" i="1" s="1"/>
  <c r="EF116" i="1"/>
  <c r="EF143" i="1" s="1"/>
  <c r="EF144" i="1" s="1"/>
  <c r="DQ116" i="1"/>
  <c r="DQ143" i="1" s="1"/>
  <c r="DQ144" i="1" s="1"/>
  <c r="EW116" i="1"/>
  <c r="EW143" i="1" s="1"/>
  <c r="EW144" i="1" s="1"/>
  <c r="CY51" i="1"/>
  <c r="N51" i="1" s="1"/>
  <c r="CO51" i="1"/>
  <c r="M51" i="1" s="1"/>
  <c r="FI51" i="1"/>
  <c r="EX51" i="1"/>
  <c r="FH51" i="1"/>
  <c r="EK51" i="1"/>
  <c r="FU51" i="1"/>
  <c r="FO51" i="1"/>
  <c r="DT51" i="1"/>
  <c r="DP51" i="1"/>
  <c r="DS51" i="1"/>
  <c r="EE51" i="1"/>
  <c r="FJ51" i="1"/>
  <c r="ER51" i="1"/>
  <c r="FN51" i="1"/>
  <c r="FD51" i="1"/>
  <c r="FP51" i="1"/>
  <c r="FB51" i="1"/>
  <c r="DR51" i="1"/>
  <c r="FW51" i="1"/>
  <c r="EL51" i="1"/>
  <c r="EP51" i="1"/>
  <c r="EW51" i="1"/>
  <c r="DQ51" i="1"/>
  <c r="FV51" i="1"/>
  <c r="EJ51" i="1"/>
  <c r="ED51" i="1"/>
  <c r="EV51" i="1"/>
  <c r="EQ51" i="1"/>
  <c r="EF51" i="1"/>
  <c r="FQ51" i="1"/>
  <c r="FC51" i="1"/>
  <c r="BK96" i="1"/>
  <c r="BN95" i="1"/>
  <c r="BN259" i="1"/>
  <c r="BK260" i="1"/>
  <c r="CY267" i="1"/>
  <c r="N267" i="1" s="1"/>
  <c r="FW267" i="1"/>
  <c r="FW268" i="1" s="1"/>
  <c r="EW267" i="1"/>
  <c r="EW268" i="1" s="1"/>
  <c r="EK267" i="1"/>
  <c r="EK268" i="1" s="1"/>
  <c r="EF267" i="1"/>
  <c r="EF268" i="1" s="1"/>
  <c r="DU267" i="1"/>
  <c r="DI267" i="1"/>
  <c r="FI267" i="1"/>
  <c r="FI268" i="1" s="1"/>
  <c r="EX267" i="1"/>
  <c r="EX268" i="1" s="1"/>
  <c r="DQ267" i="1"/>
  <c r="FJ267" i="1"/>
  <c r="FJ268" i="1" s="1"/>
  <c r="EL267" i="1"/>
  <c r="EL268" i="1" s="1"/>
  <c r="FC267" i="1"/>
  <c r="FC268" i="1" s="1"/>
  <c r="FO267" i="1"/>
  <c r="FO268" i="1" s="1"/>
  <c r="EQ267" i="1"/>
  <c r="EQ268" i="1" s="1"/>
  <c r="FV267" i="1"/>
  <c r="FV268" i="1" s="1"/>
  <c r="FQ267" i="1"/>
  <c r="FQ268" i="1" s="1"/>
  <c r="ER267" i="1"/>
  <c r="ER268" i="1" s="1"/>
  <c r="EE267" i="1"/>
  <c r="EE268" i="1" s="1"/>
  <c r="DT267" i="1"/>
  <c r="FD267" i="1"/>
  <c r="FD268" i="1" s="1"/>
  <c r="DS267" i="1"/>
  <c r="CO267" i="1"/>
  <c r="M267" i="1" s="1"/>
  <c r="FP267" i="1"/>
  <c r="FP268" i="1" s="1"/>
  <c r="DJ261" i="1"/>
  <c r="DK261" i="1" s="1"/>
  <c r="BN271" i="1"/>
  <c r="BK272" i="1"/>
  <c r="BN272" i="1" s="1"/>
  <c r="DJ238" i="1"/>
  <c r="DK238" i="1" s="1"/>
  <c r="DI238" i="1"/>
  <c r="DU238" i="1"/>
  <c r="CP279" i="1"/>
  <c r="CR279" i="1"/>
  <c r="BU26" i="1"/>
  <c r="I26" i="1"/>
  <c r="J26" i="1"/>
  <c r="BY26" i="1"/>
  <c r="AO26" i="1"/>
  <c r="AN27" i="1"/>
  <c r="AO27" i="1" s="1"/>
  <c r="CP111" i="1"/>
  <c r="L111" i="1"/>
  <c r="K111" i="1"/>
  <c r="CR111" i="1"/>
  <c r="CQ111" i="1"/>
  <c r="CN111" i="1"/>
  <c r="EQ160" i="1"/>
  <c r="FC160" i="1"/>
  <c r="CY207" i="1"/>
  <c r="N207" i="1" s="1"/>
  <c r="FV207" i="1"/>
  <c r="EP207" i="1"/>
  <c r="DR207" i="1"/>
  <c r="FJ207" i="1"/>
  <c r="EE207" i="1"/>
  <c r="DS207" i="1"/>
  <c r="FO207" i="1"/>
  <c r="EQ207" i="1"/>
  <c r="DT207" i="1"/>
  <c r="FH207" i="1"/>
  <c r="EF207" i="1"/>
  <c r="FB207" i="1"/>
  <c r="ER207" i="1"/>
  <c r="FI207" i="1"/>
  <c r="EJ207" i="1"/>
  <c r="FC207" i="1"/>
  <c r="EK207" i="1"/>
  <c r="FU207" i="1"/>
  <c r="EV207" i="1"/>
  <c r="EL207" i="1"/>
  <c r="FW207" i="1"/>
  <c r="FD207" i="1"/>
  <c r="CO207" i="1"/>
  <c r="M207" i="1" s="1"/>
  <c r="FN207" i="1"/>
  <c r="EW207" i="1"/>
  <c r="FP207" i="1"/>
  <c r="EX207" i="1"/>
  <c r="DP207" i="1"/>
  <c r="DQ207" i="1"/>
  <c r="FQ207" i="1"/>
  <c r="ED207" i="1"/>
  <c r="FD101" i="1"/>
  <c r="EL101" i="1"/>
  <c r="EX101" i="1"/>
  <c r="CY18" i="1"/>
  <c r="N18" i="1" s="1"/>
  <c r="FW18" i="1"/>
  <c r="EQ18" i="1"/>
  <c r="DI18" i="1"/>
  <c r="FO18" i="1"/>
  <c r="ER18" i="1"/>
  <c r="FP18" i="1"/>
  <c r="EW18" i="1"/>
  <c r="EF18" i="1"/>
  <c r="DQ18" i="1"/>
  <c r="FH18" i="1"/>
  <c r="EJ18" i="1"/>
  <c r="FC18" i="1"/>
  <c r="EK18" i="1"/>
  <c r="DS18" i="1"/>
  <c r="FI18" i="1"/>
  <c r="EL18" i="1"/>
  <c r="DT18" i="1"/>
  <c r="FD18" i="1"/>
  <c r="EX18" i="1"/>
  <c r="DU18" i="1"/>
  <c r="FJ18" i="1"/>
  <c r="EE18" i="1"/>
  <c r="CO18" i="1"/>
  <c r="M18" i="1" s="1"/>
  <c r="FQ18" i="1"/>
  <c r="ED18" i="1"/>
  <c r="FV18" i="1"/>
  <c r="CY195" i="1"/>
  <c r="N195" i="1" s="1"/>
  <c r="FN195" i="1"/>
  <c r="EX195" i="1"/>
  <c r="FP195" i="1"/>
  <c r="EJ195" i="1"/>
  <c r="FQ195" i="1"/>
  <c r="EK195" i="1"/>
  <c r="FH195" i="1"/>
  <c r="EL195" i="1"/>
  <c r="DQ195" i="1"/>
  <c r="DS195" i="1"/>
  <c r="DU195" i="1"/>
  <c r="CO195" i="1"/>
  <c r="M195" i="1" s="1"/>
  <c r="FI195" i="1"/>
  <c r="EP195" i="1"/>
  <c r="FJ195" i="1"/>
  <c r="EQ195" i="1"/>
  <c r="FB195" i="1"/>
  <c r="ED195" i="1"/>
  <c r="FC195" i="1"/>
  <c r="EF195" i="1"/>
  <c r="FU195" i="1"/>
  <c r="FD195" i="1"/>
  <c r="ER195" i="1"/>
  <c r="FO195" i="1"/>
  <c r="EE195" i="1"/>
  <c r="DR195" i="1"/>
  <c r="DT195" i="1"/>
  <c r="DP195" i="1"/>
  <c r="FW195" i="1"/>
  <c r="EV195" i="1"/>
  <c r="DI195" i="1"/>
  <c r="FV195" i="1"/>
  <c r="EW195" i="1"/>
  <c r="CY205" i="1"/>
  <c r="N205" i="1" s="1"/>
  <c r="FJ205" i="1"/>
  <c r="EP205" i="1"/>
  <c r="FQ205" i="1"/>
  <c r="EE205" i="1"/>
  <c r="FB205" i="1"/>
  <c r="EQ205" i="1"/>
  <c r="EV205" i="1"/>
  <c r="EF205" i="1"/>
  <c r="FU205" i="1"/>
  <c r="FC205" i="1"/>
  <c r="ER205" i="1"/>
  <c r="CO205" i="1"/>
  <c r="M205" i="1" s="1"/>
  <c r="FV205" i="1"/>
  <c r="EW205" i="1"/>
  <c r="DI205" i="1"/>
  <c r="FW205" i="1"/>
  <c r="FD205" i="1"/>
  <c r="DU205" i="1"/>
  <c r="FN205" i="1"/>
  <c r="EX205" i="1"/>
  <c r="DR205" i="1"/>
  <c r="FO205" i="1"/>
  <c r="EJ205" i="1"/>
  <c r="DS205" i="1"/>
  <c r="FP205" i="1"/>
  <c r="EK205" i="1"/>
  <c r="DT205" i="1"/>
  <c r="FH205" i="1"/>
  <c r="EL205" i="1"/>
  <c r="DQ205" i="1"/>
  <c r="FI205" i="1"/>
  <c r="ED205" i="1"/>
  <c r="DP205" i="1"/>
  <c r="CP113" i="1" l="1"/>
  <c r="DI61" i="1"/>
  <c r="EO38" i="1"/>
  <c r="FM38" i="1"/>
  <c r="DJ75" i="1"/>
  <c r="DK75" i="1" s="1"/>
  <c r="DZ75" i="1" s="1"/>
  <c r="GA75" i="1"/>
  <c r="FZ75" i="1" s="1"/>
  <c r="DI75" i="1"/>
  <c r="DU75" i="1"/>
  <c r="DX75" i="1"/>
  <c r="EP23" i="1"/>
  <c r="EO23" i="1" s="1"/>
  <c r="DJ113" i="1"/>
  <c r="DK113" i="1" s="1"/>
  <c r="DU61" i="1"/>
  <c r="CR113" i="1"/>
  <c r="DZ38" i="1"/>
  <c r="DZ144" i="1"/>
  <c r="DO38" i="1"/>
  <c r="FG38" i="1"/>
  <c r="DX144" i="1"/>
  <c r="DX38" i="1"/>
  <c r="FA38" i="1"/>
  <c r="EU38" i="1"/>
  <c r="FT38" i="1"/>
  <c r="DO143" i="1"/>
  <c r="DP144" i="1"/>
  <c r="DO144" i="1" s="1"/>
  <c r="FM143" i="1"/>
  <c r="FN144" i="1"/>
  <c r="FM144" i="1" s="1"/>
  <c r="FA143" i="1"/>
  <c r="FB144" i="1"/>
  <c r="FA144" i="1" s="1"/>
  <c r="FT143" i="1"/>
  <c r="FU144" i="1"/>
  <c r="FT144" i="1" s="1"/>
  <c r="FG143" i="1"/>
  <c r="FH144" i="1"/>
  <c r="FG144" i="1" s="1"/>
  <c r="DX154" i="1"/>
  <c r="DX162" i="1"/>
  <c r="DS149" i="1"/>
  <c r="DS150" i="1" s="1"/>
  <c r="DS141" i="1"/>
  <c r="DS142" i="1" s="1"/>
  <c r="DT149" i="1"/>
  <c r="DT150" i="1" s="1"/>
  <c r="DT141" i="1"/>
  <c r="DT142" i="1" s="1"/>
  <c r="EK149" i="1"/>
  <c r="EK150" i="1" s="1"/>
  <c r="EK141" i="1"/>
  <c r="EK142" i="1" s="1"/>
  <c r="DZ154" i="1"/>
  <c r="DZ162" i="1"/>
  <c r="J104" i="1"/>
  <c r="CP104" i="1" s="1"/>
  <c r="BX104" i="1"/>
  <c r="CL104" i="1" s="1"/>
  <c r="FZ104" i="1" s="1"/>
  <c r="DU80" i="1"/>
  <c r="DZ140" i="1"/>
  <c r="DZ179" i="1"/>
  <c r="DZ180" i="1"/>
  <c r="GA76" i="1"/>
  <c r="FZ76" i="1" s="1"/>
  <c r="DX140" i="1"/>
  <c r="DX180" i="1"/>
  <c r="DX179" i="1"/>
  <c r="DJ14" i="1"/>
  <c r="DK14" i="1" s="1"/>
  <c r="DJ47" i="1"/>
  <c r="DK47" i="1" s="1"/>
  <c r="DX47" i="1" s="1"/>
  <c r="DJ61" i="1"/>
  <c r="DK61" i="1" s="1"/>
  <c r="DX61" i="1" s="1"/>
  <c r="DJ19" i="1"/>
  <c r="DK19" i="1" s="1"/>
  <c r="GA19" i="1"/>
  <c r="FZ19" i="1" s="1"/>
  <c r="DI85" i="1"/>
  <c r="GA85" i="1"/>
  <c r="DU51" i="1"/>
  <c r="GA51" i="1"/>
  <c r="FZ51" i="1" s="1"/>
  <c r="FZ47" i="1"/>
  <c r="FZ23" i="1"/>
  <c r="AS95" i="1"/>
  <c r="GA94" i="1"/>
  <c r="FZ94" i="1" s="1"/>
  <c r="DJ94" i="1"/>
  <c r="DK94" i="1" s="1"/>
  <c r="DX94" i="1" s="1"/>
  <c r="DJ80" i="1"/>
  <c r="DK80" i="1" s="1"/>
  <c r="DX80" i="1" s="1"/>
  <c r="GA90" i="1"/>
  <c r="FZ90" i="1" s="1"/>
  <c r="DJ90" i="1"/>
  <c r="DK90" i="1" s="1"/>
  <c r="DX90" i="1" s="1"/>
  <c r="DX298" i="1"/>
  <c r="DX201" i="1"/>
  <c r="DZ171" i="1"/>
  <c r="DZ298" i="1"/>
  <c r="DZ201" i="1"/>
  <c r="DX171" i="1"/>
  <c r="FA74" i="1"/>
  <c r="DR23" i="1"/>
  <c r="DZ42" i="1"/>
  <c r="DZ41" i="1"/>
  <c r="DZ43" i="1"/>
  <c r="DX42" i="1"/>
  <c r="DX41" i="1"/>
  <c r="DX43" i="1"/>
  <c r="BX105" i="1"/>
  <c r="CY76" i="1"/>
  <c r="CV76" i="1" s="1"/>
  <c r="CL113" i="1"/>
  <c r="FZ113" i="1" s="1"/>
  <c r="CN113" i="1"/>
  <c r="CQ113" i="1"/>
  <c r="K113" i="1"/>
  <c r="DO74" i="1"/>
  <c r="N74" i="1"/>
  <c r="CV74" i="1"/>
  <c r="EE76" i="1"/>
  <c r="EK76" i="1"/>
  <c r="FD76" i="1"/>
  <c r="DQ76" i="1"/>
  <c r="FQ76" i="1"/>
  <c r="FJ76" i="1"/>
  <c r="ER76" i="1"/>
  <c r="CX76" i="1"/>
  <c r="DT76" i="1"/>
  <c r="EX76" i="1"/>
  <c r="FW76" i="1"/>
  <c r="CP76" i="1"/>
  <c r="FO76" i="1"/>
  <c r="CR76" i="1"/>
  <c r="FP76" i="1"/>
  <c r="DS76" i="1"/>
  <c r="EQ76" i="1"/>
  <c r="EW76" i="1"/>
  <c r="FV76" i="1"/>
  <c r="EL76" i="1"/>
  <c r="DR76" i="1"/>
  <c r="EF76" i="1"/>
  <c r="CW76" i="1"/>
  <c r="FC76" i="1"/>
  <c r="FI76" i="1"/>
  <c r="EO74" i="1"/>
  <c r="EO101" i="1" s="1"/>
  <c r="L76" i="1"/>
  <c r="FM74" i="1"/>
  <c r="FT74" i="1"/>
  <c r="EU74" i="1"/>
  <c r="EU101" i="1" s="1"/>
  <c r="FG74" i="1"/>
  <c r="DI76" i="1"/>
  <c r="DJ76" i="1"/>
  <c r="DK76" i="1" s="1"/>
  <c r="DX76" i="1" s="1"/>
  <c r="DU76" i="1"/>
  <c r="DP76" i="1"/>
  <c r="FB76" i="1"/>
  <c r="ED76" i="1"/>
  <c r="EJ76" i="1"/>
  <c r="FN76" i="1"/>
  <c r="EP76" i="1"/>
  <c r="EV76" i="1"/>
  <c r="FU76" i="1"/>
  <c r="FH76" i="1"/>
  <c r="K76" i="1"/>
  <c r="CQ76" i="1"/>
  <c r="DZ74" i="1"/>
  <c r="DZ73" i="1"/>
  <c r="DX74" i="1"/>
  <c r="DX73" i="1"/>
  <c r="FU18" i="1"/>
  <c r="FT18" i="1" s="1"/>
  <c r="EV18" i="1"/>
  <c r="EU18" i="1" s="1"/>
  <c r="DR18" i="1"/>
  <c r="FN18" i="1"/>
  <c r="FM18" i="1" s="1"/>
  <c r="FB18" i="1"/>
  <c r="FA18" i="1" s="1"/>
  <c r="DP18" i="1"/>
  <c r="FB84" i="1"/>
  <c r="FA84" i="1" s="1"/>
  <c r="EP84" i="1"/>
  <c r="EO84" i="1" s="1"/>
  <c r="DR84" i="1"/>
  <c r="ED84" i="1"/>
  <c r="FN84" i="1"/>
  <c r="FM84" i="1" s="1"/>
  <c r="EJ84" i="1"/>
  <c r="DP84" i="1"/>
  <c r="EV84" i="1"/>
  <c r="EU84" i="1" s="1"/>
  <c r="FH84" i="1"/>
  <c r="FG84" i="1" s="1"/>
  <c r="FU84" i="1"/>
  <c r="FT84" i="1" s="1"/>
  <c r="AO70" i="1"/>
  <c r="BN70" i="1"/>
  <c r="DZ70" i="1" s="1"/>
  <c r="CN103" i="1"/>
  <c r="CR103" i="1"/>
  <c r="CV246" i="1"/>
  <c r="N246" i="1"/>
  <c r="GB173" i="1"/>
  <c r="N173" i="1"/>
  <c r="CV177" i="1"/>
  <c r="N177" i="1"/>
  <c r="CV277" i="1"/>
  <c r="N277" i="1"/>
  <c r="CV165" i="1"/>
  <c r="N165" i="1"/>
  <c r="CV131" i="1"/>
  <c r="N131" i="1"/>
  <c r="DW177" i="1"/>
  <c r="CU177" i="1"/>
  <c r="CT177" i="1" s="1"/>
  <c r="CU277" i="1"/>
  <c r="CT277" i="1" s="1"/>
  <c r="DW277" i="1"/>
  <c r="CU165" i="1"/>
  <c r="CT165" i="1" s="1"/>
  <c r="DB165" i="1" s="1"/>
  <c r="DW165" i="1"/>
  <c r="CV171" i="1"/>
  <c r="CV173" i="1"/>
  <c r="CU173" i="1" s="1"/>
  <c r="CT173" i="1" s="1"/>
  <c r="EJ163" i="1"/>
  <c r="EH163" i="1" s="1"/>
  <c r="DX278" i="1"/>
  <c r="ED163" i="1"/>
  <c r="EB163" i="1" s="1"/>
  <c r="GB245" i="1"/>
  <c r="CV247" i="1"/>
  <c r="EH244" i="1"/>
  <c r="GB174" i="1"/>
  <c r="CV245" i="1"/>
  <c r="DZ278" i="1"/>
  <c r="GB277" i="1"/>
  <c r="GB165" i="1"/>
  <c r="CV174" i="1"/>
  <c r="CV278" i="1"/>
  <c r="CV260" i="1"/>
  <c r="GB244" i="1"/>
  <c r="CV275" i="1"/>
  <c r="CV279" i="1"/>
  <c r="CV293" i="1"/>
  <c r="EH278" i="1"/>
  <c r="EH245" i="1"/>
  <c r="DW166" i="1"/>
  <c r="CV176" i="1"/>
  <c r="CV251" i="1"/>
  <c r="EB277" i="1"/>
  <c r="DZ245" i="1"/>
  <c r="CV244" i="1"/>
  <c r="EU277" i="1"/>
  <c r="GB278" i="1"/>
  <c r="GB274" i="1"/>
  <c r="CV201" i="1"/>
  <c r="CV274" i="1"/>
  <c r="EH280" i="1"/>
  <c r="EH277" i="1"/>
  <c r="EB245" i="1"/>
  <c r="GB275" i="1"/>
  <c r="EO277" i="1"/>
  <c r="CV298" i="1"/>
  <c r="GB166" i="1"/>
  <c r="GB176" i="1"/>
  <c r="CV239" i="1"/>
  <c r="DP267" i="1"/>
  <c r="EP267" i="1"/>
  <c r="EP268" i="1" s="1"/>
  <c r="DJ118" i="1"/>
  <c r="DK118" i="1" s="1"/>
  <c r="DX118" i="1" s="1"/>
  <c r="CV47" i="1"/>
  <c r="CV69" i="1"/>
  <c r="FU23" i="1"/>
  <c r="FT23" i="1" s="1"/>
  <c r="FN23" i="1"/>
  <c r="FM23" i="1" s="1"/>
  <c r="EJ23" i="1"/>
  <c r="FB23" i="1"/>
  <c r="FA23" i="1" s="1"/>
  <c r="EV23" i="1"/>
  <c r="EU23" i="1" s="1"/>
  <c r="CV70" i="1"/>
  <c r="ED23" i="1"/>
  <c r="FH23" i="1"/>
  <c r="FG23" i="1" s="1"/>
  <c r="DZ287" i="1"/>
  <c r="DZ191" i="1"/>
  <c r="DZ189" i="1"/>
  <c r="DZ190" i="1"/>
  <c r="DX287" i="1"/>
  <c r="DX190" i="1"/>
  <c r="DX191" i="1"/>
  <c r="DX189" i="1"/>
  <c r="FH47" i="1"/>
  <c r="FG47" i="1" s="1"/>
  <c r="FU47" i="1"/>
  <c r="FU54" i="1" s="1"/>
  <c r="FT54" i="1" s="1"/>
  <c r="FB47" i="1"/>
  <c r="FB54" i="1" s="1"/>
  <c r="FA54" i="1" s="1"/>
  <c r="FN47" i="1"/>
  <c r="FN54" i="1" s="1"/>
  <c r="FM54" i="1" s="1"/>
  <c r="DR47" i="1"/>
  <c r="DR54" i="1" s="1"/>
  <c r="EV47" i="1"/>
  <c r="EV54" i="1" s="1"/>
  <c r="DP47" i="1"/>
  <c r="DP54" i="1" s="1"/>
  <c r="EP47" i="1"/>
  <c r="EP54" i="1" s="1"/>
  <c r="EJ47" i="1"/>
  <c r="EJ54" i="1" s="1"/>
  <c r="ED47" i="1"/>
  <c r="ED54" i="1" s="1"/>
  <c r="EO211" i="1"/>
  <c r="CV98" i="1"/>
  <c r="CV61" i="1"/>
  <c r="CV83" i="1"/>
  <c r="CV290" i="1"/>
  <c r="CV253" i="1"/>
  <c r="CV289" i="1"/>
  <c r="CV60" i="1"/>
  <c r="CV308" i="1"/>
  <c r="CV309" i="1"/>
  <c r="CX37" i="1"/>
  <c r="CW37" i="1"/>
  <c r="CW182" i="1"/>
  <c r="CX182" i="1"/>
  <c r="CV84" i="1"/>
  <c r="CV159" i="1"/>
  <c r="CV115" i="1"/>
  <c r="CV49" i="1"/>
  <c r="CV295" i="1"/>
  <c r="CV56" i="1"/>
  <c r="CV133" i="1"/>
  <c r="CV90" i="1"/>
  <c r="CV89" i="1"/>
  <c r="CV292" i="1"/>
  <c r="CV46" i="1"/>
  <c r="EQ102" i="1"/>
  <c r="CX102" i="1"/>
  <c r="CW102" i="1"/>
  <c r="CV124" i="1"/>
  <c r="CV64" i="1"/>
  <c r="CV286" i="1"/>
  <c r="CV160" i="1"/>
  <c r="CV203" i="1"/>
  <c r="CV256" i="1"/>
  <c r="CV284" i="1"/>
  <c r="CV94" i="1"/>
  <c r="CV30" i="1"/>
  <c r="CV50" i="1"/>
  <c r="CV156" i="1"/>
  <c r="CV255" i="1"/>
  <c r="CV17" i="1"/>
  <c r="CV99" i="1"/>
  <c r="CV51" i="1"/>
  <c r="CV307" i="1"/>
  <c r="CV301" i="1"/>
  <c r="CV200" i="1"/>
  <c r="CV220" i="1"/>
  <c r="CV302" i="1"/>
  <c r="CV231" i="1"/>
  <c r="CV82" i="1"/>
  <c r="CV267" i="1"/>
  <c r="CV186" i="1"/>
  <c r="CV130" i="1"/>
  <c r="CV297" i="1"/>
  <c r="CV57" i="1"/>
  <c r="CV237" i="1"/>
  <c r="CV266" i="1"/>
  <c r="CV123" i="1"/>
  <c r="CX12" i="1"/>
  <c r="CW12" i="1"/>
  <c r="CV21" i="1"/>
  <c r="CV283" i="1"/>
  <c r="CV258" i="1"/>
  <c r="CV270" i="1"/>
  <c r="CV55" i="1"/>
  <c r="CW222" i="1"/>
  <c r="CX222" i="1"/>
  <c r="CX208" i="1"/>
  <c r="CW208" i="1"/>
  <c r="CX36" i="1"/>
  <c r="CW36" i="1"/>
  <c r="CW34" i="1"/>
  <c r="CX34" i="1"/>
  <c r="CV252" i="1"/>
  <c r="CV271" i="1"/>
  <c r="CV65" i="1"/>
  <c r="CV304" i="1"/>
  <c r="CV136" i="1"/>
  <c r="CV232" i="1"/>
  <c r="CX25" i="1"/>
  <c r="CW25" i="1"/>
  <c r="CV199" i="1"/>
  <c r="CV265" i="1"/>
  <c r="CV305" i="1"/>
  <c r="CV226" i="1"/>
  <c r="CW111" i="1"/>
  <c r="CX111" i="1"/>
  <c r="CV195" i="1"/>
  <c r="CV45" i="1"/>
  <c r="CV224" i="1"/>
  <c r="CV168" i="1"/>
  <c r="CV233" i="1"/>
  <c r="CV225" i="1"/>
  <c r="CV68" i="1"/>
  <c r="CV135" i="1"/>
  <c r="CV128" i="1"/>
  <c r="CV152" i="1"/>
  <c r="CV67" i="1"/>
  <c r="CV93" i="1"/>
  <c r="CX221" i="1"/>
  <c r="CW221" i="1"/>
  <c r="CV100" i="1"/>
  <c r="CV23" i="1"/>
  <c r="CV134" i="1"/>
  <c r="CV185" i="1"/>
  <c r="CV72" i="1"/>
  <c r="CV92" i="1"/>
  <c r="CV18" i="1"/>
  <c r="CV170" i="1"/>
  <c r="CV194" i="1"/>
  <c r="CV129" i="1"/>
  <c r="CW183" i="1"/>
  <c r="CX183" i="1"/>
  <c r="CV146" i="1"/>
  <c r="CV27" i="1"/>
  <c r="CV193" i="1"/>
  <c r="CV116" i="1"/>
  <c r="CV205" i="1"/>
  <c r="CV269" i="1"/>
  <c r="CV29" i="1"/>
  <c r="CV88" i="1"/>
  <c r="CW212" i="1"/>
  <c r="CX212" i="1"/>
  <c r="CX215" i="1"/>
  <c r="CW215" i="1"/>
  <c r="CW210" i="1"/>
  <c r="CX210" i="1"/>
  <c r="CV79" i="1"/>
  <c r="CV78" i="1"/>
  <c r="CV300" i="1"/>
  <c r="CV238" i="1"/>
  <c r="CV157" i="1"/>
  <c r="CV125" i="1"/>
  <c r="CV33" i="1"/>
  <c r="CV63" i="1"/>
  <c r="CV80" i="1"/>
  <c r="CV259" i="1"/>
  <c r="CV204" i="1"/>
  <c r="EU33" i="1"/>
  <c r="AO18" i="1"/>
  <c r="FN102" i="1"/>
  <c r="EV228" i="1"/>
  <c r="EU228" i="1" s="1"/>
  <c r="DR228" i="1"/>
  <c r="FN228" i="1"/>
  <c r="FM228" i="1" s="1"/>
  <c r="FH228" i="1"/>
  <c r="FG228" i="1" s="1"/>
  <c r="DP228" i="1"/>
  <c r="EJ228" i="1"/>
  <c r="FU228" i="1"/>
  <c r="FT228" i="1" s="1"/>
  <c r="EP228" i="1"/>
  <c r="EO228" i="1" s="1"/>
  <c r="FB228" i="1"/>
  <c r="FA228" i="1" s="1"/>
  <c r="AU85" i="1"/>
  <c r="CV85" i="1" s="1"/>
  <c r="K84" i="1"/>
  <c r="CQ84" i="1"/>
  <c r="EO83" i="1"/>
  <c r="EO172" i="1" s="1"/>
  <c r="EV221" i="1"/>
  <c r="EL221" i="1"/>
  <c r="FM33" i="1"/>
  <c r="DZ139" i="1"/>
  <c r="DX139" i="1"/>
  <c r="EP36" i="1"/>
  <c r="FI36" i="1"/>
  <c r="EV102" i="1"/>
  <c r="DI36" i="1"/>
  <c r="ED118" i="1"/>
  <c r="FA211" i="1"/>
  <c r="EU211" i="1"/>
  <c r="FT211" i="1"/>
  <c r="CR210" i="1"/>
  <c r="FG211" i="1"/>
  <c r="FM211" i="1"/>
  <c r="DO211" i="1"/>
  <c r="EL210" i="1"/>
  <c r="EK210" i="1"/>
  <c r="FW210" i="1"/>
  <c r="EX210" i="1"/>
  <c r="EJ210" i="1"/>
  <c r="DT210" i="1"/>
  <c r="FV210" i="1"/>
  <c r="FJ210" i="1"/>
  <c r="EW210" i="1"/>
  <c r="DS210" i="1"/>
  <c r="CY210" i="1"/>
  <c r="N210" i="1" s="1"/>
  <c r="FU210" i="1"/>
  <c r="FI210" i="1"/>
  <c r="EV210" i="1"/>
  <c r="EF210" i="1"/>
  <c r="DR210" i="1"/>
  <c r="FH210" i="1"/>
  <c r="EE210" i="1"/>
  <c r="DQ210" i="1"/>
  <c r="ED210" i="1"/>
  <c r="DP210" i="1"/>
  <c r="ER210" i="1"/>
  <c r="FQ210" i="1"/>
  <c r="EQ210" i="1"/>
  <c r="FP210" i="1"/>
  <c r="FD210" i="1"/>
  <c r="EP210" i="1"/>
  <c r="FO210" i="1"/>
  <c r="FC210" i="1"/>
  <c r="FN210" i="1"/>
  <c r="FB210" i="1"/>
  <c r="CN210" i="1"/>
  <c r="CO210" i="1" s="1"/>
  <c r="M210" i="1" s="1"/>
  <c r="CP210" i="1"/>
  <c r="CQ210" i="1"/>
  <c r="DZ100" i="1"/>
  <c r="DX100" i="1"/>
  <c r="FA161" i="1"/>
  <c r="FB162" i="1"/>
  <c r="FG33" i="1"/>
  <c r="EO33" i="1"/>
  <c r="FG161" i="1"/>
  <c r="FH162" i="1"/>
  <c r="FM161" i="1"/>
  <c r="FN162" i="1"/>
  <c r="DO161" i="1"/>
  <c r="DP162" i="1"/>
  <c r="FT161" i="1"/>
  <c r="FU162" i="1"/>
  <c r="FT33" i="1"/>
  <c r="DO33" i="1"/>
  <c r="FA33" i="1"/>
  <c r="FC28" i="1"/>
  <c r="ER28" i="1"/>
  <c r="DU206" i="1"/>
  <c r="CQ103" i="1"/>
  <c r="FQ28" i="1"/>
  <c r="FV28" i="1"/>
  <c r="EE28" i="1"/>
  <c r="FD28" i="1"/>
  <c r="L103" i="1"/>
  <c r="FJ28" i="1"/>
  <c r="EW28" i="1"/>
  <c r="FP28" i="1"/>
  <c r="FW28" i="1"/>
  <c r="EQ28" i="1"/>
  <c r="EL28" i="1"/>
  <c r="FI28" i="1"/>
  <c r="FO12" i="1"/>
  <c r="EK28" i="1"/>
  <c r="FO28" i="1"/>
  <c r="EF28" i="1"/>
  <c r="EX28" i="1"/>
  <c r="K103" i="1"/>
  <c r="CV310" i="1"/>
  <c r="CV272" i="1"/>
  <c r="CV261" i="1"/>
  <c r="CV240" i="1"/>
  <c r="CV234" i="1"/>
  <c r="CV227" i="1"/>
  <c r="CV206" i="1"/>
  <c r="CV118" i="1"/>
  <c r="CV196" i="1"/>
  <c r="CV126" i="1"/>
  <c r="BA105" i="1"/>
  <c r="BA95" i="1"/>
  <c r="CV95" i="1" s="1"/>
  <c r="BA52" i="1"/>
  <c r="CV52" i="1" s="1"/>
  <c r="CQ47" i="1"/>
  <c r="K47" i="1"/>
  <c r="CQ23" i="1"/>
  <c r="K23" i="1"/>
  <c r="CV19" i="1"/>
  <c r="CQ18" i="1"/>
  <c r="K18" i="1"/>
  <c r="AX85" i="1"/>
  <c r="CL13" i="1"/>
  <c r="FZ13" i="1" s="1"/>
  <c r="FT252" i="1"/>
  <c r="FJ12" i="1"/>
  <c r="ER12" i="1"/>
  <c r="FV12" i="1"/>
  <c r="EF12" i="1"/>
  <c r="FU12" i="1"/>
  <c r="EE12" i="1"/>
  <c r="DT12" i="1"/>
  <c r="ED12" i="1"/>
  <c r="EV12" i="1"/>
  <c r="DI12" i="1"/>
  <c r="EP12" i="1"/>
  <c r="DP12" i="1"/>
  <c r="FH12" i="1"/>
  <c r="DR12" i="1"/>
  <c r="EL12" i="1"/>
  <c r="FD12" i="1"/>
  <c r="CO12" i="1"/>
  <c r="M12" i="1" s="1"/>
  <c r="FQ12" i="1"/>
  <c r="DU12" i="1"/>
  <c r="EU156" i="1"/>
  <c r="DP102" i="1"/>
  <c r="DT102" i="1"/>
  <c r="FC102" i="1"/>
  <c r="ER102" i="1"/>
  <c r="EL102" i="1"/>
  <c r="EF102" i="1"/>
  <c r="EJ102" i="1"/>
  <c r="DU102" i="1"/>
  <c r="FW102" i="1"/>
  <c r="FB102" i="1"/>
  <c r="CY102" i="1"/>
  <c r="CV102" i="1" s="1"/>
  <c r="FO102" i="1"/>
  <c r="DI102" i="1"/>
  <c r="DQ102" i="1"/>
  <c r="DS102" i="1"/>
  <c r="FJ102" i="1"/>
  <c r="EX102" i="1"/>
  <c r="EP102" i="1"/>
  <c r="FI102" i="1"/>
  <c r="FV102" i="1"/>
  <c r="FQ102" i="1"/>
  <c r="FH102" i="1"/>
  <c r="CO102" i="1"/>
  <c r="M102" i="1" s="1"/>
  <c r="EK102" i="1"/>
  <c r="FP102" i="1"/>
  <c r="EW102" i="1"/>
  <c r="FD102" i="1"/>
  <c r="EE102" i="1"/>
  <c r="DR102" i="1"/>
  <c r="FU102" i="1"/>
  <c r="ED102" i="1"/>
  <c r="FA69" i="1"/>
  <c r="EO69" i="1"/>
  <c r="BX39" i="1"/>
  <c r="CP37" i="1"/>
  <c r="CN37" i="1"/>
  <c r="CO37" i="1" s="1"/>
  <c r="M37" i="1" s="1"/>
  <c r="CQ37" i="1"/>
  <c r="L37" i="1"/>
  <c r="CR37" i="1"/>
  <c r="N69" i="1"/>
  <c r="DZ27" i="1"/>
  <c r="DZ32" i="1"/>
  <c r="DZ33" i="1"/>
  <c r="DX27" i="1"/>
  <c r="DX32" i="1"/>
  <c r="DX33" i="1"/>
  <c r="EL34" i="1"/>
  <c r="EL40" i="1" s="1"/>
  <c r="DI34" i="1"/>
  <c r="CO34" i="1"/>
  <c r="M34" i="1" s="1"/>
  <c r="EK34" i="1"/>
  <c r="EK40" i="1" s="1"/>
  <c r="DU34" i="1"/>
  <c r="FW34" i="1"/>
  <c r="FW40" i="1" s="1"/>
  <c r="EX34" i="1"/>
  <c r="EX40" i="1" s="1"/>
  <c r="EJ34" i="1"/>
  <c r="EJ40" i="1" s="1"/>
  <c r="DT34" i="1"/>
  <c r="FV34" i="1"/>
  <c r="FV40" i="1" s="1"/>
  <c r="FJ34" i="1"/>
  <c r="FJ40" i="1" s="1"/>
  <c r="EW34" i="1"/>
  <c r="EW40" i="1" s="1"/>
  <c r="DS34" i="1"/>
  <c r="CY34" i="1"/>
  <c r="N34" i="1" s="1"/>
  <c r="FU34" i="1"/>
  <c r="FU40" i="1" s="1"/>
  <c r="FI34" i="1"/>
  <c r="FI40" i="1" s="1"/>
  <c r="EV34" i="1"/>
  <c r="EV40" i="1" s="1"/>
  <c r="EF34" i="1"/>
  <c r="EF40" i="1" s="1"/>
  <c r="DR34" i="1"/>
  <c r="FH34" i="1"/>
  <c r="FH40" i="1" s="1"/>
  <c r="EE34" i="1"/>
  <c r="EE40" i="1" s="1"/>
  <c r="DQ34" i="1"/>
  <c r="ED34" i="1"/>
  <c r="ED40" i="1" s="1"/>
  <c r="DP34" i="1"/>
  <c r="ER34" i="1"/>
  <c r="ER40" i="1" s="1"/>
  <c r="FQ34" i="1"/>
  <c r="FQ40" i="1" s="1"/>
  <c r="EQ34" i="1"/>
  <c r="EQ40" i="1" s="1"/>
  <c r="FP34" i="1"/>
  <c r="FP40" i="1" s="1"/>
  <c r="FD34" i="1"/>
  <c r="FD40" i="1" s="1"/>
  <c r="EP34" i="1"/>
  <c r="EP40" i="1" s="1"/>
  <c r="FO34" i="1"/>
  <c r="FO40" i="1" s="1"/>
  <c r="FC34" i="1"/>
  <c r="FC40" i="1" s="1"/>
  <c r="DZ34" i="1"/>
  <c r="FN34" i="1"/>
  <c r="FN40" i="1" s="1"/>
  <c r="FB34" i="1"/>
  <c r="FB40" i="1" s="1"/>
  <c r="DX34" i="1"/>
  <c r="EU69" i="1"/>
  <c r="DO69" i="1"/>
  <c r="FT69" i="1"/>
  <c r="FM69" i="1"/>
  <c r="DZ116" i="1"/>
  <c r="DZ69" i="1"/>
  <c r="DX136" i="1"/>
  <c r="DX69" i="1"/>
  <c r="FG69" i="1"/>
  <c r="DU118" i="1"/>
  <c r="CL103" i="1"/>
  <c r="FZ103" i="1" s="1"/>
  <c r="GB10" i="1"/>
  <c r="GB7" i="1" s="1"/>
  <c r="GB75" i="1" s="1"/>
  <c r="FN36" i="1"/>
  <c r="FQ111" i="1"/>
  <c r="FD215" i="1"/>
  <c r="EQ37" i="1"/>
  <c r="EV182" i="1"/>
  <c r="FQ183" i="1"/>
  <c r="CY212" i="1"/>
  <c r="N212" i="1" s="1"/>
  <c r="DI25" i="1"/>
  <c r="DR118" i="1"/>
  <c r="FH118" i="1"/>
  <c r="FG118" i="1" s="1"/>
  <c r="EJ118" i="1"/>
  <c r="EV118" i="1"/>
  <c r="EU118" i="1" s="1"/>
  <c r="EP118" i="1"/>
  <c r="EO118" i="1" s="1"/>
  <c r="FN118" i="1"/>
  <c r="FM118" i="1" s="1"/>
  <c r="AO104" i="1"/>
  <c r="DP118" i="1"/>
  <c r="FB118" i="1"/>
  <c r="FA118" i="1" s="1"/>
  <c r="CO182" i="1"/>
  <c r="M182" i="1" s="1"/>
  <c r="J14" i="1"/>
  <c r="L14" i="1" s="1"/>
  <c r="FV182" i="1"/>
  <c r="FC182" i="1"/>
  <c r="ER182" i="1"/>
  <c r="ED182" i="1"/>
  <c r="FO182" i="1"/>
  <c r="FW182" i="1"/>
  <c r="EE182" i="1"/>
  <c r="DR182" i="1"/>
  <c r="CY182" i="1"/>
  <c r="N182" i="1" s="1"/>
  <c r="EX182" i="1"/>
  <c r="DU182" i="1"/>
  <c r="FB182" i="1"/>
  <c r="EK182" i="1"/>
  <c r="FJ182" i="1"/>
  <c r="DS182" i="1"/>
  <c r="FI182" i="1"/>
  <c r="FQ182" i="1"/>
  <c r="EP182" i="1"/>
  <c r="EW182" i="1"/>
  <c r="EL182" i="1"/>
  <c r="DT182" i="1"/>
  <c r="DP182" i="1"/>
  <c r="FP182" i="1"/>
  <c r="FD182" i="1"/>
  <c r="DQ182" i="1"/>
  <c r="EQ182" i="1"/>
  <c r="FU182" i="1"/>
  <c r="EJ182" i="1"/>
  <c r="FN182" i="1"/>
  <c r="EF182" i="1"/>
  <c r="DI182" i="1"/>
  <c r="FH182" i="1"/>
  <c r="DS12" i="1"/>
  <c r="EQ12" i="1"/>
  <c r="EW12" i="1"/>
  <c r="EJ12" i="1"/>
  <c r="FC12" i="1"/>
  <c r="FN12" i="1"/>
  <c r="EK12" i="1"/>
  <c r="FI12" i="1"/>
  <c r="FW12" i="1"/>
  <c r="EX12" i="1"/>
  <c r="DQ12" i="1"/>
  <c r="FP12" i="1"/>
  <c r="FB12" i="1"/>
  <c r="FO114" i="1"/>
  <c r="FO110" i="1"/>
  <c r="CO183" i="1"/>
  <c r="M183" i="1" s="1"/>
  <c r="FI183" i="1"/>
  <c r="FH183" i="1"/>
  <c r="CO25" i="1"/>
  <c r="M25" i="1" s="1"/>
  <c r="BX217" i="1"/>
  <c r="BY105" i="1"/>
  <c r="CY12" i="1"/>
  <c r="N12" i="1" s="1"/>
  <c r="FW110" i="1"/>
  <c r="FW114" i="1"/>
  <c r="BY217" i="1"/>
  <c r="CN217" i="1"/>
  <c r="EW25" i="1"/>
  <c r="DQ25" i="1"/>
  <c r="DP96" i="1"/>
  <c r="DP97" i="1" s="1"/>
  <c r="FB25" i="1"/>
  <c r="EP25" i="1"/>
  <c r="BN96" i="1"/>
  <c r="EJ234" i="1"/>
  <c r="DZ115" i="1"/>
  <c r="FB52" i="1"/>
  <c r="FA52" i="1" s="1"/>
  <c r="EL25" i="1"/>
  <c r="FC25" i="1"/>
  <c r="EW36" i="1"/>
  <c r="EF36" i="1"/>
  <c r="EK36" i="1"/>
  <c r="DP36" i="1"/>
  <c r="FH36" i="1"/>
  <c r="FD36" i="1"/>
  <c r="EV36" i="1"/>
  <c r="EJ36" i="1"/>
  <c r="ER36" i="1"/>
  <c r="DT36" i="1"/>
  <c r="DR36" i="1"/>
  <c r="FP36" i="1"/>
  <c r="DU36" i="1"/>
  <c r="EE36" i="1"/>
  <c r="FC36" i="1"/>
  <c r="DQ36" i="1"/>
  <c r="FJ36" i="1"/>
  <c r="FU36" i="1"/>
  <c r="FW36" i="1"/>
  <c r="FB36" i="1"/>
  <c r="EQ36" i="1"/>
  <c r="FV36" i="1"/>
  <c r="DS36" i="1"/>
  <c r="FO36" i="1"/>
  <c r="ED36" i="1"/>
  <c r="CO36" i="1"/>
  <c r="M36" i="1" s="1"/>
  <c r="EX36" i="1"/>
  <c r="CY36" i="1"/>
  <c r="CV36" i="1" s="1"/>
  <c r="FQ36" i="1"/>
  <c r="EL36" i="1"/>
  <c r="I14" i="1"/>
  <c r="DZ203" i="1"/>
  <c r="FA156" i="1"/>
  <c r="FT156" i="1"/>
  <c r="ER183" i="1"/>
  <c r="DS183" i="1"/>
  <c r="EJ183" i="1"/>
  <c r="FV183" i="1"/>
  <c r="FD183" i="1"/>
  <c r="DP183" i="1"/>
  <c r="EF183" i="1"/>
  <c r="DQ183" i="1"/>
  <c r="EP183" i="1"/>
  <c r="EV183" i="1"/>
  <c r="DU183" i="1"/>
  <c r="DT183" i="1"/>
  <c r="FC183" i="1"/>
  <c r="EL183" i="1"/>
  <c r="FP183" i="1"/>
  <c r="ER110" i="1"/>
  <c r="DR183" i="1"/>
  <c r="FO183" i="1"/>
  <c r="FJ183" i="1"/>
  <c r="ED183" i="1"/>
  <c r="FW183" i="1"/>
  <c r="FU183" i="1"/>
  <c r="EK183" i="1"/>
  <c r="DI183" i="1"/>
  <c r="EE183" i="1"/>
  <c r="EQ183" i="1"/>
  <c r="CY183" i="1"/>
  <c r="N183" i="1" s="1"/>
  <c r="EX183" i="1"/>
  <c r="FN183" i="1"/>
  <c r="EW183" i="1"/>
  <c r="FB183" i="1"/>
  <c r="EO157" i="1"/>
  <c r="EO145" i="1" s="1"/>
  <c r="CL216" i="1"/>
  <c r="FZ216" i="1" s="1"/>
  <c r="FV221" i="1"/>
  <c r="FC221" i="1"/>
  <c r="FG159" i="1"/>
  <c r="DU221" i="1"/>
  <c r="ED221" i="1"/>
  <c r="DQ221" i="1"/>
  <c r="CY221" i="1"/>
  <c r="N221" i="1" s="1"/>
  <c r="DP221" i="1"/>
  <c r="FH221" i="1"/>
  <c r="EK221" i="1"/>
  <c r="EW221" i="1"/>
  <c r="FU221" i="1"/>
  <c r="FI221" i="1"/>
  <c r="EJ221" i="1"/>
  <c r="DT221" i="1"/>
  <c r="EE221" i="1"/>
  <c r="EO305" i="1"/>
  <c r="EQ221" i="1"/>
  <c r="FB221" i="1"/>
  <c r="FP221" i="1"/>
  <c r="DI221" i="1"/>
  <c r="FD221" i="1"/>
  <c r="ER221" i="1"/>
  <c r="FJ221" i="1"/>
  <c r="DS221" i="1"/>
  <c r="FW221" i="1"/>
  <c r="CO221" i="1"/>
  <c r="M221" i="1" s="1"/>
  <c r="EP221" i="1"/>
  <c r="EF221" i="1"/>
  <c r="DQ114" i="1"/>
  <c r="FQ221" i="1"/>
  <c r="EX221" i="1"/>
  <c r="FO221" i="1"/>
  <c r="DQ110" i="1"/>
  <c r="FN221" i="1"/>
  <c r="DR221" i="1"/>
  <c r="DT278" i="1"/>
  <c r="DT279" i="1" s="1"/>
  <c r="DT280" i="1" s="1"/>
  <c r="DT294" i="1" s="1"/>
  <c r="FC114" i="1"/>
  <c r="FA305" i="1"/>
  <c r="ER114" i="1"/>
  <c r="FC110" i="1"/>
  <c r="FA160" i="1"/>
  <c r="CO111" i="1"/>
  <c r="M111" i="1" s="1"/>
  <c r="EO65" i="1"/>
  <c r="EF114" i="1"/>
  <c r="EF110" i="1"/>
  <c r="FD114" i="1"/>
  <c r="EX114" i="1"/>
  <c r="FD110" i="1"/>
  <c r="EO156" i="1"/>
  <c r="EX110" i="1"/>
  <c r="FM145" i="1"/>
  <c r="FT305" i="1"/>
  <c r="FG156" i="1"/>
  <c r="FG305" i="1"/>
  <c r="DO159" i="1"/>
  <c r="EU305" i="1"/>
  <c r="CY111" i="1"/>
  <c r="N111" i="1" s="1"/>
  <c r="DZ18" i="1"/>
  <c r="FP111" i="1"/>
  <c r="DP215" i="1"/>
  <c r="DZ25" i="1"/>
  <c r="DZ63" i="1"/>
  <c r="FW215" i="1"/>
  <c r="FO215" i="1"/>
  <c r="DZ293" i="1"/>
  <c r="FQ114" i="1"/>
  <c r="FQ110" i="1"/>
  <c r="EO159" i="1"/>
  <c r="EF215" i="1"/>
  <c r="EK215" i="1"/>
  <c r="DI215" i="1"/>
  <c r="DS215" i="1"/>
  <c r="FC215" i="1"/>
  <c r="ER215" i="1"/>
  <c r="EE215" i="1"/>
  <c r="FB215" i="1"/>
  <c r="FP215" i="1"/>
  <c r="DU215" i="1"/>
  <c r="EV215" i="1"/>
  <c r="FA157" i="1"/>
  <c r="FH212" i="1"/>
  <c r="EJ215" i="1"/>
  <c r="DR215" i="1"/>
  <c r="DZ136" i="1"/>
  <c r="DZ98" i="1"/>
  <c r="DZ99" i="1"/>
  <c r="FW212" i="1"/>
  <c r="FQ215" i="1"/>
  <c r="ED215" i="1"/>
  <c r="FB212" i="1"/>
  <c r="FN215" i="1"/>
  <c r="FJ215" i="1"/>
  <c r="FG134" i="1"/>
  <c r="FP212" i="1"/>
  <c r="EX215" i="1"/>
  <c r="DQ215" i="1"/>
  <c r="DT215" i="1"/>
  <c r="DX98" i="1"/>
  <c r="FN212" i="1"/>
  <c r="EW215" i="1"/>
  <c r="EP215" i="1"/>
  <c r="EQ215" i="1"/>
  <c r="DP212" i="1"/>
  <c r="DP214" i="1" s="1"/>
  <c r="FH215" i="1"/>
  <c r="EL215" i="1"/>
  <c r="FI215" i="1"/>
  <c r="CO215" i="1"/>
  <c r="M215" i="1" s="1"/>
  <c r="DT212" i="1"/>
  <c r="DT214" i="1" s="1"/>
  <c r="FV215" i="1"/>
  <c r="FU215" i="1"/>
  <c r="DX99" i="1"/>
  <c r="FI114" i="1"/>
  <c r="FI97" i="1"/>
  <c r="FI98" i="1" s="1"/>
  <c r="FI99" i="1" s="1"/>
  <c r="FI100" i="1" s="1"/>
  <c r="EQ110" i="1"/>
  <c r="EQ97" i="1"/>
  <c r="EQ98" i="1" s="1"/>
  <c r="EQ99" i="1" s="1"/>
  <c r="EQ100" i="1" s="1"/>
  <c r="DP98" i="1"/>
  <c r="ER212" i="1"/>
  <c r="EF212" i="1"/>
  <c r="EP212" i="1"/>
  <c r="FQ212" i="1"/>
  <c r="DQ212" i="1"/>
  <c r="DQ214" i="1" s="1"/>
  <c r="EL212" i="1"/>
  <c r="EK212" i="1"/>
  <c r="EJ212" i="1"/>
  <c r="FJ110" i="1"/>
  <c r="FJ97" i="1"/>
  <c r="FJ98" i="1" s="1"/>
  <c r="FJ99" i="1" s="1"/>
  <c r="FJ100" i="1" s="1"/>
  <c r="FI212" i="1"/>
  <c r="FO212" i="1"/>
  <c r="FU212" i="1"/>
  <c r="ED212" i="1"/>
  <c r="EE212" i="1"/>
  <c r="EW212" i="1"/>
  <c r="FC212" i="1"/>
  <c r="FD212" i="1"/>
  <c r="DS110" i="1"/>
  <c r="DS97" i="1"/>
  <c r="DS98" i="1" s="1"/>
  <c r="DS99" i="1" s="1"/>
  <c r="DS100" i="1" s="1"/>
  <c r="EU134" i="1"/>
  <c r="EU161" i="1" s="1"/>
  <c r="EU162" i="1" s="1"/>
  <c r="FP110" i="1"/>
  <c r="FP97" i="1"/>
  <c r="FP98" i="1" s="1"/>
  <c r="FP99" i="1" s="1"/>
  <c r="FP100" i="1" s="1"/>
  <c r="EU159" i="1"/>
  <c r="EL110" i="1"/>
  <c r="EL97" i="1"/>
  <c r="EL98" i="1" s="1"/>
  <c r="EL99" i="1" s="1"/>
  <c r="EL100" i="1" s="1"/>
  <c r="EQ212" i="1"/>
  <c r="DS212" i="1"/>
  <c r="DS214" i="1" s="1"/>
  <c r="DR212" i="1"/>
  <c r="DR214" i="1" s="1"/>
  <c r="FJ212" i="1"/>
  <c r="EX212" i="1"/>
  <c r="FV212" i="1"/>
  <c r="EV212" i="1"/>
  <c r="DT110" i="1"/>
  <c r="DT97" i="1"/>
  <c r="DT98" i="1" s="1"/>
  <c r="DT99" i="1" s="1"/>
  <c r="DT100" i="1" s="1"/>
  <c r="EK110" i="1"/>
  <c r="EK97" i="1"/>
  <c r="EK98" i="1" s="1"/>
  <c r="EK99" i="1" s="1"/>
  <c r="EK100" i="1" s="1"/>
  <c r="FV110" i="1"/>
  <c r="FV97" i="1"/>
  <c r="FV98" i="1" s="1"/>
  <c r="FV99" i="1" s="1"/>
  <c r="FV100" i="1" s="1"/>
  <c r="FT134" i="1"/>
  <c r="FG157" i="1"/>
  <c r="EL114" i="1"/>
  <c r="DU37" i="1"/>
  <c r="FI37" i="1"/>
  <c r="FA159" i="1"/>
  <c r="FM159" i="1"/>
  <c r="EQ111" i="1"/>
  <c r="ER25" i="1"/>
  <c r="CY215" i="1"/>
  <c r="N215" i="1" s="1"/>
  <c r="CY37" i="1"/>
  <c r="N37" i="1" s="1"/>
  <c r="FM305" i="1"/>
  <c r="DO145" i="1"/>
  <c r="FT159" i="1"/>
  <c r="EQ114" i="1"/>
  <c r="FP114" i="1"/>
  <c r="FM160" i="1"/>
  <c r="ED52" i="1"/>
  <c r="FH52" i="1"/>
  <c r="FG52" i="1" s="1"/>
  <c r="DO305" i="1"/>
  <c r="FV25" i="1"/>
  <c r="FH25" i="1"/>
  <c r="EE25" i="1"/>
  <c r="EF25" i="1"/>
  <c r="DP25" i="1"/>
  <c r="EK25" i="1"/>
  <c r="FP25" i="1"/>
  <c r="FD25" i="1"/>
  <c r="FG145" i="1"/>
  <c r="FV114" i="1"/>
  <c r="DT25" i="1"/>
  <c r="ED25" i="1"/>
  <c r="EQ25" i="1"/>
  <c r="DR25" i="1"/>
  <c r="FI25" i="1"/>
  <c r="EV25" i="1"/>
  <c r="EJ25" i="1"/>
  <c r="FN25" i="1"/>
  <c r="FU25" i="1"/>
  <c r="FW25" i="1"/>
  <c r="FT145" i="1"/>
  <c r="DO157" i="1"/>
  <c r="FG160" i="1"/>
  <c r="FN52" i="1"/>
  <c r="FM52" i="1" s="1"/>
  <c r="EV52" i="1"/>
  <c r="EU52" i="1" s="1"/>
  <c r="FA134" i="1"/>
  <c r="DZ170" i="1"/>
  <c r="FQ25" i="1"/>
  <c r="CY25" i="1"/>
  <c r="N25" i="1" s="1"/>
  <c r="FO25" i="1"/>
  <c r="FJ25" i="1"/>
  <c r="EX25" i="1"/>
  <c r="DS25" i="1"/>
  <c r="DU25" i="1"/>
  <c r="EO160" i="1"/>
  <c r="EU160" i="1"/>
  <c r="FT157" i="1"/>
  <c r="FT160" i="1"/>
  <c r="EP52" i="1"/>
  <c r="EO52" i="1" s="1"/>
  <c r="FU52" i="1"/>
  <c r="FT52" i="1" s="1"/>
  <c r="DP52" i="1"/>
  <c r="DR52" i="1"/>
  <c r="FM156" i="1"/>
  <c r="DX170" i="1"/>
  <c r="FA145" i="1"/>
  <c r="FM157" i="1"/>
  <c r="DR278" i="1"/>
  <c r="DR279" i="1" s="1"/>
  <c r="DR280" i="1" s="1"/>
  <c r="DR294" i="1" s="1"/>
  <c r="EO134" i="1"/>
  <c r="EO161" i="1" s="1"/>
  <c r="EO162" i="1" s="1"/>
  <c r="DZ265" i="1"/>
  <c r="DZ50" i="1"/>
  <c r="DZ56" i="1"/>
  <c r="DZ17" i="1"/>
  <c r="DZ152" i="1"/>
  <c r="DZ78" i="1"/>
  <c r="DX152" i="1"/>
  <c r="DZ92" i="1"/>
  <c r="FM134" i="1"/>
  <c r="FT60" i="1"/>
  <c r="EU251" i="1"/>
  <c r="EO290" i="1"/>
  <c r="DZ193" i="1"/>
  <c r="DZ195" i="1"/>
  <c r="FH152" i="1"/>
  <c r="DT133" i="1"/>
  <c r="DT169" i="1" s="1"/>
  <c r="DT170" i="1" s="1"/>
  <c r="DT171" i="1" s="1"/>
  <c r="DT151" i="1"/>
  <c r="DT152" i="1" s="1"/>
  <c r="EK133" i="1"/>
  <c r="EK169" i="1" s="1"/>
  <c r="EK170" i="1" s="1"/>
  <c r="EK171" i="1" s="1"/>
  <c r="EK151" i="1"/>
  <c r="EK152" i="1" s="1"/>
  <c r="ER133" i="1"/>
  <c r="ER169" i="1" s="1"/>
  <c r="ER170" i="1" s="1"/>
  <c r="ER171" i="1" s="1"/>
  <c r="ER151" i="1"/>
  <c r="ER152" i="1" s="1"/>
  <c r="DQ133" i="1"/>
  <c r="DQ169" i="1" s="1"/>
  <c r="DQ170" i="1" s="1"/>
  <c r="DQ171" i="1" s="1"/>
  <c r="DQ151" i="1"/>
  <c r="DQ152" i="1" s="1"/>
  <c r="FJ133" i="1"/>
  <c r="FJ169" i="1" s="1"/>
  <c r="FJ170" i="1" s="1"/>
  <c r="FJ171" i="1" s="1"/>
  <c r="FJ151" i="1"/>
  <c r="FJ152" i="1" s="1"/>
  <c r="FB152" i="1"/>
  <c r="FW133" i="1"/>
  <c r="FW169" i="1" s="1"/>
  <c r="FW170" i="1" s="1"/>
  <c r="FW171" i="1" s="1"/>
  <c r="FW151" i="1"/>
  <c r="FW152" i="1" s="1"/>
  <c r="EV133" i="1"/>
  <c r="EV169" i="1" s="1"/>
  <c r="EV170" i="1" s="1"/>
  <c r="EV171" i="1" s="1"/>
  <c r="EV151" i="1"/>
  <c r="EV152" i="1" s="1"/>
  <c r="DR133" i="1"/>
  <c r="DR169" i="1" s="1"/>
  <c r="DR170" i="1" s="1"/>
  <c r="DR171" i="1" s="1"/>
  <c r="DR151" i="1"/>
  <c r="DR152" i="1" s="1"/>
  <c r="DZ221" i="1"/>
  <c r="DS133" i="1"/>
  <c r="DS169" i="1" s="1"/>
  <c r="DS170" i="1" s="1"/>
  <c r="DS171" i="1" s="1"/>
  <c r="DS151" i="1"/>
  <c r="DS152" i="1" s="1"/>
  <c r="DU133" i="1"/>
  <c r="DU169" i="1" s="1"/>
  <c r="DU170" i="1" s="1"/>
  <c r="DU171" i="1" s="1"/>
  <c r="DU151" i="1"/>
  <c r="DU152" i="1" s="1"/>
  <c r="EQ133" i="1"/>
  <c r="EQ169" i="1" s="1"/>
  <c r="EQ170" i="1" s="1"/>
  <c r="EQ171" i="1" s="1"/>
  <c r="EQ151" i="1"/>
  <c r="EQ152" i="1" s="1"/>
  <c r="FV133" i="1"/>
  <c r="FV169" i="1" s="1"/>
  <c r="FV170" i="1" s="1"/>
  <c r="FV171" i="1" s="1"/>
  <c r="FV151" i="1"/>
  <c r="FV152" i="1" s="1"/>
  <c r="EJ133" i="1"/>
  <c r="EJ169" i="1" s="1"/>
  <c r="EJ170" i="1" s="1"/>
  <c r="EJ151" i="1"/>
  <c r="EJ152" i="1" s="1"/>
  <c r="FP133" i="1"/>
  <c r="FP169" i="1" s="1"/>
  <c r="FP170" i="1" s="1"/>
  <c r="FP171" i="1" s="1"/>
  <c r="FP151" i="1"/>
  <c r="FP152" i="1" s="1"/>
  <c r="FD133" i="1"/>
  <c r="FD169" i="1" s="1"/>
  <c r="FD170" i="1" s="1"/>
  <c r="FD171" i="1" s="1"/>
  <c r="FD151" i="1"/>
  <c r="FD152" i="1" s="1"/>
  <c r="EF133" i="1"/>
  <c r="EF169" i="1" s="1"/>
  <c r="EF170" i="1" s="1"/>
  <c r="EF171" i="1" s="1"/>
  <c r="EF151" i="1"/>
  <c r="EF152" i="1" s="1"/>
  <c r="EL133" i="1"/>
  <c r="EL169" i="1" s="1"/>
  <c r="EL170" i="1" s="1"/>
  <c r="EL171" i="1" s="1"/>
  <c r="EL151" i="1"/>
  <c r="EL152" i="1" s="1"/>
  <c r="FI133" i="1"/>
  <c r="FI169" i="1" s="1"/>
  <c r="FI170" i="1" s="1"/>
  <c r="FI171" i="1" s="1"/>
  <c r="FI151" i="1"/>
  <c r="FI152" i="1" s="1"/>
  <c r="DP152" i="1"/>
  <c r="FQ133" i="1"/>
  <c r="FQ169" i="1" s="1"/>
  <c r="FQ170" i="1" s="1"/>
  <c r="FQ171" i="1" s="1"/>
  <c r="FQ151" i="1"/>
  <c r="FQ152" i="1" s="1"/>
  <c r="EE133" i="1"/>
  <c r="EE169" i="1" s="1"/>
  <c r="EE170" i="1" s="1"/>
  <c r="EE171" i="1" s="1"/>
  <c r="EE151" i="1"/>
  <c r="EE152" i="1" s="1"/>
  <c r="EP133" i="1"/>
  <c r="EP169" i="1" s="1"/>
  <c r="EP170" i="1" s="1"/>
  <c r="EP171" i="1" s="1"/>
  <c r="EP151" i="1"/>
  <c r="EP152" i="1" s="1"/>
  <c r="FU152" i="1"/>
  <c r="FC133" i="1"/>
  <c r="FC169" i="1" s="1"/>
  <c r="FC170" i="1" s="1"/>
  <c r="FC171" i="1" s="1"/>
  <c r="FC151" i="1"/>
  <c r="FC152" i="1" s="1"/>
  <c r="FO133" i="1"/>
  <c r="FO169" i="1" s="1"/>
  <c r="FO170" i="1" s="1"/>
  <c r="FO171" i="1" s="1"/>
  <c r="FO151" i="1"/>
  <c r="FO152" i="1" s="1"/>
  <c r="EX133" i="1"/>
  <c r="EX169" i="1" s="1"/>
  <c r="EX170" i="1" s="1"/>
  <c r="EX171" i="1" s="1"/>
  <c r="EX151" i="1"/>
  <c r="EX152" i="1" s="1"/>
  <c r="FN152" i="1"/>
  <c r="EU204" i="1"/>
  <c r="EW133" i="1"/>
  <c r="EW169" i="1" s="1"/>
  <c r="EW170" i="1" s="1"/>
  <c r="EW171" i="1" s="1"/>
  <c r="EW151" i="1"/>
  <c r="EW152" i="1" s="1"/>
  <c r="ED133" i="1"/>
  <c r="ED169" i="1" s="1"/>
  <c r="ED170" i="1" s="1"/>
  <c r="ED151" i="1"/>
  <c r="ED152" i="1" s="1"/>
  <c r="DO134" i="1"/>
  <c r="DZ46" i="1"/>
  <c r="DZ134" i="1"/>
  <c r="DX133" i="1"/>
  <c r="DX134" i="1"/>
  <c r="EU283" i="1"/>
  <c r="EU258" i="1"/>
  <c r="FT277" i="1"/>
  <c r="FR277" i="1" s="1"/>
  <c r="DZ47" i="1"/>
  <c r="EO72" i="1"/>
  <c r="EU232" i="1"/>
  <c r="EO168" i="1"/>
  <c r="EO292" i="1"/>
  <c r="EO68" i="1"/>
  <c r="FA304" i="1"/>
  <c r="EU30" i="1"/>
  <c r="EU200" i="1"/>
  <c r="FA232" i="1"/>
  <c r="FC135" i="1"/>
  <c r="FC136" i="1" s="1"/>
  <c r="FO135" i="1"/>
  <c r="FO136" i="1" s="1"/>
  <c r="EX135" i="1"/>
  <c r="EX136" i="1" s="1"/>
  <c r="EW135" i="1"/>
  <c r="EW136" i="1" s="1"/>
  <c r="DZ133" i="1"/>
  <c r="DT135" i="1"/>
  <c r="DT136" i="1" s="1"/>
  <c r="EK135" i="1"/>
  <c r="EK136" i="1" s="1"/>
  <c r="ER135" i="1"/>
  <c r="ER136" i="1" s="1"/>
  <c r="FG29" i="1"/>
  <c r="DQ135" i="1"/>
  <c r="DQ136" i="1" s="1"/>
  <c r="FJ135" i="1"/>
  <c r="FJ136" i="1" s="1"/>
  <c r="FW135" i="1"/>
  <c r="FW136" i="1" s="1"/>
  <c r="EV135" i="1"/>
  <c r="EV136" i="1" s="1"/>
  <c r="DR135" i="1"/>
  <c r="DR136" i="1" s="1"/>
  <c r="EO88" i="1"/>
  <c r="DS135" i="1"/>
  <c r="DS136" i="1" s="1"/>
  <c r="DU135" i="1"/>
  <c r="DU136" i="1" s="1"/>
  <c r="EQ135" i="1"/>
  <c r="EQ136" i="1" s="1"/>
  <c r="FV135" i="1"/>
  <c r="FV136" i="1" s="1"/>
  <c r="FP135" i="1"/>
  <c r="FP136" i="1" s="1"/>
  <c r="FD135" i="1"/>
  <c r="FD136" i="1" s="1"/>
  <c r="EF135" i="1"/>
  <c r="EF136" i="1" s="1"/>
  <c r="EL135" i="1"/>
  <c r="EL136" i="1" s="1"/>
  <c r="FI135" i="1"/>
  <c r="FI136" i="1" s="1"/>
  <c r="FQ135" i="1"/>
  <c r="FQ136" i="1" s="1"/>
  <c r="EE135" i="1"/>
  <c r="EE136" i="1" s="1"/>
  <c r="EP135" i="1"/>
  <c r="EP136" i="1" s="1"/>
  <c r="DX135" i="1"/>
  <c r="DZ135" i="1"/>
  <c r="ED135" i="1"/>
  <c r="EJ135" i="1"/>
  <c r="FA132" i="1"/>
  <c r="FB133" i="1"/>
  <c r="FB169" i="1" s="1"/>
  <c r="EL111" i="1"/>
  <c r="DQ111" i="1"/>
  <c r="FI111" i="1"/>
  <c r="DS111" i="1"/>
  <c r="EO300" i="1"/>
  <c r="FA226" i="1"/>
  <c r="EF111" i="1"/>
  <c r="DR111" i="1"/>
  <c r="EX111" i="1"/>
  <c r="EU157" i="1"/>
  <c r="EU145" i="1" s="1"/>
  <c r="DO240" i="1"/>
  <c r="EV111" i="1"/>
  <c r="EW111" i="1"/>
  <c r="FC111" i="1"/>
  <c r="DO160" i="1"/>
  <c r="DX111" i="1"/>
  <c r="FW111" i="1"/>
  <c r="FB111" i="1"/>
  <c r="FO111" i="1"/>
  <c r="DQ278" i="1"/>
  <c r="DQ279" i="1" s="1"/>
  <c r="DQ280" i="1" s="1"/>
  <c r="DQ294" i="1" s="1"/>
  <c r="DO132" i="1"/>
  <c r="DP133" i="1"/>
  <c r="DP169" i="1" s="1"/>
  <c r="DP111" i="1"/>
  <c r="FN111" i="1"/>
  <c r="FG201" i="1"/>
  <c r="FH111" i="1"/>
  <c r="ER111" i="1"/>
  <c r="FU111" i="1"/>
  <c r="EW201" i="1"/>
  <c r="FT132" i="1"/>
  <c r="FU133" i="1"/>
  <c r="FU169" i="1" s="1"/>
  <c r="EE111" i="1"/>
  <c r="ED111" i="1"/>
  <c r="DI111" i="1"/>
  <c r="FT89" i="1"/>
  <c r="FM132" i="1"/>
  <c r="FN133" i="1"/>
  <c r="FN169" i="1" s="1"/>
  <c r="EU195" i="1"/>
  <c r="FJ111" i="1"/>
  <c r="DT111" i="1"/>
  <c r="EJ111" i="1"/>
  <c r="DU111" i="1"/>
  <c r="EP111" i="1"/>
  <c r="FV111" i="1"/>
  <c r="FG132" i="1"/>
  <c r="FH133" i="1"/>
  <c r="FH169" i="1" s="1"/>
  <c r="EK111" i="1"/>
  <c r="FD111" i="1"/>
  <c r="EU185" i="1"/>
  <c r="FJ114" i="1"/>
  <c r="DZ128" i="1"/>
  <c r="FT225" i="1"/>
  <c r="DI19" i="1"/>
  <c r="DX265" i="1"/>
  <c r="FT88" i="1"/>
  <c r="EO204" i="1"/>
  <c r="EU65" i="1"/>
  <c r="EO195" i="1"/>
  <c r="DU19" i="1"/>
  <c r="FA271" i="1"/>
  <c r="EU259" i="1"/>
  <c r="FM220" i="1"/>
  <c r="FG92" i="1"/>
  <c r="EO242" i="1"/>
  <c r="EO122" i="1" s="1"/>
  <c r="FT238" i="1"/>
  <c r="EU307" i="1"/>
  <c r="FG233" i="1"/>
  <c r="FT125" i="1"/>
  <c r="FM82" i="1"/>
  <c r="FT67" i="1"/>
  <c r="EU93" i="1"/>
  <c r="EU72" i="1"/>
  <c r="EU82" i="1"/>
  <c r="EU132" i="1" s="1"/>
  <c r="EO116" i="1"/>
  <c r="EO143" i="1" s="1"/>
  <c r="EO144" i="1" s="1"/>
  <c r="FT115" i="1"/>
  <c r="EO255" i="1"/>
  <c r="EO237" i="1"/>
  <c r="EU199" i="1"/>
  <c r="EO199" i="1"/>
  <c r="DR37" i="1"/>
  <c r="EU252" i="1"/>
  <c r="FU267" i="1"/>
  <c r="FT267" i="1" s="1"/>
  <c r="EU80" i="1"/>
  <c r="EU175" i="1" s="1"/>
  <c r="FG88" i="1"/>
  <c r="FT93" i="1"/>
  <c r="FC37" i="1"/>
  <c r="EE37" i="1"/>
  <c r="EW37" i="1"/>
  <c r="EU59" i="1"/>
  <c r="FT226" i="1"/>
  <c r="EO18" i="1"/>
  <c r="ED267" i="1"/>
  <c r="ED268" i="1" s="1"/>
  <c r="EO10" i="1"/>
  <c r="EO11" i="1" s="1"/>
  <c r="FU37" i="1"/>
  <c r="FH37" i="1"/>
  <c r="FQ37" i="1"/>
  <c r="EU196" i="1"/>
  <c r="FH267" i="1"/>
  <c r="FG267" i="1" s="1"/>
  <c r="DI206" i="1"/>
  <c r="FG220" i="1"/>
  <c r="DT37" i="1"/>
  <c r="DQ37" i="1"/>
  <c r="EP37" i="1"/>
  <c r="EU237" i="1"/>
  <c r="EU125" i="1"/>
  <c r="EU300" i="1"/>
  <c r="EK37" i="1"/>
  <c r="DI37" i="1"/>
  <c r="FW37" i="1"/>
  <c r="EU270" i="1"/>
  <c r="CR39" i="1"/>
  <c r="FG72" i="1"/>
  <c r="EU265" i="1"/>
  <c r="EJ267" i="1"/>
  <c r="EJ268" i="1" s="1"/>
  <c r="EO56" i="1"/>
  <c r="FA201" i="1"/>
  <c r="FT232" i="1"/>
  <c r="FB37" i="1"/>
  <c r="ED37" i="1"/>
  <c r="EV37" i="1"/>
  <c r="EL37" i="1"/>
  <c r="EV267" i="1"/>
  <c r="EV268" i="1" s="1"/>
  <c r="FN267" i="1"/>
  <c r="FN268" i="1" s="1"/>
  <c r="FM268" i="1" s="1"/>
  <c r="EO95" i="1"/>
  <c r="DU85" i="1"/>
  <c r="DS37" i="1"/>
  <c r="FD37" i="1"/>
  <c r="FV37" i="1"/>
  <c r="FG237" i="1"/>
  <c r="DO45" i="1"/>
  <c r="CQ39" i="1"/>
  <c r="FA196" i="1"/>
  <c r="EU67" i="1"/>
  <c r="EF37" i="1"/>
  <c r="ER37" i="1"/>
  <c r="EU205" i="1"/>
  <c r="DR267" i="1"/>
  <c r="FB267" i="1"/>
  <c r="FB268" i="1" s="1"/>
  <c r="FA268" i="1" s="1"/>
  <c r="EO193" i="1"/>
  <c r="FG206" i="1"/>
  <c r="FA95" i="1"/>
  <c r="FA227" i="1"/>
  <c r="EO200" i="1"/>
  <c r="EO201" i="1" s="1"/>
  <c r="FJ37" i="1"/>
  <c r="FP37" i="1"/>
  <c r="FA270" i="1"/>
  <c r="FT260" i="1"/>
  <c r="EO125" i="1"/>
  <c r="FG196" i="1"/>
  <c r="FN37" i="1"/>
  <c r="FM278" i="1"/>
  <c r="FK278" i="1" s="1"/>
  <c r="BN267" i="1"/>
  <c r="DZ267" i="1" s="1"/>
  <c r="FM225" i="1"/>
  <c r="DP37" i="1"/>
  <c r="EX37" i="1"/>
  <c r="EO59" i="1"/>
  <c r="EO231" i="1"/>
  <c r="EO307" i="1"/>
  <c r="EJ37" i="1"/>
  <c r="FO37" i="1"/>
  <c r="FA231" i="1"/>
  <c r="AU53" i="1"/>
  <c r="K52" i="1"/>
  <c r="CQ52" i="1"/>
  <c r="FM29" i="1"/>
  <c r="FA29" i="1"/>
  <c r="EO17" i="1"/>
  <c r="FM16" i="1"/>
  <c r="EU292" i="1"/>
  <c r="FM251" i="1"/>
  <c r="EU309" i="1"/>
  <c r="EO297" i="1"/>
  <c r="EO298" i="1" s="1"/>
  <c r="FA63" i="1"/>
  <c r="EU289" i="1"/>
  <c r="FT241" i="1"/>
  <c r="CQ96" i="1"/>
  <c r="K96" i="1"/>
  <c r="DR96" i="1"/>
  <c r="DR97" i="1" s="1"/>
  <c r="DR98" i="1" s="1"/>
  <c r="DR99" i="1" s="1"/>
  <c r="DR100" i="1" s="1"/>
  <c r="FB96" i="1"/>
  <c r="FB97" i="1" s="1"/>
  <c r="EP96" i="1"/>
  <c r="EP97" i="1" s="1"/>
  <c r="EP98" i="1" s="1"/>
  <c r="EP99" i="1" s="1"/>
  <c r="EP100" i="1" s="1"/>
  <c r="ED96" i="1"/>
  <c r="ED97" i="1" s="1"/>
  <c r="ED98" i="1" s="1"/>
  <c r="EV96" i="1"/>
  <c r="EV97" i="1" s="1"/>
  <c r="EV98" i="1" s="1"/>
  <c r="EV99" i="1" s="1"/>
  <c r="EV100" i="1" s="1"/>
  <c r="FU96" i="1"/>
  <c r="FU97" i="1" s="1"/>
  <c r="FN96" i="1"/>
  <c r="FN97" i="1" s="1"/>
  <c r="EJ96" i="1"/>
  <c r="EJ97" i="1" s="1"/>
  <c r="EJ98" i="1" s="1"/>
  <c r="FH96" i="1"/>
  <c r="FH97" i="1" s="1"/>
  <c r="EU290" i="1"/>
  <c r="EU94" i="1"/>
  <c r="EO308" i="1"/>
  <c r="EO271" i="1"/>
  <c r="EO261" i="1"/>
  <c r="FA55" i="1"/>
  <c r="FT49" i="1"/>
  <c r="FA233" i="1"/>
  <c r="EO16" i="1"/>
  <c r="DO272" i="1"/>
  <c r="FA59" i="1"/>
  <c r="EU124" i="1"/>
  <c r="EU269" i="1"/>
  <c r="CN216" i="1"/>
  <c r="CQ216" i="1"/>
  <c r="CP216" i="1"/>
  <c r="U107" i="1"/>
  <c r="I106" i="1"/>
  <c r="J106" i="1"/>
  <c r="BX106" i="1"/>
  <c r="BY106" i="1"/>
  <c r="EO50" i="1"/>
  <c r="EO115" i="1"/>
  <c r="FG209" i="1"/>
  <c r="FM193" i="1"/>
  <c r="FA68" i="1"/>
  <c r="EO233" i="1"/>
  <c r="FA262" i="1"/>
  <c r="EO263" i="1"/>
  <c r="EO264" i="1" s="1"/>
  <c r="EU209" i="1"/>
  <c r="EO283" i="1"/>
  <c r="EO93" i="1"/>
  <c r="EO21" i="1"/>
  <c r="FT200" i="1"/>
  <c r="FM270" i="1"/>
  <c r="FT237" i="1"/>
  <c r="EU64" i="1"/>
  <c r="DO196" i="1"/>
  <c r="CL39" i="1"/>
  <c r="FZ39" i="1" s="1"/>
  <c r="EO78" i="1"/>
  <c r="FG283" i="1"/>
  <c r="EU295" i="1"/>
  <c r="EU155" i="1" s="1"/>
  <c r="FM88" i="1"/>
  <c r="FG49" i="1"/>
  <c r="EO301" i="1"/>
  <c r="EU260" i="1"/>
  <c r="EU231" i="1"/>
  <c r="EU241" i="1"/>
  <c r="FM64" i="1"/>
  <c r="FG82" i="1"/>
  <c r="EO51" i="1"/>
  <c r="EU255" i="1"/>
  <c r="DO237" i="1"/>
  <c r="FT124" i="1"/>
  <c r="FA241" i="1"/>
  <c r="EO22" i="1"/>
  <c r="EU29" i="1"/>
  <c r="EO196" i="1"/>
  <c r="CN39" i="1"/>
  <c r="CP39" i="1"/>
  <c r="FT50" i="1"/>
  <c r="EO194" i="1"/>
  <c r="DO82" i="1"/>
  <c r="FA82" i="1"/>
  <c r="EU17" i="1"/>
  <c r="EO79" i="1"/>
  <c r="EU194" i="1"/>
  <c r="FM298" i="1"/>
  <c r="EO124" i="1"/>
  <c r="FA309" i="1"/>
  <c r="FG64" i="1"/>
  <c r="FT196" i="1"/>
  <c r="FG116" i="1"/>
  <c r="EU10" i="1"/>
  <c r="EU11" i="1" s="1"/>
  <c r="EU46" i="1"/>
  <c r="FG304" i="1"/>
  <c r="FG200" i="1"/>
  <c r="FT16" i="1"/>
  <c r="FA255" i="1"/>
  <c r="FG258" i="1"/>
  <c r="CQ118" i="1"/>
  <c r="CQ228" i="1"/>
  <c r="EU115" i="1"/>
  <c r="EU79" i="1"/>
  <c r="EO89" i="1"/>
  <c r="K39" i="1"/>
  <c r="FM201" i="1"/>
  <c r="DJ234" i="1"/>
  <c r="DK234" i="1" s="1"/>
  <c r="CQ234" i="1"/>
  <c r="FA207" i="1"/>
  <c r="DX50" i="1"/>
  <c r="DO92" i="1"/>
  <c r="DX17" i="1"/>
  <c r="EU88" i="1"/>
  <c r="FT204" i="1"/>
  <c r="EO60" i="1"/>
  <c r="EU240" i="1"/>
  <c r="DO270" i="1"/>
  <c r="FM258" i="1"/>
  <c r="DR234" i="1"/>
  <c r="DO241" i="1"/>
  <c r="FT309" i="1"/>
  <c r="FA290" i="1"/>
  <c r="FM146" i="1"/>
  <c r="FM168" i="1"/>
  <c r="EO240" i="1"/>
  <c r="FA16" i="1"/>
  <c r="EO262" i="1"/>
  <c r="EP234" i="1"/>
  <c r="EO234" i="1" s="1"/>
  <c r="EV234" i="1"/>
  <c r="EU234" i="1" s="1"/>
  <c r="EU123" i="1"/>
  <c r="FG231" i="1"/>
  <c r="EU22" i="1"/>
  <c r="FG269" i="1"/>
  <c r="CQ267" i="1"/>
  <c r="FA64" i="1"/>
  <c r="FH91" i="1"/>
  <c r="FG91" i="1" s="1"/>
  <c r="FG90" i="1"/>
  <c r="DX293" i="1"/>
  <c r="FT265" i="1"/>
  <c r="FT209" i="1"/>
  <c r="EO94" i="1"/>
  <c r="EU146" i="1"/>
  <c r="FG240" i="1"/>
  <c r="EO225" i="1"/>
  <c r="FM233" i="1"/>
  <c r="EO253" i="1"/>
  <c r="EO254" i="1" s="1"/>
  <c r="EU284" i="1"/>
  <c r="EU285" i="1" s="1"/>
  <c r="FT301" i="1"/>
  <c r="EU262" i="1"/>
  <c r="FG185" i="1"/>
  <c r="EO258" i="1"/>
  <c r="DU234" i="1"/>
  <c r="DI234" i="1"/>
  <c r="EO45" i="1"/>
  <c r="EU45" i="1"/>
  <c r="DO156" i="1"/>
  <c r="FM269" i="1"/>
  <c r="EO238" i="1"/>
  <c r="DJ206" i="1"/>
  <c r="DK206" i="1" s="1"/>
  <c r="FM90" i="1"/>
  <c r="FP91" i="1"/>
  <c r="FM91" i="1" s="1"/>
  <c r="EU90" i="1"/>
  <c r="EU91" i="1" s="1"/>
  <c r="EW91" i="1"/>
  <c r="DX25" i="1"/>
  <c r="DX63" i="1"/>
  <c r="DX56" i="1"/>
  <c r="DX193" i="1"/>
  <c r="DO17" i="1"/>
  <c r="FG310" i="1"/>
  <c r="EO67" i="1"/>
  <c r="DX83" i="1"/>
  <c r="FG271" i="1"/>
  <c r="EO239" i="1"/>
  <c r="FG225" i="1"/>
  <c r="FG194" i="1"/>
  <c r="FM297" i="1"/>
  <c r="FT116" i="1"/>
  <c r="DX116" i="1"/>
  <c r="DX221" i="1"/>
  <c r="FT271" i="1"/>
  <c r="FG95" i="1"/>
  <c r="EU55" i="1"/>
  <c r="FA49" i="1"/>
  <c r="FA239" i="1"/>
  <c r="FM239" i="1"/>
  <c r="EU233" i="1"/>
  <c r="FA260" i="1"/>
  <c r="FM185" i="1"/>
  <c r="FT185" i="1"/>
  <c r="FM277" i="1"/>
  <c r="FK277" i="1" s="1"/>
  <c r="FM252" i="1"/>
  <c r="EO256" i="1"/>
  <c r="EO257" i="1" s="1"/>
  <c r="FA124" i="1"/>
  <c r="DO90" i="1"/>
  <c r="DQ91" i="1"/>
  <c r="DO91" i="1" s="1"/>
  <c r="DX195" i="1"/>
  <c r="FT207" i="1"/>
  <c r="FG78" i="1"/>
  <c r="FA265" i="1"/>
  <c r="EU63" i="1"/>
  <c r="EO63" i="1"/>
  <c r="FA88" i="1"/>
  <c r="FT46" i="1"/>
  <c r="EO259" i="1"/>
  <c r="EU261" i="1"/>
  <c r="FM95" i="1"/>
  <c r="EO55" i="1"/>
  <c r="FT220" i="1"/>
  <c r="EU225" i="1"/>
  <c r="EU304" i="1"/>
  <c r="EU272" i="1"/>
  <c r="EU306" i="1" s="1"/>
  <c r="EO251" i="1"/>
  <c r="FN234" i="1"/>
  <c r="FM234" i="1" s="1"/>
  <c r="FA45" i="1"/>
  <c r="EO123" i="1"/>
  <c r="EO241" i="1"/>
  <c r="EU297" i="1"/>
  <c r="EU298" i="1" s="1"/>
  <c r="EU226" i="1"/>
  <c r="FT64" i="1"/>
  <c r="FT195" i="1"/>
  <c r="EO203" i="1"/>
  <c r="DX92" i="1"/>
  <c r="DX283" i="1"/>
  <c r="DX295" i="1"/>
  <c r="DX88" i="1"/>
  <c r="FA204" i="1"/>
  <c r="FA240" i="1"/>
  <c r="EO260" i="1"/>
  <c r="EO126" i="1"/>
  <c r="EO243" i="1" s="1"/>
  <c r="EO244" i="1" s="1"/>
  <c r="DO199" i="1"/>
  <c r="EO269" i="1"/>
  <c r="DO64" i="1"/>
  <c r="DX67" i="1"/>
  <c r="DI51" i="1"/>
  <c r="DX203" i="1"/>
  <c r="FM290" i="1"/>
  <c r="FT233" i="1"/>
  <c r="EU301" i="1"/>
  <c r="FT255" i="1"/>
  <c r="FM260" i="1"/>
  <c r="FA289" i="1"/>
  <c r="EO272" i="1"/>
  <c r="EO306" i="1" s="1"/>
  <c r="FB234" i="1"/>
  <c r="FA234" i="1" s="1"/>
  <c r="FA252" i="1"/>
  <c r="FG125" i="1"/>
  <c r="DO70" i="1"/>
  <c r="FG238" i="1"/>
  <c r="EO29" i="1"/>
  <c r="EO90" i="1"/>
  <c r="EO91" i="1" s="1"/>
  <c r="DX115" i="1"/>
  <c r="DO290" i="1"/>
  <c r="FT292" i="1"/>
  <c r="EO266" i="1"/>
  <c r="EU310" i="1"/>
  <c r="FM196" i="1"/>
  <c r="FA90" i="1"/>
  <c r="FB91" i="1"/>
  <c r="FA91" i="1" s="1"/>
  <c r="DO115" i="1"/>
  <c r="DX292" i="1"/>
  <c r="DX128" i="1"/>
  <c r="FA310" i="1"/>
  <c r="EO30" i="1"/>
  <c r="FH234" i="1"/>
  <c r="FG234" i="1" s="1"/>
  <c r="FG45" i="1"/>
  <c r="DO302" i="1"/>
  <c r="FM309" i="1"/>
  <c r="FG226" i="1"/>
  <c r="AS86" i="1"/>
  <c r="GA86" i="1" s="1"/>
  <c r="DJ85" i="1"/>
  <c r="DK85" i="1" s="1"/>
  <c r="DO29" i="1"/>
  <c r="EO82" i="1"/>
  <c r="EO132" i="1" s="1"/>
  <c r="FT90" i="1"/>
  <c r="FU91" i="1"/>
  <c r="FT91" i="1" s="1"/>
  <c r="DX18" i="1"/>
  <c r="EO207" i="1"/>
  <c r="EU51" i="1"/>
  <c r="FM203" i="1"/>
  <c r="DX78" i="1"/>
  <c r="DX290" i="1"/>
  <c r="FM209" i="1"/>
  <c r="CL14" i="1"/>
  <c r="FZ14" i="1" s="1"/>
  <c r="EO220" i="1"/>
  <c r="FG239" i="1"/>
  <c r="FT239" i="1"/>
  <c r="FM304" i="1"/>
  <c r="EU16" i="1"/>
  <c r="EO270" i="1"/>
  <c r="FA251" i="1"/>
  <c r="DP234" i="1"/>
  <c r="FU234" i="1"/>
  <c r="FT234" i="1" s="1"/>
  <c r="EU256" i="1"/>
  <c r="EU257" i="1" s="1"/>
  <c r="FG124" i="1"/>
  <c r="FT29" i="1"/>
  <c r="EO64" i="1"/>
  <c r="FT82" i="1"/>
  <c r="DO57" i="1"/>
  <c r="FT59" i="1"/>
  <c r="EU50" i="1"/>
  <c r="EO49" i="1"/>
  <c r="FA22" i="1"/>
  <c r="EU49" i="1"/>
  <c r="EO46" i="1"/>
  <c r="FB280" i="1"/>
  <c r="FB250" i="1" s="1"/>
  <c r="FM279" i="1"/>
  <c r="FO280" i="1"/>
  <c r="FO250" i="1" s="1"/>
  <c r="DO205" i="1"/>
  <c r="EU207" i="1"/>
  <c r="EU116" i="1"/>
  <c r="EU143" i="1" s="1"/>
  <c r="EU144" i="1" s="1"/>
  <c r="EU203" i="1"/>
  <c r="DO78" i="1"/>
  <c r="EU193" i="1"/>
  <c r="DZ292" i="1"/>
  <c r="FM266" i="1"/>
  <c r="DO23" i="1"/>
  <c r="FU58" i="1"/>
  <c r="FT58" i="1" s="1"/>
  <c r="FT57" i="1"/>
  <c r="FG30" i="1"/>
  <c r="FM200" i="1"/>
  <c r="DO253" i="1"/>
  <c r="FA89" i="1"/>
  <c r="FG284" i="1"/>
  <c r="FH285" i="1"/>
  <c r="FG285" i="1" s="1"/>
  <c r="FM289" i="1"/>
  <c r="FW291" i="1"/>
  <c r="FW303" i="1"/>
  <c r="FA186" i="1"/>
  <c r="FC303" i="1"/>
  <c r="FC291" i="1"/>
  <c r="DU303" i="1"/>
  <c r="DU291" i="1"/>
  <c r="FA185" i="1"/>
  <c r="FT258" i="1"/>
  <c r="FT251" i="1"/>
  <c r="DO251" i="1"/>
  <c r="DU278" i="1"/>
  <c r="DU279" i="1" s="1"/>
  <c r="DU280" i="1" s="1"/>
  <c r="DU294" i="1" s="1"/>
  <c r="FG302" i="1"/>
  <c r="FH294" i="1"/>
  <c r="FG294" i="1" s="1"/>
  <c r="FT123" i="1"/>
  <c r="FM123" i="1"/>
  <c r="N59" i="1"/>
  <c r="FM311" i="1"/>
  <c r="FN281" i="1"/>
  <c r="FA72" i="1"/>
  <c r="FM72" i="1"/>
  <c r="DO124" i="1"/>
  <c r="FG241" i="1"/>
  <c r="FM70" i="1"/>
  <c r="FN62" i="1"/>
  <c r="FM62" i="1" s="1"/>
  <c r="FU298" i="1"/>
  <c r="FT298" i="1" s="1"/>
  <c r="FT297" i="1"/>
  <c r="FM238" i="1"/>
  <c r="FM50" i="1"/>
  <c r="FG63" i="1"/>
  <c r="EU56" i="1"/>
  <c r="FA193" i="1"/>
  <c r="FT193" i="1"/>
  <c r="DO310" i="1"/>
  <c r="FG46" i="1"/>
  <c r="FG168" i="1"/>
  <c r="EU95" i="1"/>
  <c r="DO68" i="1"/>
  <c r="DO227" i="1"/>
  <c r="DS58" i="1"/>
  <c r="DS71" i="1"/>
  <c r="DT71" i="1"/>
  <c r="DT58" i="1"/>
  <c r="DO233" i="1"/>
  <c r="DO304" i="1"/>
  <c r="FM30" i="1"/>
  <c r="FA30" i="1"/>
  <c r="FA200" i="1"/>
  <c r="DO300" i="1"/>
  <c r="FA253" i="1"/>
  <c r="FC254" i="1"/>
  <c r="FA254" i="1" s="1"/>
  <c r="DO194" i="1"/>
  <c r="DO89" i="1"/>
  <c r="FG289" i="1"/>
  <c r="EL291" i="1"/>
  <c r="EL303" i="1"/>
  <c r="DR303" i="1"/>
  <c r="DR291" i="1"/>
  <c r="EJ303" i="1"/>
  <c r="EJ291" i="1"/>
  <c r="DO185" i="1"/>
  <c r="FA302" i="1"/>
  <c r="FB294" i="1"/>
  <c r="FA294" i="1" s="1"/>
  <c r="FG59" i="1"/>
  <c r="FG126" i="1"/>
  <c r="FH243" i="1"/>
  <c r="FT72" i="1"/>
  <c r="EU70" i="1"/>
  <c r="EU62" i="1" s="1"/>
  <c r="FT242" i="1"/>
  <c r="FU122" i="1"/>
  <c r="FT122" i="1" s="1"/>
  <c r="FO208" i="1"/>
  <c r="EX208" i="1"/>
  <c r="FP208" i="1"/>
  <c r="EK208" i="1"/>
  <c r="DS208" i="1"/>
  <c r="DS213" i="1" s="1"/>
  <c r="FV208" i="1"/>
  <c r="EL208" i="1"/>
  <c r="DT208" i="1"/>
  <c r="DT213" i="1" s="1"/>
  <c r="FH208" i="1"/>
  <c r="ED208" i="1"/>
  <c r="FJ208" i="1"/>
  <c r="EP208" i="1"/>
  <c r="FB208" i="1"/>
  <c r="EF208" i="1"/>
  <c r="FC208" i="1"/>
  <c r="EQ208" i="1"/>
  <c r="FW208" i="1"/>
  <c r="FD208" i="1"/>
  <c r="DQ208" i="1"/>
  <c r="DQ213" i="1" s="1"/>
  <c r="EE208" i="1"/>
  <c r="ER208" i="1"/>
  <c r="FU208" i="1"/>
  <c r="FN208" i="1"/>
  <c r="DP208" i="1"/>
  <c r="FQ208" i="1"/>
  <c r="FI208" i="1"/>
  <c r="DR208" i="1"/>
  <c r="DR213" i="1" s="1"/>
  <c r="EV208" i="1"/>
  <c r="EW208" i="1"/>
  <c r="EJ208" i="1"/>
  <c r="CY208" i="1"/>
  <c r="N208" i="1" s="1"/>
  <c r="CP246" i="1"/>
  <c r="CR246" i="1"/>
  <c r="DJ246" i="1"/>
  <c r="DK246" i="1" s="1"/>
  <c r="FM226" i="1"/>
  <c r="FB66" i="1"/>
  <c r="FA61" i="1"/>
  <c r="FT94" i="1"/>
  <c r="EU21" i="1"/>
  <c r="FM49" i="1"/>
  <c r="FM57" i="1"/>
  <c r="FN58" i="1"/>
  <c r="FM58" i="1" s="1"/>
  <c r="FA57" i="1"/>
  <c r="FB58" i="1"/>
  <c r="FA58" i="1" s="1"/>
  <c r="EE110" i="1"/>
  <c r="EE114" i="1"/>
  <c r="EW291" i="1"/>
  <c r="EW303" i="1"/>
  <c r="EE303" i="1"/>
  <c r="EE291" i="1"/>
  <c r="FD303" i="1"/>
  <c r="FD291" i="1"/>
  <c r="EO185" i="1"/>
  <c r="FA278" i="1"/>
  <c r="EY278" i="1" s="1"/>
  <c r="FC279" i="1"/>
  <c r="FC280" i="1" s="1"/>
  <c r="FC250" i="1" s="1"/>
  <c r="FT256" i="1"/>
  <c r="FU257" i="1"/>
  <c r="FT257" i="1" s="1"/>
  <c r="FA123" i="1"/>
  <c r="FG123" i="1"/>
  <c r="EO311" i="1"/>
  <c r="EO281" i="1" s="1"/>
  <c r="EO299" i="1" s="1"/>
  <c r="EQ281" i="1"/>
  <c r="EQ299" i="1" s="1"/>
  <c r="N70" i="1"/>
  <c r="DO242" i="1"/>
  <c r="DP122" i="1"/>
  <c r="DO122" i="1" s="1"/>
  <c r="FH66" i="1"/>
  <c r="FG61" i="1"/>
  <c r="DO204" i="1"/>
  <c r="FT206" i="1"/>
  <c r="EU60" i="1"/>
  <c r="DZ168" i="1"/>
  <c r="DO65" i="1"/>
  <c r="FM65" i="1"/>
  <c r="FT68" i="1"/>
  <c r="N16" i="1"/>
  <c r="FM300" i="1"/>
  <c r="FG253" i="1"/>
  <c r="FI254" i="1"/>
  <c r="FG254" i="1" s="1"/>
  <c r="FM194" i="1"/>
  <c r="FA284" i="1"/>
  <c r="FB285" i="1"/>
  <c r="FA285" i="1" s="1"/>
  <c r="DO301" i="1"/>
  <c r="FG260" i="1"/>
  <c r="DO289" i="1"/>
  <c r="ER303" i="1"/>
  <c r="ER291" i="1"/>
  <c r="FO303" i="1"/>
  <c r="FO291" i="1"/>
  <c r="N22" i="1"/>
  <c r="FT199" i="1"/>
  <c r="DO269" i="1"/>
  <c r="DO265" i="1"/>
  <c r="FG259" i="1"/>
  <c r="FM232" i="1"/>
  <c r="DO49" i="1"/>
  <c r="FT240" i="1"/>
  <c r="FG227" i="1"/>
  <c r="FH58" i="1"/>
  <c r="FG58" i="1" s="1"/>
  <c r="FG57" i="1"/>
  <c r="DQ71" i="1"/>
  <c r="DQ58" i="1"/>
  <c r="FA225" i="1"/>
  <c r="FM89" i="1"/>
  <c r="FM301" i="1"/>
  <c r="EP303" i="1"/>
  <c r="EP291" i="1"/>
  <c r="FQ291" i="1"/>
  <c r="FQ303" i="1"/>
  <c r="EO186" i="1"/>
  <c r="N96" i="1"/>
  <c r="DO258" i="1"/>
  <c r="FH278" i="1"/>
  <c r="FG277" i="1"/>
  <c r="FE277" i="1" s="1"/>
  <c r="FT45" i="1"/>
  <c r="DO256" i="1"/>
  <c r="FA126" i="1"/>
  <c r="FB243" i="1"/>
  <c r="DO72" i="1"/>
  <c r="DO309" i="1"/>
  <c r="FN122" i="1"/>
  <c r="FM122" i="1" s="1"/>
  <c r="FM242" i="1"/>
  <c r="FH298" i="1"/>
  <c r="FG298" i="1" s="1"/>
  <c r="FG297" i="1"/>
  <c r="DO61" i="1"/>
  <c r="EU78" i="1"/>
  <c r="FG205" i="1"/>
  <c r="FA205" i="1"/>
  <c r="FG207" i="1"/>
  <c r="EU92" i="1"/>
  <c r="FA292" i="1"/>
  <c r="DZ79" i="1"/>
  <c r="FG266" i="1"/>
  <c r="DZ88" i="1"/>
  <c r="FT118" i="1"/>
  <c r="EU83" i="1"/>
  <c r="EU181" i="1" s="1"/>
  <c r="EU206" i="1"/>
  <c r="DO168" i="1"/>
  <c r="FG261" i="1"/>
  <c r="DZ220" i="1"/>
  <c r="EO232" i="1"/>
  <c r="FM240" i="1"/>
  <c r="EU227" i="1"/>
  <c r="FM227" i="1"/>
  <c r="BK206" i="1"/>
  <c r="BN205" i="1"/>
  <c r="FM253" i="1"/>
  <c r="FN254" i="1"/>
  <c r="FM254" i="1" s="1"/>
  <c r="FT194" i="1"/>
  <c r="FN285" i="1"/>
  <c r="FM285" i="1" s="1"/>
  <c r="FM284" i="1"/>
  <c r="CN104" i="1"/>
  <c r="CQ104" i="1"/>
  <c r="FA301" i="1"/>
  <c r="DO262" i="1"/>
  <c r="EP198" i="1"/>
  <c r="EO197" i="1"/>
  <c r="EO198" i="1" s="1"/>
  <c r="FB198" i="1"/>
  <c r="FA198" i="1" s="1"/>
  <c r="FA197" i="1"/>
  <c r="FG255" i="1"/>
  <c r="DO260" i="1"/>
  <c r="FT289" i="1"/>
  <c r="FM272" i="1"/>
  <c r="FB291" i="1"/>
  <c r="FB303" i="1"/>
  <c r="EF303" i="1"/>
  <c r="EF291" i="1"/>
  <c r="EX303" i="1"/>
  <c r="EX291" i="1"/>
  <c r="FA258" i="1"/>
  <c r="FU278" i="1"/>
  <c r="DO252" i="1"/>
  <c r="FP244" i="1"/>
  <c r="FP245" i="1" s="1"/>
  <c r="FP246" i="1" s="1"/>
  <c r="FP247" i="1" s="1"/>
  <c r="FP248" i="1" s="1"/>
  <c r="DO311" i="1"/>
  <c r="DP281" i="1"/>
  <c r="DO281" i="1" s="1"/>
  <c r="FM124" i="1"/>
  <c r="DO125" i="1"/>
  <c r="EO70" i="1"/>
  <c r="EO62" i="1" s="1"/>
  <c r="EO309" i="1"/>
  <c r="EO226" i="1"/>
  <c r="FN66" i="1"/>
  <c r="FM61" i="1"/>
  <c r="FT269" i="1"/>
  <c r="FG290" i="1"/>
  <c r="EU263" i="1"/>
  <c r="EU264" i="1" s="1"/>
  <c r="FG292" i="1"/>
  <c r="DO94" i="1"/>
  <c r="FM93" i="1"/>
  <c r="FA206" i="1"/>
  <c r="FA46" i="1"/>
  <c r="DZ146" i="1"/>
  <c r="FT227" i="1"/>
  <c r="CP212" i="1"/>
  <c r="CQ212" i="1"/>
  <c r="CR212" i="1"/>
  <c r="CN212" i="1"/>
  <c r="CO212" i="1" s="1"/>
  <c r="M212" i="1" s="1"/>
  <c r="FT30" i="1"/>
  <c r="FG16" i="1"/>
  <c r="FA300" i="1"/>
  <c r="FG300" i="1"/>
  <c r="FG89" i="1"/>
  <c r="EO284" i="1"/>
  <c r="EO285" i="1" s="1"/>
  <c r="FT284" i="1"/>
  <c r="FU285" i="1"/>
  <c r="FT285" i="1" s="1"/>
  <c r="FG301" i="1"/>
  <c r="FG262" i="1"/>
  <c r="FH198" i="1"/>
  <c r="FG198" i="1" s="1"/>
  <c r="FG197" i="1"/>
  <c r="FG270" i="1"/>
  <c r="DO255" i="1"/>
  <c r="FM237" i="1"/>
  <c r="FA237" i="1"/>
  <c r="FN291" i="1"/>
  <c r="FM186" i="1"/>
  <c r="FN303" i="1"/>
  <c r="DS291" i="1"/>
  <c r="DS303" i="1"/>
  <c r="FI291" i="1"/>
  <c r="FI303" i="1"/>
  <c r="BN196" i="1"/>
  <c r="BK197" i="1"/>
  <c r="BN197" i="1" s="1"/>
  <c r="FA277" i="1"/>
  <c r="EY277" i="1" s="1"/>
  <c r="EO252" i="1"/>
  <c r="EV294" i="1"/>
  <c r="EU302" i="1"/>
  <c r="EU294" i="1" s="1"/>
  <c r="FM231" i="1"/>
  <c r="FT231" i="1"/>
  <c r="FG22" i="1"/>
  <c r="FM125" i="1"/>
  <c r="FG309" i="1"/>
  <c r="EU242" i="1"/>
  <c r="EU122" i="1" s="1"/>
  <c r="FA199" i="1"/>
  <c r="FA269" i="1"/>
  <c r="DO238" i="1"/>
  <c r="FA238" i="1"/>
  <c r="FM51" i="1"/>
  <c r="EO265" i="1"/>
  <c r="FT63" i="1"/>
  <c r="EO92" i="1"/>
  <c r="DZ283" i="1"/>
  <c r="FM94" i="1"/>
  <c r="EU266" i="1"/>
  <c r="FG93" i="1"/>
  <c r="FG79" i="1"/>
  <c r="EO206" i="1"/>
  <c r="EU308" i="1"/>
  <c r="EU168" i="1"/>
  <c r="FT201" i="1"/>
  <c r="DO239" i="1"/>
  <c r="EU239" i="1"/>
  <c r="EV58" i="1"/>
  <c r="EU57" i="1"/>
  <c r="EU58" i="1" s="1"/>
  <c r="FC71" i="1"/>
  <c r="FT300" i="1"/>
  <c r="CB105" i="1"/>
  <c r="J105" i="1"/>
  <c r="I105" i="1"/>
  <c r="EV198" i="1"/>
  <c r="EU197" i="1"/>
  <c r="EU198" i="1" s="1"/>
  <c r="FT197" i="1"/>
  <c r="FU198" i="1"/>
  <c r="FT198" i="1" s="1"/>
  <c r="EO289" i="1"/>
  <c r="FA272" i="1"/>
  <c r="FG272" i="1"/>
  <c r="DP291" i="1"/>
  <c r="DP303" i="1"/>
  <c r="DO186" i="1"/>
  <c r="FU303" i="1"/>
  <c r="FT186" i="1"/>
  <c r="FU291" i="1"/>
  <c r="FG251" i="1"/>
  <c r="DS278" i="1"/>
  <c r="FT302" i="1"/>
  <c r="FU294" i="1"/>
  <c r="FT294" i="1" s="1"/>
  <c r="FA256" i="1"/>
  <c r="FB257" i="1"/>
  <c r="FA257" i="1" s="1"/>
  <c r="DO123" i="1"/>
  <c r="EU311" i="1"/>
  <c r="EU281" i="1" s="1"/>
  <c r="EU299" i="1" s="1"/>
  <c r="DO231" i="1"/>
  <c r="FM241" i="1"/>
  <c r="FM199" i="1"/>
  <c r="DO226" i="1"/>
  <c r="FT61" i="1"/>
  <c r="FU66" i="1"/>
  <c r="FM265" i="1"/>
  <c r="DO232" i="1"/>
  <c r="FT253" i="1"/>
  <c r="FU254" i="1"/>
  <c r="FT254" i="1" s="1"/>
  <c r="DP285" i="1"/>
  <c r="DO285" i="1" s="1"/>
  <c r="DO284" i="1"/>
  <c r="FM262" i="1"/>
  <c r="FN198" i="1"/>
  <c r="FM198" i="1" s="1"/>
  <c r="FM197" i="1"/>
  <c r="DO197" i="1"/>
  <c r="DP198" i="1"/>
  <c r="DO198" i="1" s="1"/>
  <c r="EQ303" i="1"/>
  <c r="EQ291" i="1"/>
  <c r="DT303" i="1"/>
  <c r="DT291" i="1"/>
  <c r="FT126" i="1"/>
  <c r="FV243" i="1"/>
  <c r="DP243" i="1"/>
  <c r="DO126" i="1"/>
  <c r="FA125" i="1"/>
  <c r="FH62" i="1"/>
  <c r="FG62" i="1" s="1"/>
  <c r="FG70" i="1"/>
  <c r="FG242" i="1"/>
  <c r="FH122" i="1"/>
  <c r="FG122" i="1" s="1"/>
  <c r="FA242" i="1"/>
  <c r="FB122" i="1"/>
  <c r="FA122" i="1" s="1"/>
  <c r="AS52" i="1"/>
  <c r="GA52" i="1" s="1"/>
  <c r="FZ52" i="1" s="1"/>
  <c r="DJ51" i="1"/>
  <c r="DK51" i="1" s="1"/>
  <c r="DP298" i="1"/>
  <c r="DO298" i="1" s="1"/>
  <c r="DO297" i="1"/>
  <c r="FG199" i="1"/>
  <c r="FG50" i="1"/>
  <c r="FM115" i="1"/>
  <c r="DZ21" i="1"/>
  <c r="DZ129" i="1"/>
  <c r="EO57" i="1"/>
  <c r="EO58" i="1" s="1"/>
  <c r="EP58" i="1"/>
  <c r="EU253" i="1"/>
  <c r="EU254" i="1" s="1"/>
  <c r="EV254" i="1"/>
  <c r="EK303" i="1"/>
  <c r="EK291" i="1"/>
  <c r="FP291" i="1"/>
  <c r="FP303" i="1"/>
  <c r="EU186" i="1"/>
  <c r="DP299" i="1"/>
  <c r="DO299" i="1" s="1"/>
  <c r="DO277" i="1"/>
  <c r="DM277" i="1" s="1"/>
  <c r="FG252" i="1"/>
  <c r="FM45" i="1"/>
  <c r="FM302" i="1"/>
  <c r="FN294" i="1"/>
  <c r="FM294" i="1" s="1"/>
  <c r="FG256" i="1"/>
  <c r="FH257" i="1"/>
  <c r="FG257" i="1" s="1"/>
  <c r="FN243" i="1"/>
  <c r="FN244" i="1" s="1"/>
  <c r="FM126" i="1"/>
  <c r="FT22" i="1"/>
  <c r="FA70" i="1"/>
  <c r="FB62" i="1"/>
  <c r="FA62" i="1" s="1"/>
  <c r="EO61" i="1"/>
  <c r="EO66" i="1" s="1"/>
  <c r="EO188" i="1" s="1"/>
  <c r="EP66" i="1"/>
  <c r="EP188" i="1" s="1"/>
  <c r="EO209" i="1"/>
  <c r="DZ295" i="1"/>
  <c r="FG232" i="1"/>
  <c r="DO225" i="1"/>
  <c r="BN279" i="1"/>
  <c r="GB279" i="1" s="1"/>
  <c r="BK280" i="1"/>
  <c r="BN280" i="1" s="1"/>
  <c r="GB280" i="1" s="1"/>
  <c r="EO304" i="1"/>
  <c r="DO16" i="1"/>
  <c r="CQ13" i="1"/>
  <c r="K13" i="1"/>
  <c r="CP13" i="1"/>
  <c r="CN13" i="1"/>
  <c r="L13" i="1"/>
  <c r="CR13" i="1"/>
  <c r="EV303" i="1"/>
  <c r="EV291" i="1"/>
  <c r="DQ303" i="1"/>
  <c r="DQ291" i="1"/>
  <c r="FH303" i="1"/>
  <c r="FG186" i="1"/>
  <c r="FH291" i="1"/>
  <c r="FH281" i="1"/>
  <c r="FG311" i="1"/>
  <c r="FU62" i="1"/>
  <c r="FT62" i="1" s="1"/>
  <c r="FT70" i="1"/>
  <c r="EW110" i="1"/>
  <c r="EW114" i="1"/>
  <c r="FB298" i="1"/>
  <c r="FA298" i="1" s="1"/>
  <c r="FA297" i="1"/>
  <c r="DO116" i="1"/>
  <c r="EO293" i="1"/>
  <c r="EO296" i="1" s="1"/>
  <c r="FA116" i="1"/>
  <c r="DZ290" i="1"/>
  <c r="FA92" i="1"/>
  <c r="FA283" i="1"/>
  <c r="FT17" i="1"/>
  <c r="FA94" i="1"/>
  <c r="EO310" i="1"/>
  <c r="DZ67" i="1"/>
  <c r="DX220" i="1"/>
  <c r="DX129" i="1"/>
  <c r="DO93" i="1"/>
  <c r="DO308" i="1"/>
  <c r="EO146" i="1"/>
  <c r="EU271" i="1"/>
  <c r="FM55" i="1"/>
  <c r="FA65" i="1"/>
  <c r="FT65" i="1"/>
  <c r="EU68" i="1"/>
  <c r="FT304" i="1"/>
  <c r="DO30" i="1"/>
  <c r="DO200" i="1"/>
  <c r="FA194" i="1"/>
  <c r="EU89" i="1"/>
  <c r="FT262" i="1"/>
  <c r="FT270" i="1"/>
  <c r="DO224" i="1"/>
  <c r="FM255" i="1"/>
  <c r="FT272" i="1"/>
  <c r="FJ303" i="1"/>
  <c r="FJ291" i="1"/>
  <c r="ED291" i="1"/>
  <c r="ED303" i="1"/>
  <c r="FV303" i="1"/>
  <c r="FV291" i="1"/>
  <c r="EO302" i="1"/>
  <c r="EO294" i="1" s="1"/>
  <c r="EP294" i="1"/>
  <c r="FN257" i="1"/>
  <c r="FM257" i="1" s="1"/>
  <c r="FM256" i="1"/>
  <c r="FM59" i="1"/>
  <c r="DO59" i="1"/>
  <c r="FU281" i="1"/>
  <c r="FT311" i="1"/>
  <c r="FB281" i="1"/>
  <c r="FA311" i="1"/>
  <c r="EU126" i="1"/>
  <c r="EU243" i="1" s="1"/>
  <c r="EU244" i="1" s="1"/>
  <c r="DO22" i="1"/>
  <c r="FM22" i="1"/>
  <c r="CN208" i="1"/>
  <c r="CO208" i="1" s="1"/>
  <c r="M208" i="1" s="1"/>
  <c r="CP208" i="1"/>
  <c r="CR208" i="1"/>
  <c r="CQ208" i="1"/>
  <c r="FV236" i="1"/>
  <c r="EV66" i="1"/>
  <c r="EV188" i="1" s="1"/>
  <c r="EU61" i="1"/>
  <c r="EU66" i="1" s="1"/>
  <c r="EU188" i="1" s="1"/>
  <c r="EU238" i="1"/>
  <c r="EJ130" i="1"/>
  <c r="ED130" i="1"/>
  <c r="EO128" i="1"/>
  <c r="EO129" i="1" s="1"/>
  <c r="EU128" i="1"/>
  <c r="EO205" i="1"/>
  <c r="DS48" i="1"/>
  <c r="DS54" i="1"/>
  <c r="EQ101" i="1"/>
  <c r="EP155" i="1"/>
  <c r="EP184" i="1"/>
  <c r="EO295" i="1"/>
  <c r="FW155" i="1"/>
  <c r="FW184" i="1"/>
  <c r="DT155" i="1"/>
  <c r="DT184" i="1"/>
  <c r="CV3" i="1"/>
  <c r="CU10" i="1"/>
  <c r="CU7" i="1" s="1"/>
  <c r="DP181" i="1"/>
  <c r="DP172" i="1"/>
  <c r="DO83" i="1"/>
  <c r="DT181" i="1"/>
  <c r="DT172" i="1"/>
  <c r="DT173" i="1" s="1"/>
  <c r="DT174" i="1" s="1"/>
  <c r="EB10" i="1"/>
  <c r="EB7" i="1" s="1"/>
  <c r="EB75" i="1" s="1"/>
  <c r="ED11" i="1"/>
  <c r="EG10" i="1"/>
  <c r="FJ11" i="1"/>
  <c r="EK11" i="1"/>
  <c r="EV101" i="1"/>
  <c r="EU220" i="1"/>
  <c r="DP296" i="1"/>
  <c r="DO296" i="1" s="1"/>
  <c r="DO293" i="1"/>
  <c r="DX266" i="1"/>
  <c r="DZ266" i="1"/>
  <c r="N86" i="1"/>
  <c r="DT273" i="1"/>
  <c r="DT274" i="1" s="1"/>
  <c r="DT275" i="1" s="1"/>
  <c r="DT87" i="1"/>
  <c r="FG17" i="1"/>
  <c r="N47" i="1"/>
  <c r="ER175" i="1"/>
  <c r="ER176" i="1" s="1"/>
  <c r="ER177" i="1" s="1"/>
  <c r="ER164" i="1"/>
  <c r="ER165" i="1" s="1"/>
  <c r="ER166" i="1" s="1"/>
  <c r="ER81" i="1"/>
  <c r="DZ80" i="1"/>
  <c r="EK175" i="1"/>
  <c r="EK176" i="1" s="1"/>
  <c r="EK177" i="1" s="1"/>
  <c r="EK164" i="1"/>
  <c r="EK165" i="1" s="1"/>
  <c r="EK166" i="1" s="1"/>
  <c r="EK81" i="1"/>
  <c r="EL175" i="1"/>
  <c r="EL176" i="1" s="1"/>
  <c r="EL177" i="1" s="1"/>
  <c r="EL164" i="1"/>
  <c r="EL165" i="1" s="1"/>
  <c r="EL166" i="1" s="1"/>
  <c r="EL81" i="1"/>
  <c r="EV288" i="1"/>
  <c r="EU286" i="1"/>
  <c r="EU288" i="1" s="1"/>
  <c r="FM286" i="1"/>
  <c r="FN288" i="1"/>
  <c r="FM288" i="1" s="1"/>
  <c r="FM195" i="1"/>
  <c r="FH101" i="1"/>
  <c r="FG101" i="1" s="1"/>
  <c r="FM207" i="1"/>
  <c r="CP280" i="1"/>
  <c r="CR280" i="1"/>
  <c r="FM116" i="1"/>
  <c r="FA78" i="1"/>
  <c r="FG115" i="1"/>
  <c r="FH264" i="1"/>
  <c r="FG264" i="1" s="1"/>
  <c r="FG263" i="1"/>
  <c r="AS105" i="1"/>
  <c r="GA105" i="1" s="1"/>
  <c r="DJ104" i="1"/>
  <c r="DK104" i="1" s="1"/>
  <c r="DO292" i="1"/>
  <c r="FG94" i="1"/>
  <c r="FC175" i="1"/>
  <c r="FC176" i="1" s="1"/>
  <c r="FC177" i="1" s="1"/>
  <c r="FC164" i="1"/>
  <c r="FC165" i="1" s="1"/>
  <c r="FC166" i="1" s="1"/>
  <c r="FC81" i="1"/>
  <c r="FD175" i="1"/>
  <c r="FD176" i="1" s="1"/>
  <c r="FD177" i="1" s="1"/>
  <c r="FD164" i="1"/>
  <c r="FD165" i="1" s="1"/>
  <c r="FD166" i="1" s="1"/>
  <c r="FD81" i="1"/>
  <c r="FU175" i="1"/>
  <c r="FU164" i="1"/>
  <c r="FU81" i="1"/>
  <c r="FT80" i="1"/>
  <c r="EV155" i="1"/>
  <c r="EV184" i="1"/>
  <c r="EE155" i="1"/>
  <c r="EE184" i="1"/>
  <c r="DR11" i="1"/>
  <c r="FQ11" i="1"/>
  <c r="ER11" i="1"/>
  <c r="FD181" i="1"/>
  <c r="FD172" i="1"/>
  <c r="FD173" i="1" s="1"/>
  <c r="FD174" i="1" s="1"/>
  <c r="EQ181" i="1"/>
  <c r="EQ172" i="1"/>
  <c r="EQ173" i="1" s="1"/>
  <c r="EQ174" i="1" s="1"/>
  <c r="EJ181" i="1"/>
  <c r="EJ172" i="1"/>
  <c r="EJ173" i="1" s="1"/>
  <c r="FT307" i="1"/>
  <c r="DX93" i="1"/>
  <c r="FT79" i="1"/>
  <c r="DO206" i="1"/>
  <c r="FM206" i="1"/>
  <c r="EF273" i="1"/>
  <c r="EF274" i="1" s="1"/>
  <c r="EF275" i="1" s="1"/>
  <c r="EF87" i="1"/>
  <c r="BN246" i="1"/>
  <c r="BK247" i="1"/>
  <c r="BN247" i="1" s="1"/>
  <c r="FM21" i="1"/>
  <c r="FT21" i="1"/>
  <c r="DO286" i="1"/>
  <c r="DP288" i="1"/>
  <c r="DO288" i="1" s="1"/>
  <c r="FA286" i="1"/>
  <c r="FB288" i="1"/>
  <c r="FA288" i="1" s="1"/>
  <c r="DO261" i="1"/>
  <c r="DI253" i="1"/>
  <c r="DJ253" i="1"/>
  <c r="DK253" i="1" s="1"/>
  <c r="DZ253" i="1" s="1"/>
  <c r="DU253" i="1"/>
  <c r="FT205" i="1"/>
  <c r="FU101" i="1"/>
  <c r="FT101" i="1" s="1"/>
  <c r="FB101" i="1"/>
  <c r="FA101" i="1" s="1"/>
  <c r="DJ262" i="1"/>
  <c r="DK262" i="1" s="1"/>
  <c r="DU262" i="1"/>
  <c r="DI262" i="1"/>
  <c r="FA203" i="1"/>
  <c r="EU293" i="1"/>
  <c r="EU296" i="1" s="1"/>
  <c r="BK131" i="1"/>
  <c r="BN131" i="1" s="1"/>
  <c r="BN130" i="1"/>
  <c r="DZ130" i="1" s="1"/>
  <c r="FT283" i="1"/>
  <c r="BK106" i="1"/>
  <c r="BN105" i="1"/>
  <c r="FA17" i="1"/>
  <c r="BK234" i="1"/>
  <c r="BN233" i="1"/>
  <c r="DZ233" i="1" s="1"/>
  <c r="EP175" i="1"/>
  <c r="EP176" i="1" s="1"/>
  <c r="EP177" i="1" s="1"/>
  <c r="EP164" i="1"/>
  <c r="EP165" i="1" s="1"/>
  <c r="EP166" i="1" s="1"/>
  <c r="EP81" i="1"/>
  <c r="FV175" i="1"/>
  <c r="FV176" i="1" s="1"/>
  <c r="FV177" i="1" s="1"/>
  <c r="FV164" i="1"/>
  <c r="FV165" i="1" s="1"/>
  <c r="FV166" i="1" s="1"/>
  <c r="FV81" i="1"/>
  <c r="DP175" i="1"/>
  <c r="DP164" i="1"/>
  <c r="DO80" i="1"/>
  <c r="DP81" i="1"/>
  <c r="FA128" i="1"/>
  <c r="FB129" i="1"/>
  <c r="EF155" i="1"/>
  <c r="EF184" i="1"/>
  <c r="DQ155" i="1"/>
  <c r="DQ184" i="1"/>
  <c r="DO67" i="1"/>
  <c r="EW11" i="1"/>
  <c r="FT10" i="1"/>
  <c r="FU11" i="1"/>
  <c r="FG10" i="1"/>
  <c r="FH11" i="1"/>
  <c r="DQ172" i="1"/>
  <c r="DQ173" i="1" s="1"/>
  <c r="DQ174" i="1" s="1"/>
  <c r="DQ181" i="1"/>
  <c r="FB181" i="1"/>
  <c r="FB172" i="1"/>
  <c r="FA83" i="1"/>
  <c r="EP181" i="1"/>
  <c r="EP172" i="1"/>
  <c r="EP173" i="1" s="1"/>
  <c r="EP174" i="1" s="1"/>
  <c r="BN240" i="1"/>
  <c r="BK241" i="1"/>
  <c r="FV273" i="1"/>
  <c r="FV274" i="1" s="1"/>
  <c r="FV275" i="1" s="1"/>
  <c r="FV87" i="1"/>
  <c r="EL273" i="1"/>
  <c r="EL274" i="1" s="1"/>
  <c r="EL275" i="1" s="1"/>
  <c r="EL87" i="1"/>
  <c r="FQ273" i="1"/>
  <c r="FQ274" i="1" s="1"/>
  <c r="FQ275" i="1" s="1"/>
  <c r="FQ87" i="1"/>
  <c r="FM271" i="1"/>
  <c r="FG60" i="1"/>
  <c r="DZ111" i="1"/>
  <c r="FA168" i="1"/>
  <c r="FT168" i="1"/>
  <c r="BK311" i="1"/>
  <c r="BN311" i="1" s="1"/>
  <c r="DZ311" i="1" s="1"/>
  <c r="BN310" i="1"/>
  <c r="FG65" i="1"/>
  <c r="FG68" i="1"/>
  <c r="FM205" i="1"/>
  <c r="FN250" i="1"/>
  <c r="DO63" i="1"/>
  <c r="FT56" i="1"/>
  <c r="FG56" i="1"/>
  <c r="DO283" i="1"/>
  <c r="CN222" i="1"/>
  <c r="CO222" i="1" s="1"/>
  <c r="M222" i="1" s="1"/>
  <c r="CP222" i="1"/>
  <c r="CQ222" i="1"/>
  <c r="CR222" i="1"/>
  <c r="DU54" i="1"/>
  <c r="DU48" i="1"/>
  <c r="DQ175" i="1"/>
  <c r="DQ176" i="1" s="1"/>
  <c r="DQ177" i="1" s="1"/>
  <c r="DQ164" i="1"/>
  <c r="DQ165" i="1" s="1"/>
  <c r="DQ166" i="1" s="1"/>
  <c r="DQ81" i="1"/>
  <c r="DR164" i="1"/>
  <c r="DR165" i="1" s="1"/>
  <c r="DR166" i="1" s="1"/>
  <c r="DR175" i="1"/>
  <c r="DR176" i="1" s="1"/>
  <c r="DR177" i="1" s="1"/>
  <c r="DR81" i="1"/>
  <c r="DS175" i="1"/>
  <c r="DS176" i="1" s="1"/>
  <c r="DS177" i="1" s="1"/>
  <c r="DS164" i="1"/>
  <c r="DS165" i="1" s="1"/>
  <c r="DS166" i="1" s="1"/>
  <c r="DS81" i="1"/>
  <c r="FG128" i="1"/>
  <c r="FH129" i="1"/>
  <c r="FM128" i="1"/>
  <c r="FN129" i="1"/>
  <c r="FP155" i="1"/>
  <c r="FP184" i="1"/>
  <c r="ER184" i="1"/>
  <c r="ER155" i="1"/>
  <c r="FU184" i="1"/>
  <c r="FU155" i="1"/>
  <c r="FT295" i="1"/>
  <c r="FA266" i="1"/>
  <c r="DQ11" i="1"/>
  <c r="CX3" i="1"/>
  <c r="EX11" i="1"/>
  <c r="DU172" i="1"/>
  <c r="DU173" i="1" s="1"/>
  <c r="DU174" i="1" s="1"/>
  <c r="DU181" i="1"/>
  <c r="FN181" i="1"/>
  <c r="FN172" i="1"/>
  <c r="FM83" i="1"/>
  <c r="FP181" i="1"/>
  <c r="FP172" i="1"/>
  <c r="FP173" i="1" s="1"/>
  <c r="FP174" i="1" s="1"/>
  <c r="FG307" i="1"/>
  <c r="FM46" i="1"/>
  <c r="EW273" i="1"/>
  <c r="EW274" i="1" s="1"/>
  <c r="EW275" i="1" s="1"/>
  <c r="EW87" i="1"/>
  <c r="FW273" i="1"/>
  <c r="FW274" i="1" s="1"/>
  <c r="FW275" i="1" s="1"/>
  <c r="FW87" i="1"/>
  <c r="DX146" i="1"/>
  <c r="DX182" i="1"/>
  <c r="FG21" i="1"/>
  <c r="DZ286" i="1"/>
  <c r="FG286" i="1"/>
  <c r="FH288" i="1"/>
  <c r="FG288" i="1" s="1"/>
  <c r="DX55" i="1"/>
  <c r="DO220" i="1"/>
  <c r="DO201" i="1"/>
  <c r="DX68" i="1"/>
  <c r="DX23" i="1"/>
  <c r="FG18" i="1"/>
  <c r="FN101" i="1"/>
  <c r="FM101" i="1" s="1"/>
  <c r="DO51" i="1"/>
  <c r="DO203" i="1"/>
  <c r="FT78" i="1"/>
  <c r="FG265" i="1"/>
  <c r="FA209" i="1"/>
  <c r="DO209" i="1"/>
  <c r="CY222" i="1"/>
  <c r="N222" i="1" s="1"/>
  <c r="DS222" i="1"/>
  <c r="EE222" i="1"/>
  <c r="EE223" i="1" s="1"/>
  <c r="EE224" i="1" s="1"/>
  <c r="FQ222" i="1"/>
  <c r="FQ223" i="1" s="1"/>
  <c r="FQ224" i="1" s="1"/>
  <c r="FO222" i="1"/>
  <c r="FO223" i="1" s="1"/>
  <c r="FO224" i="1" s="1"/>
  <c r="FU222" i="1"/>
  <c r="EP222" i="1"/>
  <c r="EP223" i="1" s="1"/>
  <c r="EP224" i="1" s="1"/>
  <c r="FV222" i="1"/>
  <c r="FV223" i="1" s="1"/>
  <c r="FV224" i="1" s="1"/>
  <c r="EJ222" i="1"/>
  <c r="EJ223" i="1" s="1"/>
  <c r="EJ224" i="1" s="1"/>
  <c r="FP222" i="1"/>
  <c r="FP223" i="1" s="1"/>
  <c r="FP224" i="1" s="1"/>
  <c r="DU222" i="1"/>
  <c r="FH222" i="1"/>
  <c r="FB222" i="1"/>
  <c r="FI222" i="1"/>
  <c r="FI223" i="1" s="1"/>
  <c r="FI224" i="1" s="1"/>
  <c r="EV222" i="1"/>
  <c r="EV223" i="1" s="1"/>
  <c r="EV224" i="1" s="1"/>
  <c r="EF222" i="1"/>
  <c r="EF223" i="1" s="1"/>
  <c r="EF224" i="1" s="1"/>
  <c r="FN222" i="1"/>
  <c r="DP222" i="1"/>
  <c r="DR222" i="1"/>
  <c r="FD222" i="1"/>
  <c r="FD223" i="1" s="1"/>
  <c r="FD224" i="1" s="1"/>
  <c r="FW222" i="1"/>
  <c r="FW223" i="1" s="1"/>
  <c r="FW224" i="1" s="1"/>
  <c r="ED222" i="1"/>
  <c r="ED223" i="1" s="1"/>
  <c r="ED224" i="1" s="1"/>
  <c r="EK222" i="1"/>
  <c r="EK223" i="1" s="1"/>
  <c r="EK224" i="1" s="1"/>
  <c r="EX222" i="1"/>
  <c r="EX223" i="1" s="1"/>
  <c r="EX224" i="1" s="1"/>
  <c r="FC222" i="1"/>
  <c r="FC223" i="1" s="1"/>
  <c r="FC224" i="1" s="1"/>
  <c r="ER222" i="1"/>
  <c r="ER223" i="1" s="1"/>
  <c r="ER224" i="1" s="1"/>
  <c r="EQ222" i="1"/>
  <c r="EQ223" i="1" s="1"/>
  <c r="EQ224" i="1" s="1"/>
  <c r="DQ222" i="1"/>
  <c r="DT222" i="1"/>
  <c r="FJ222" i="1"/>
  <c r="FJ223" i="1" s="1"/>
  <c r="FJ224" i="1" s="1"/>
  <c r="EL222" i="1"/>
  <c r="EL223" i="1" s="1"/>
  <c r="EL224" i="1" s="1"/>
  <c r="DI222" i="1"/>
  <c r="EW222" i="1"/>
  <c r="EW223" i="1" s="1"/>
  <c r="EW224" i="1" s="1"/>
  <c r="DZ222" i="1"/>
  <c r="DX222" i="1"/>
  <c r="DT175" i="1"/>
  <c r="DT176" i="1" s="1"/>
  <c r="DT177" i="1" s="1"/>
  <c r="DT164" i="1"/>
  <c r="DT165" i="1" s="1"/>
  <c r="DT166" i="1" s="1"/>
  <c r="DT81" i="1"/>
  <c r="DU175" i="1"/>
  <c r="DU176" i="1" s="1"/>
  <c r="DU177" i="1" s="1"/>
  <c r="DU164" i="1"/>
  <c r="DU165" i="1" s="1"/>
  <c r="DU166" i="1" s="1"/>
  <c r="DU81" i="1"/>
  <c r="EW175" i="1"/>
  <c r="EW176" i="1" s="1"/>
  <c r="EW177" i="1" s="1"/>
  <c r="EW164" i="1"/>
  <c r="EW165" i="1" s="1"/>
  <c r="EW166" i="1" s="1"/>
  <c r="EW81" i="1"/>
  <c r="DJ280" i="1"/>
  <c r="DK280" i="1" s="1"/>
  <c r="FB155" i="1"/>
  <c r="FB184" i="1"/>
  <c r="FA295" i="1"/>
  <c r="FI155" i="1"/>
  <c r="FI184" i="1"/>
  <c r="EW155" i="1"/>
  <c r="EW184" i="1"/>
  <c r="FT266" i="1"/>
  <c r="DO88" i="1"/>
  <c r="FA67" i="1"/>
  <c r="FM67" i="1"/>
  <c r="EV11" i="1"/>
  <c r="EH10" i="1"/>
  <c r="EH7" i="1" s="1"/>
  <c r="EH75" i="1" s="1"/>
  <c r="EJ11" i="1"/>
  <c r="FD11" i="1"/>
  <c r="FQ181" i="1"/>
  <c r="FQ172" i="1"/>
  <c r="FQ173" i="1" s="1"/>
  <c r="FQ174" i="1" s="1"/>
  <c r="FU181" i="1"/>
  <c r="FU172" i="1"/>
  <c r="FT83" i="1"/>
  <c r="DX307" i="1"/>
  <c r="DO307" i="1"/>
  <c r="DX46" i="1"/>
  <c r="DQ273" i="1"/>
  <c r="DQ274" i="1" s="1"/>
  <c r="DQ275" i="1" s="1"/>
  <c r="DQ87" i="1"/>
  <c r="DZ60" i="1"/>
  <c r="FM259" i="1"/>
  <c r="FA21" i="1"/>
  <c r="DO21" i="1"/>
  <c r="DX286" i="1"/>
  <c r="FU288" i="1"/>
  <c r="FT288" i="1" s="1"/>
  <c r="FT286" i="1"/>
  <c r="DZ55" i="1"/>
  <c r="DZ23" i="1"/>
  <c r="AO94" i="1"/>
  <c r="AN95" i="1"/>
  <c r="EV175" i="1"/>
  <c r="EV176" i="1" s="1"/>
  <c r="EV177" i="1" s="1"/>
  <c r="EV164" i="1"/>
  <c r="EV165" i="1" s="1"/>
  <c r="EV166" i="1" s="1"/>
  <c r="EV81" i="1"/>
  <c r="FP175" i="1"/>
  <c r="FP176" i="1" s="1"/>
  <c r="FP177" i="1" s="1"/>
  <c r="FP164" i="1"/>
  <c r="FP165" i="1" s="1"/>
  <c r="FP166" i="1" s="1"/>
  <c r="FP81" i="1"/>
  <c r="FQ155" i="1"/>
  <c r="FQ184" i="1"/>
  <c r="DR155" i="1"/>
  <c r="DR184" i="1"/>
  <c r="FN155" i="1"/>
  <c r="FN184" i="1"/>
  <c r="FM295" i="1"/>
  <c r="DO266" i="1"/>
  <c r="FT310" i="1"/>
  <c r="DU11" i="1"/>
  <c r="DO10" i="1"/>
  <c r="DP11" i="1"/>
  <c r="DW10" i="1"/>
  <c r="DW7" i="1" s="1"/>
  <c r="CW3" i="1"/>
  <c r="EQ11" i="1"/>
  <c r="DZ83" i="1"/>
  <c r="DR181" i="1"/>
  <c r="DR172" i="1"/>
  <c r="DR173" i="1" s="1"/>
  <c r="DR174" i="1" s="1"/>
  <c r="FH172" i="1"/>
  <c r="FH181" i="1"/>
  <c r="FG83" i="1"/>
  <c r="EF181" i="1"/>
  <c r="EF172" i="1"/>
  <c r="EF173" i="1" s="1"/>
  <c r="EF174" i="1" s="1"/>
  <c r="FA307" i="1"/>
  <c r="EE273" i="1"/>
  <c r="EE274" i="1" s="1"/>
  <c r="EE275" i="1" s="1"/>
  <c r="EE87" i="1"/>
  <c r="DZ308" i="1"/>
  <c r="DJ226" i="1"/>
  <c r="DK226" i="1" s="1"/>
  <c r="DZ226" i="1" s="1"/>
  <c r="DI226" i="1"/>
  <c r="DU226" i="1"/>
  <c r="FT146" i="1"/>
  <c r="DX271" i="1"/>
  <c r="FM60" i="1"/>
  <c r="DZ259" i="1"/>
  <c r="DX259" i="1"/>
  <c r="BK86" i="1"/>
  <c r="BN86" i="1" s="1"/>
  <c r="BN85" i="1"/>
  <c r="FA220" i="1"/>
  <c r="CR112" i="1"/>
  <c r="CP112" i="1"/>
  <c r="L112" i="1"/>
  <c r="K112" i="1"/>
  <c r="CN112" i="1"/>
  <c r="CQ112" i="1"/>
  <c r="FG195" i="1"/>
  <c r="CN26" i="1"/>
  <c r="L26" i="1"/>
  <c r="CR26" i="1"/>
  <c r="CQ26" i="1"/>
  <c r="K26" i="1"/>
  <c r="CP26" i="1"/>
  <c r="FM56" i="1"/>
  <c r="FM17" i="1"/>
  <c r="DQ54" i="1"/>
  <c r="DQ48" i="1"/>
  <c r="EX175" i="1"/>
  <c r="EX176" i="1" s="1"/>
  <c r="EX177" i="1" s="1"/>
  <c r="EX164" i="1"/>
  <c r="EX165" i="1" s="1"/>
  <c r="EX166" i="1" s="1"/>
  <c r="EX81" i="1"/>
  <c r="FO164" i="1"/>
  <c r="FO165" i="1" s="1"/>
  <c r="FO166" i="1" s="1"/>
  <c r="FO175" i="1"/>
  <c r="FO176" i="1" s="1"/>
  <c r="FO177" i="1" s="1"/>
  <c r="FO81" i="1"/>
  <c r="EE175" i="1"/>
  <c r="EE176" i="1" s="1"/>
  <c r="EE177" i="1" s="1"/>
  <c r="EE164" i="1"/>
  <c r="EE165" i="1" s="1"/>
  <c r="EE166" i="1" s="1"/>
  <c r="EE81" i="1"/>
  <c r="EJ155" i="1"/>
  <c r="EJ184" i="1"/>
  <c r="FJ184" i="1"/>
  <c r="FJ155" i="1"/>
  <c r="BK52" i="1"/>
  <c r="BN51" i="1"/>
  <c r="FP11" i="1"/>
  <c r="ED172" i="1"/>
  <c r="ED173" i="1" s="1"/>
  <c r="ED181" i="1"/>
  <c r="FV181" i="1"/>
  <c r="FV172" i="1"/>
  <c r="FV173" i="1" s="1"/>
  <c r="FV174" i="1" s="1"/>
  <c r="EV181" i="1"/>
  <c r="EV172" i="1"/>
  <c r="EV173" i="1" s="1"/>
  <c r="EV174" i="1" s="1"/>
  <c r="EX273" i="1"/>
  <c r="EX274" i="1" s="1"/>
  <c r="EX275" i="1" s="1"/>
  <c r="EX87" i="1"/>
  <c r="FO273" i="1"/>
  <c r="FO274" i="1" s="1"/>
  <c r="FO275" i="1" s="1"/>
  <c r="FO87" i="1"/>
  <c r="DX308" i="1"/>
  <c r="DO271" i="1"/>
  <c r="DZ182" i="1"/>
  <c r="DO259" i="1"/>
  <c r="EO286" i="1"/>
  <c r="EO288" i="1" s="1"/>
  <c r="FA195" i="1"/>
  <c r="FA51" i="1"/>
  <c r="FB296" i="1"/>
  <c r="FA296" i="1" s="1"/>
  <c r="FA293" i="1"/>
  <c r="BK126" i="1"/>
  <c r="BN126" i="1" s="1"/>
  <c r="DZ126" i="1" s="1"/>
  <c r="BN125" i="1"/>
  <c r="DX125" i="1" s="1"/>
  <c r="DO50" i="1"/>
  <c r="FA115" i="1"/>
  <c r="DP264" i="1"/>
  <c r="DO264" i="1" s="1"/>
  <c r="DO263" i="1"/>
  <c r="FM92" i="1"/>
  <c r="FT92" i="1"/>
  <c r="DO193" i="1"/>
  <c r="FG193" i="1"/>
  <c r="AN86" i="1"/>
  <c r="AO86" i="1" s="1"/>
  <c r="AO85" i="1"/>
  <c r="DJ119" i="1"/>
  <c r="DK119" i="1" s="1"/>
  <c r="DI119" i="1"/>
  <c r="DU119" i="1"/>
  <c r="FN175" i="1"/>
  <c r="FN164" i="1"/>
  <c r="FN81" i="1"/>
  <c r="FM80" i="1"/>
  <c r="ED175" i="1"/>
  <c r="ED176" i="1" s="1"/>
  <c r="ED164" i="1"/>
  <c r="ED165" i="1" s="1"/>
  <c r="ED81" i="1"/>
  <c r="FH175" i="1"/>
  <c r="FH164" i="1"/>
  <c r="FG80" i="1"/>
  <c r="FH81" i="1"/>
  <c r="FD155" i="1"/>
  <c r="FD184" i="1"/>
  <c r="EL155" i="1"/>
  <c r="EL184" i="1"/>
  <c r="EX155" i="1"/>
  <c r="EX184" i="1"/>
  <c r="DZ297" i="1"/>
  <c r="DZ185" i="1"/>
  <c r="DZ304" i="1"/>
  <c r="DZ305" i="1"/>
  <c r="DZ186" i="1"/>
  <c r="DZ72" i="1"/>
  <c r="DZ61" i="1"/>
  <c r="DZ12" i="1"/>
  <c r="DZ22" i="1"/>
  <c r="DZ284" i="1"/>
  <c r="DZ82" i="1"/>
  <c r="DZ289" i="1"/>
  <c r="DZ255" i="1"/>
  <c r="DZ200" i="1"/>
  <c r="DZ302" i="1"/>
  <c r="DZ64" i="1"/>
  <c r="DZ225" i="1"/>
  <c r="DZ36" i="1"/>
  <c r="DZ269" i="1"/>
  <c r="DZ272" i="1"/>
  <c r="DZ37" i="1"/>
  <c r="DZ256" i="1"/>
  <c r="DZ16" i="1"/>
  <c r="DZ199" i="1"/>
  <c r="DZ258" i="1"/>
  <c r="DZ90" i="1"/>
  <c r="DZ300" i="1"/>
  <c r="DZ84" i="1"/>
  <c r="DZ29" i="1"/>
  <c r="DZ270" i="1"/>
  <c r="DZ89" i="1"/>
  <c r="DZ251" i="1"/>
  <c r="DZ57" i="1"/>
  <c r="DZ59" i="1"/>
  <c r="DZ123" i="1"/>
  <c r="DZ224" i="1"/>
  <c r="DZ252" i="1"/>
  <c r="DZ215" i="1"/>
  <c r="DZ231" i="1"/>
  <c r="DZ301" i="1"/>
  <c r="DZ102" i="1"/>
  <c r="DZ124" i="1"/>
  <c r="DZ238" i="1"/>
  <c r="DZ194" i="1"/>
  <c r="DZ309" i="1"/>
  <c r="DZ45" i="1"/>
  <c r="DZ237" i="1"/>
  <c r="DZ232" i="1"/>
  <c r="DZ30" i="1"/>
  <c r="DZ49" i="1"/>
  <c r="DZ157" i="1"/>
  <c r="DZ160" i="1"/>
  <c r="DZ156" i="1"/>
  <c r="DZ159" i="1"/>
  <c r="EP11" i="1"/>
  <c r="FC11" i="1"/>
  <c r="FM204" i="1"/>
  <c r="EW181" i="1"/>
  <c r="EW172" i="1"/>
  <c r="EW173" i="1" s="1"/>
  <c r="EW174" i="1" s="1"/>
  <c r="EL181" i="1"/>
  <c r="EL172" i="1"/>
  <c r="EL173" i="1" s="1"/>
  <c r="EL174" i="1" s="1"/>
  <c r="FC181" i="1"/>
  <c r="FC172" i="1"/>
  <c r="FC173" i="1" s="1"/>
  <c r="FC174" i="1" s="1"/>
  <c r="DZ307" i="1"/>
  <c r="BK120" i="1"/>
  <c r="BN119" i="1"/>
  <c r="DZ93" i="1"/>
  <c r="DX79" i="1"/>
  <c r="DO79" i="1"/>
  <c r="FP273" i="1"/>
  <c r="FP274" i="1" s="1"/>
  <c r="FP275" i="1" s="1"/>
  <c r="FP87" i="1"/>
  <c r="ER273" i="1"/>
  <c r="ER274" i="1" s="1"/>
  <c r="ER275" i="1" s="1"/>
  <c r="ER87" i="1"/>
  <c r="FT308" i="1"/>
  <c r="FA146" i="1"/>
  <c r="DZ271" i="1"/>
  <c r="FA60" i="1"/>
  <c r="FA259" i="1"/>
  <c r="DO95" i="1"/>
  <c r="FG55" i="1"/>
  <c r="DJ196" i="1"/>
  <c r="DK196" i="1" s="1"/>
  <c r="DI196" i="1"/>
  <c r="DU196" i="1"/>
  <c r="CL112" i="1"/>
  <c r="FZ112" i="1" s="1"/>
  <c r="DO195" i="1"/>
  <c r="DO207" i="1"/>
  <c r="CL26" i="1"/>
  <c r="FZ26" i="1" s="1"/>
  <c r="DI239" i="1"/>
  <c r="DU239" i="1"/>
  <c r="DJ239" i="1"/>
  <c r="DK239" i="1" s="1"/>
  <c r="DX239" i="1" s="1"/>
  <c r="BK261" i="1"/>
  <c r="BN260" i="1"/>
  <c r="DZ260" i="1" s="1"/>
  <c r="FT51" i="1"/>
  <c r="FG293" i="1"/>
  <c r="FH296" i="1"/>
  <c r="FG296" i="1" s="1"/>
  <c r="FA50" i="1"/>
  <c r="DO56" i="1"/>
  <c r="FU264" i="1"/>
  <c r="FT264" i="1" s="1"/>
  <c r="FT263" i="1"/>
  <c r="FQ175" i="1"/>
  <c r="FQ176" i="1" s="1"/>
  <c r="FQ177" i="1" s="1"/>
  <c r="FQ164" i="1"/>
  <c r="FQ165" i="1" s="1"/>
  <c r="FQ166" i="1" s="1"/>
  <c r="FQ81" i="1"/>
  <c r="FJ175" i="1"/>
  <c r="FJ176" i="1" s="1"/>
  <c r="FJ177" i="1" s="1"/>
  <c r="FJ164" i="1"/>
  <c r="FJ165" i="1" s="1"/>
  <c r="FJ166" i="1" s="1"/>
  <c r="FJ81" i="1"/>
  <c r="FT128" i="1"/>
  <c r="FU129" i="1"/>
  <c r="BK228" i="1"/>
  <c r="BN227" i="1"/>
  <c r="EK155" i="1"/>
  <c r="EK184" i="1"/>
  <c r="FO184" i="1"/>
  <c r="FO155" i="1"/>
  <c r="EL11" i="1"/>
  <c r="FO11" i="1"/>
  <c r="EF11" i="1"/>
  <c r="FW11" i="1"/>
  <c r="FJ181" i="1"/>
  <c r="FJ172" i="1"/>
  <c r="FJ173" i="1" s="1"/>
  <c r="FJ174" i="1" s="1"/>
  <c r="FW181" i="1"/>
  <c r="FW172" i="1"/>
  <c r="FW173" i="1" s="1"/>
  <c r="FW174" i="1" s="1"/>
  <c r="FA79" i="1"/>
  <c r="EQ273" i="1"/>
  <c r="EQ274" i="1" s="1"/>
  <c r="EQ275" i="1" s="1"/>
  <c r="EQ87" i="1"/>
  <c r="FJ273" i="1"/>
  <c r="FJ274" i="1" s="1"/>
  <c r="FJ275" i="1" s="1"/>
  <c r="FJ87" i="1"/>
  <c r="FG146" i="1"/>
  <c r="DO146" i="1"/>
  <c r="DX60" i="1"/>
  <c r="DO60" i="1"/>
  <c r="FT259" i="1"/>
  <c r="DX21" i="1"/>
  <c r="DZ65" i="1"/>
  <c r="DZ68" i="1"/>
  <c r="FT203" i="1"/>
  <c r="FM78" i="1"/>
  <c r="FM293" i="1"/>
  <c r="FN296" i="1"/>
  <c r="FM296" i="1" s="1"/>
  <c r="DP280" i="1"/>
  <c r="FT290" i="1"/>
  <c r="DT54" i="1"/>
  <c r="DT48" i="1"/>
  <c r="FW175" i="1"/>
  <c r="FW176" i="1" s="1"/>
  <c r="FW177" i="1" s="1"/>
  <c r="FW164" i="1"/>
  <c r="FW165" i="1" s="1"/>
  <c r="FW166" i="1" s="1"/>
  <c r="FW81" i="1"/>
  <c r="EJ175" i="1"/>
  <c r="EJ176" i="1" s="1"/>
  <c r="EJ164" i="1"/>
  <c r="EJ165" i="1" s="1"/>
  <c r="EJ81" i="1"/>
  <c r="DP155" i="1"/>
  <c r="DP184" i="1"/>
  <c r="DO295" i="1"/>
  <c r="FC155" i="1"/>
  <c r="FC184" i="1"/>
  <c r="AO51" i="1"/>
  <c r="AN52" i="1"/>
  <c r="DT11" i="1"/>
  <c r="DX186" i="1"/>
  <c r="DX297" i="1"/>
  <c r="DX185" i="1"/>
  <c r="DX304" i="1"/>
  <c r="DX301" i="1"/>
  <c r="DX284" i="1"/>
  <c r="DX89" i="1"/>
  <c r="DX256" i="1"/>
  <c r="DX289" i="1"/>
  <c r="DX124" i="1"/>
  <c r="DX30" i="1"/>
  <c r="DX199" i="1"/>
  <c r="DX22" i="1"/>
  <c r="DX102" i="1"/>
  <c r="DX232" i="1"/>
  <c r="DX258" i="1"/>
  <c r="DX36" i="1"/>
  <c r="DX269" i="1"/>
  <c r="DX37" i="1"/>
  <c r="DX225" i="1"/>
  <c r="DX252" i="1"/>
  <c r="DX231" i="1"/>
  <c r="DX200" i="1"/>
  <c r="DX272" i="1"/>
  <c r="DX64" i="1"/>
  <c r="DX251" i="1"/>
  <c r="DX237" i="1"/>
  <c r="DX49" i="1"/>
  <c r="DX238" i="1"/>
  <c r="DX255" i="1"/>
  <c r="DX84" i="1"/>
  <c r="DX309" i="1"/>
  <c r="DX300" i="1"/>
  <c r="DX123" i="1"/>
  <c r="DX72" i="1"/>
  <c r="DX302" i="1"/>
  <c r="DX194" i="1"/>
  <c r="DX59" i="1"/>
  <c r="DX224" i="1"/>
  <c r="DX57" i="1"/>
  <c r="DX82" i="1"/>
  <c r="DX16" i="1"/>
  <c r="DX45" i="1"/>
  <c r="DX270" i="1"/>
  <c r="DX29" i="1"/>
  <c r="DX215" i="1"/>
  <c r="DX12" i="1"/>
  <c r="DX159" i="1"/>
  <c r="DX157" i="1"/>
  <c r="DX305" i="1"/>
  <c r="DX160" i="1"/>
  <c r="DX156" i="1"/>
  <c r="FM10" i="1"/>
  <c r="FN11" i="1"/>
  <c r="DX204" i="1"/>
  <c r="EE181" i="1"/>
  <c r="EE172" i="1"/>
  <c r="EE173" i="1" s="1"/>
  <c r="EE174" i="1" s="1"/>
  <c r="ER181" i="1"/>
  <c r="ER172" i="1"/>
  <c r="ER173" i="1" s="1"/>
  <c r="ER174" i="1" s="1"/>
  <c r="EK172" i="1"/>
  <c r="EK173" i="1" s="1"/>
  <c r="EK174" i="1" s="1"/>
  <c r="EK181" i="1"/>
  <c r="FM307" i="1"/>
  <c r="FA93" i="1"/>
  <c r="DS273" i="1"/>
  <c r="DS274" i="1" s="1"/>
  <c r="DS275" i="1" s="1"/>
  <c r="DS87" i="1"/>
  <c r="FA308" i="1"/>
  <c r="DX168" i="1"/>
  <c r="FT261" i="1"/>
  <c r="FT95" i="1"/>
  <c r="DX65" i="1"/>
  <c r="FM68" i="1"/>
  <c r="FU296" i="1"/>
  <c r="FT296" i="1" s="1"/>
  <c r="FT293" i="1"/>
  <c r="FM63" i="1"/>
  <c r="FA56" i="1"/>
  <c r="FB264" i="1"/>
  <c r="FA264" i="1" s="1"/>
  <c r="FA263" i="1"/>
  <c r="FM263" i="1"/>
  <c r="FN264" i="1"/>
  <c r="FM264" i="1" s="1"/>
  <c r="EF175" i="1"/>
  <c r="EF176" i="1" s="1"/>
  <c r="EF177" i="1" s="1"/>
  <c r="EF164" i="1"/>
  <c r="EF165" i="1" s="1"/>
  <c r="EF166" i="1" s="1"/>
  <c r="EF81" i="1"/>
  <c r="FB175" i="1"/>
  <c r="FB164" i="1"/>
  <c r="FA80" i="1"/>
  <c r="FB81" i="1"/>
  <c r="DO128" i="1"/>
  <c r="DP129" i="1"/>
  <c r="DU155" i="1"/>
  <c r="DU184" i="1"/>
  <c r="EQ155" i="1"/>
  <c r="EQ184" i="1"/>
  <c r="DS155" i="1"/>
  <c r="DS184" i="1"/>
  <c r="CY3" i="1"/>
  <c r="N10" i="1"/>
  <c r="FA10" i="1"/>
  <c r="FB11" i="1"/>
  <c r="EE11" i="1"/>
  <c r="EX181" i="1"/>
  <c r="EX172" i="1"/>
  <c r="EX173" i="1" s="1"/>
  <c r="EX174" i="1" s="1"/>
  <c r="FO181" i="1"/>
  <c r="FO172" i="1"/>
  <c r="FO173" i="1" s="1"/>
  <c r="FO174" i="1" s="1"/>
  <c r="DO46" i="1"/>
  <c r="FD273" i="1"/>
  <c r="FD274" i="1" s="1"/>
  <c r="FD275" i="1" s="1"/>
  <c r="FD87" i="1"/>
  <c r="FI273" i="1"/>
  <c r="FI274" i="1" s="1"/>
  <c r="FI275" i="1" s="1"/>
  <c r="FI87" i="1"/>
  <c r="EK273" i="1"/>
  <c r="EK274" i="1" s="1"/>
  <c r="EK275" i="1" s="1"/>
  <c r="EK87" i="1"/>
  <c r="AO105" i="1"/>
  <c r="AN106" i="1"/>
  <c r="FG51" i="1"/>
  <c r="FG203" i="1"/>
  <c r="FU248" i="1"/>
  <c r="FM283" i="1"/>
  <c r="FM292" i="1"/>
  <c r="EQ175" i="1"/>
  <c r="EQ176" i="1" s="1"/>
  <c r="EQ177" i="1" s="1"/>
  <c r="EQ164" i="1"/>
  <c r="EQ165" i="1" s="1"/>
  <c r="EQ166" i="1" s="1"/>
  <c r="EQ81" i="1"/>
  <c r="FI175" i="1"/>
  <c r="FI176" i="1" s="1"/>
  <c r="FI177" i="1" s="1"/>
  <c r="FI164" i="1"/>
  <c r="FI165" i="1" s="1"/>
  <c r="FI166" i="1" s="1"/>
  <c r="FI81" i="1"/>
  <c r="EO80" i="1"/>
  <c r="FV155" i="1"/>
  <c r="FV184" i="1"/>
  <c r="FH155" i="1"/>
  <c r="FH184" i="1"/>
  <c r="FG295" i="1"/>
  <c r="ED155" i="1"/>
  <c r="ED184" i="1"/>
  <c r="FM310" i="1"/>
  <c r="FG67" i="1"/>
  <c r="DS11" i="1"/>
  <c r="FV11" i="1"/>
  <c r="FI11" i="1"/>
  <c r="DZ204" i="1"/>
  <c r="FG204" i="1"/>
  <c r="DS181" i="1"/>
  <c r="DS172" i="1"/>
  <c r="DS173" i="1" s="1"/>
  <c r="DS174" i="1" s="1"/>
  <c r="FI181" i="1"/>
  <c r="FI172" i="1"/>
  <c r="FI173" i="1" s="1"/>
  <c r="FI174" i="1" s="1"/>
  <c r="FM79" i="1"/>
  <c r="FC273" i="1"/>
  <c r="FC274" i="1" s="1"/>
  <c r="FC275" i="1" s="1"/>
  <c r="FC87" i="1"/>
  <c r="FG308" i="1"/>
  <c r="FM308" i="1"/>
  <c r="FA261" i="1"/>
  <c r="FM261" i="1"/>
  <c r="FT55" i="1"/>
  <c r="DO55" i="1"/>
  <c r="DZ183" i="1"/>
  <c r="DX183" i="1"/>
  <c r="L104" i="1" l="1"/>
  <c r="DW75" i="1"/>
  <c r="CU75" i="1"/>
  <c r="CT75" i="1" s="1"/>
  <c r="H75" i="1" s="1"/>
  <c r="K104" i="1"/>
  <c r="CR104" i="1"/>
  <c r="EB162" i="1"/>
  <c r="EB38" i="1"/>
  <c r="EB144" i="1"/>
  <c r="EH298" i="1"/>
  <c r="EH38" i="1"/>
  <c r="DW38" i="1"/>
  <c r="CU38" i="1"/>
  <c r="CT38" i="1" s="1"/>
  <c r="H38" i="1" s="1"/>
  <c r="CU144" i="1"/>
  <c r="CT144" i="1" s="1"/>
  <c r="DB144" i="1" s="1"/>
  <c r="DW144" i="1"/>
  <c r="GB38" i="1"/>
  <c r="GB144" i="1"/>
  <c r="EH144" i="1"/>
  <c r="FP149" i="1"/>
  <c r="FP150" i="1" s="1"/>
  <c r="FP141" i="1"/>
  <c r="FP142" i="1" s="1"/>
  <c r="EX149" i="1"/>
  <c r="EX150" i="1" s="1"/>
  <c r="EX141" i="1"/>
  <c r="EX142" i="1" s="1"/>
  <c r="ER149" i="1"/>
  <c r="ER150" i="1" s="1"/>
  <c r="ER141" i="1"/>
  <c r="ER142" i="1" s="1"/>
  <c r="GB154" i="1"/>
  <c r="GB162" i="1"/>
  <c r="EH162" i="1"/>
  <c r="EE149" i="1"/>
  <c r="EE150" i="1" s="1"/>
  <c r="EE141" i="1"/>
  <c r="EE142" i="1" s="1"/>
  <c r="EQ149" i="1"/>
  <c r="EQ150" i="1" s="1"/>
  <c r="EQ141" i="1"/>
  <c r="EQ142" i="1" s="1"/>
  <c r="EL149" i="1"/>
  <c r="EL150" i="1" s="1"/>
  <c r="EL141" i="1"/>
  <c r="EL142" i="1" s="1"/>
  <c r="FQ149" i="1"/>
  <c r="FQ150" i="1" s="1"/>
  <c r="FQ141" i="1"/>
  <c r="FQ142" i="1" s="1"/>
  <c r="FD149" i="1"/>
  <c r="FD150" i="1" s="1"/>
  <c r="FD141" i="1"/>
  <c r="FD142" i="1" s="1"/>
  <c r="FW149" i="1"/>
  <c r="FW150" i="1" s="1"/>
  <c r="FW141" i="1"/>
  <c r="FW142" i="1" s="1"/>
  <c r="FJ149" i="1"/>
  <c r="FJ150" i="1" s="1"/>
  <c r="FJ141" i="1"/>
  <c r="FJ142" i="1" s="1"/>
  <c r="FV149" i="1"/>
  <c r="FV150" i="1" s="1"/>
  <c r="FV141" i="1"/>
  <c r="FV142" i="1" s="1"/>
  <c r="FC149" i="1"/>
  <c r="FC150" i="1" s="1"/>
  <c r="FC141" i="1"/>
  <c r="FC142" i="1" s="1"/>
  <c r="DQ149" i="1"/>
  <c r="DQ150" i="1" s="1"/>
  <c r="DQ141" i="1"/>
  <c r="DQ142" i="1" s="1"/>
  <c r="CU154" i="1"/>
  <c r="CT154" i="1" s="1"/>
  <c r="DB154" i="1" s="1"/>
  <c r="DW154" i="1"/>
  <c r="CU162" i="1"/>
  <c r="CT162" i="1" s="1"/>
  <c r="DW162" i="1"/>
  <c r="EW149" i="1"/>
  <c r="EW150" i="1" s="1"/>
  <c r="EW141" i="1"/>
  <c r="EW142" i="1" s="1"/>
  <c r="FI149" i="1"/>
  <c r="FI150" i="1" s="1"/>
  <c r="FI141" i="1"/>
  <c r="FI142" i="1" s="1"/>
  <c r="EF149" i="1"/>
  <c r="EF150" i="1" s="1"/>
  <c r="EF141" i="1"/>
  <c r="EF142" i="1" s="1"/>
  <c r="FO149" i="1"/>
  <c r="FO150" i="1" s="1"/>
  <c r="FO141" i="1"/>
  <c r="FO142" i="1" s="1"/>
  <c r="DZ94" i="1"/>
  <c r="EO267" i="1"/>
  <c r="EO268" i="1" s="1"/>
  <c r="GB140" i="1"/>
  <c r="GB179" i="1"/>
  <c r="GB180" i="1"/>
  <c r="CU180" i="1"/>
  <c r="CT180" i="1" s="1"/>
  <c r="H180" i="1" s="1"/>
  <c r="DW179" i="1"/>
  <c r="CU179" i="1"/>
  <c r="CT179" i="1" s="1"/>
  <c r="H179" i="1" s="1"/>
  <c r="I178" i="1" s="1"/>
  <c r="DW180" i="1"/>
  <c r="FZ85" i="1"/>
  <c r="AS96" i="1"/>
  <c r="GA95" i="1"/>
  <c r="FZ95" i="1" s="1"/>
  <c r="DJ95" i="1"/>
  <c r="DK95" i="1" s="1"/>
  <c r="DU95" i="1"/>
  <c r="DI95" i="1"/>
  <c r="DO84" i="1"/>
  <c r="N76" i="1"/>
  <c r="GB171" i="1"/>
  <c r="GB298" i="1"/>
  <c r="DW131" i="1"/>
  <c r="CU140" i="1"/>
  <c r="CT140" i="1" s="1"/>
  <c r="H140" i="1" s="1"/>
  <c r="DW140" i="1"/>
  <c r="CU171" i="1"/>
  <c r="CT171" i="1" s="1"/>
  <c r="H171" i="1" s="1"/>
  <c r="EH201" i="1"/>
  <c r="EB201" i="1"/>
  <c r="EB298" i="1"/>
  <c r="GB201" i="1"/>
  <c r="EU201" i="1"/>
  <c r="EO76" i="1"/>
  <c r="FG40" i="1"/>
  <c r="EU76" i="1"/>
  <c r="FM40" i="1"/>
  <c r="EB42" i="1"/>
  <c r="EB41" i="1"/>
  <c r="EB43" i="1"/>
  <c r="FT40" i="1"/>
  <c r="DI113" i="1"/>
  <c r="CO113" i="1"/>
  <c r="M113" i="1" s="1"/>
  <c r="CY113" i="1"/>
  <c r="N113" i="1" s="1"/>
  <c r="DX113" i="1"/>
  <c r="CX113" i="1"/>
  <c r="CW113" i="1"/>
  <c r="DZ113" i="1"/>
  <c r="DW43" i="1"/>
  <c r="DW42" i="1"/>
  <c r="DW41" i="1"/>
  <c r="DY41" i="1" s="1"/>
  <c r="DZ76" i="1"/>
  <c r="FA76" i="1"/>
  <c r="CU41" i="1"/>
  <c r="CT41" i="1" s="1"/>
  <c r="CU43" i="1"/>
  <c r="CT43" i="1" s="1"/>
  <c r="H43" i="1" s="1"/>
  <c r="CU42" i="1"/>
  <c r="CT42" i="1" s="1"/>
  <c r="H42" i="1" s="1"/>
  <c r="GB41" i="1"/>
  <c r="GB42" i="1"/>
  <c r="GB43" i="1"/>
  <c r="FA40" i="1"/>
  <c r="EH43" i="1"/>
  <c r="EH42" i="1"/>
  <c r="EH41" i="1"/>
  <c r="FT47" i="1"/>
  <c r="DO18" i="1"/>
  <c r="FM76" i="1"/>
  <c r="FT76" i="1"/>
  <c r="DO76" i="1"/>
  <c r="FG76" i="1"/>
  <c r="DO267" i="1"/>
  <c r="FM47" i="1"/>
  <c r="FA47" i="1"/>
  <c r="EH76" i="1"/>
  <c r="EH74" i="1"/>
  <c r="EH73" i="1"/>
  <c r="EB76" i="1"/>
  <c r="EB73" i="1"/>
  <c r="EB74" i="1"/>
  <c r="GB74" i="1"/>
  <c r="GB73" i="1"/>
  <c r="GB76" i="1"/>
  <c r="DW74" i="1"/>
  <c r="DW76" i="1"/>
  <c r="CU76" i="1"/>
  <c r="CT76" i="1" s="1"/>
  <c r="H76" i="1" s="1"/>
  <c r="CU73" i="1"/>
  <c r="CT73" i="1" s="1"/>
  <c r="CU74" i="1"/>
  <c r="CT74" i="1" s="1"/>
  <c r="H74" i="1" s="1"/>
  <c r="DW73" i="1"/>
  <c r="DY73" i="1" s="1"/>
  <c r="DX70" i="1"/>
  <c r="DZ118" i="1"/>
  <c r="DB173" i="1"/>
  <c r="EU47" i="1"/>
  <c r="EU54" i="1" s="1"/>
  <c r="EO181" i="1"/>
  <c r="DZ19" i="1"/>
  <c r="DX19" i="1"/>
  <c r="EJ174" i="1"/>
  <c r="EH174" i="1" s="1"/>
  <c r="EH173" i="1"/>
  <c r="ED177" i="1"/>
  <c r="EB177" i="1" s="1"/>
  <c r="EB176" i="1"/>
  <c r="CU274" i="1"/>
  <c r="CT274" i="1" s="1"/>
  <c r="DW274" i="1"/>
  <c r="CU280" i="1"/>
  <c r="CT280" i="1" s="1"/>
  <c r="ED166" i="1"/>
  <c r="EB166" i="1" s="1"/>
  <c r="EB165" i="1"/>
  <c r="EJ166" i="1"/>
  <c r="EH166" i="1" s="1"/>
  <c r="EH165" i="1"/>
  <c r="DX131" i="1"/>
  <c r="DZ131" i="1"/>
  <c r="EO173" i="1"/>
  <c r="CU201" i="1"/>
  <c r="CT201" i="1" s="1"/>
  <c r="H201" i="1" s="1"/>
  <c r="DW201" i="1"/>
  <c r="GB131" i="1"/>
  <c r="CU247" i="1"/>
  <c r="CT247" i="1" s="1"/>
  <c r="CU275" i="1"/>
  <c r="CT275" i="1" s="1"/>
  <c r="DW275" i="1"/>
  <c r="EJ177" i="1"/>
  <c r="EH177" i="1" s="1"/>
  <c r="EH176" i="1"/>
  <c r="EB247" i="1"/>
  <c r="DW298" i="1"/>
  <c r="CU298" i="1"/>
  <c r="CT298" i="1" s="1"/>
  <c r="H298" i="1" s="1"/>
  <c r="DW280" i="1"/>
  <c r="DX246" i="1"/>
  <c r="DZ246" i="1"/>
  <c r="EB246" i="1"/>
  <c r="GB247" i="1"/>
  <c r="CU176" i="1"/>
  <c r="CT176" i="1" s="1"/>
  <c r="DW176" i="1"/>
  <c r="EO163" i="1"/>
  <c r="EM163" i="1" s="1"/>
  <c r="DW278" i="1"/>
  <c r="CU278" i="1"/>
  <c r="CT278" i="1" s="1"/>
  <c r="ED174" i="1"/>
  <c r="EB174" i="1" s="1"/>
  <c r="EB173" i="1"/>
  <c r="GB246" i="1"/>
  <c r="EH246" i="1"/>
  <c r="DW174" i="1"/>
  <c r="CU174" i="1"/>
  <c r="CT174" i="1" s="1"/>
  <c r="DW173" i="1"/>
  <c r="DZ280" i="1"/>
  <c r="EB280" i="1"/>
  <c r="DX280" i="1"/>
  <c r="EO278" i="1"/>
  <c r="EM277" i="1"/>
  <c r="EU278" i="1"/>
  <c r="ES277" i="1"/>
  <c r="EU245" i="1"/>
  <c r="ES244" i="1"/>
  <c r="DZ279" i="1"/>
  <c r="DX279" i="1"/>
  <c r="EU163" i="1"/>
  <c r="ES163" i="1" s="1"/>
  <c r="EH247" i="1"/>
  <c r="EB279" i="1"/>
  <c r="CU244" i="1"/>
  <c r="CT244" i="1" s="1"/>
  <c r="DW244" i="1"/>
  <c r="DW246" i="1"/>
  <c r="EO245" i="1"/>
  <c r="EM244" i="1"/>
  <c r="EU176" i="1"/>
  <c r="DW245" i="1"/>
  <c r="CU245" i="1"/>
  <c r="CT245" i="1" s="1"/>
  <c r="CU246" i="1"/>
  <c r="CT246" i="1" s="1"/>
  <c r="FK279" i="1"/>
  <c r="EH279" i="1"/>
  <c r="CU279" i="1"/>
  <c r="CT279" i="1" s="1"/>
  <c r="DW279" i="1"/>
  <c r="CU131" i="1"/>
  <c r="CT131" i="1" s="1"/>
  <c r="H131" i="1" s="1"/>
  <c r="DW171" i="1"/>
  <c r="DO228" i="1"/>
  <c r="FH54" i="1"/>
  <c r="FG54" i="1" s="1"/>
  <c r="FA182" i="1"/>
  <c r="EU221" i="1"/>
  <c r="EO102" i="1"/>
  <c r="FV13" i="1"/>
  <c r="DP48" i="1"/>
  <c r="DZ13" i="1"/>
  <c r="DQ13" i="1"/>
  <c r="FD13" i="1"/>
  <c r="FP13" i="1"/>
  <c r="FN13" i="1"/>
  <c r="FB13" i="1"/>
  <c r="FI13" i="1"/>
  <c r="FQ13" i="1"/>
  <c r="FJ13" i="1"/>
  <c r="DO47" i="1"/>
  <c r="EQ13" i="1"/>
  <c r="EL13" i="1"/>
  <c r="ER13" i="1"/>
  <c r="CO13" i="1"/>
  <c r="M13" i="1" s="1"/>
  <c r="FO13" i="1"/>
  <c r="DT13" i="1"/>
  <c r="EX13" i="1"/>
  <c r="EJ13" i="1"/>
  <c r="EF13" i="1"/>
  <c r="FU13" i="1"/>
  <c r="EP13" i="1"/>
  <c r="FW13" i="1"/>
  <c r="EW13" i="1"/>
  <c r="DR13" i="1"/>
  <c r="EK13" i="1"/>
  <c r="DU13" i="1"/>
  <c r="EE13" i="1"/>
  <c r="DX13" i="1"/>
  <c r="EV13" i="1"/>
  <c r="ED13" i="1"/>
  <c r="FH13" i="1"/>
  <c r="FG13" i="1" s="1"/>
  <c r="FC13" i="1"/>
  <c r="DS13" i="1"/>
  <c r="FM66" i="1"/>
  <c r="FN188" i="1"/>
  <c r="FM188" i="1" s="1"/>
  <c r="EB189" i="1"/>
  <c r="EB190" i="1"/>
  <c r="EB191" i="1"/>
  <c r="CU191" i="1"/>
  <c r="CT191" i="1" s="1"/>
  <c r="H191" i="1" s="1"/>
  <c r="DW191" i="1"/>
  <c r="DW190" i="1"/>
  <c r="CU190" i="1"/>
  <c r="CT190" i="1" s="1"/>
  <c r="H190" i="1" s="1"/>
  <c r="DW189" i="1"/>
  <c r="CU189" i="1"/>
  <c r="CT189" i="1" s="1"/>
  <c r="H189" i="1" s="1"/>
  <c r="I188" i="1" s="1"/>
  <c r="GB191" i="1"/>
  <c r="GB190" i="1"/>
  <c r="GB189" i="1"/>
  <c r="FT66" i="1"/>
  <c r="FU188" i="1"/>
  <c r="FT188" i="1" s="1"/>
  <c r="FA66" i="1"/>
  <c r="FB188" i="1"/>
  <c r="FA188" i="1" s="1"/>
  <c r="EO210" i="1"/>
  <c r="EH189" i="1"/>
  <c r="EH191" i="1"/>
  <c r="EH190" i="1"/>
  <c r="FG66" i="1"/>
  <c r="FH188" i="1"/>
  <c r="FG188" i="1" s="1"/>
  <c r="DR48" i="1"/>
  <c r="EO47" i="1"/>
  <c r="EO54" i="1" s="1"/>
  <c r="CV221" i="1"/>
  <c r="DW221" i="1" s="1"/>
  <c r="FG111" i="1"/>
  <c r="CV182" i="1"/>
  <c r="CU182" i="1" s="1"/>
  <c r="CT182" i="1" s="1"/>
  <c r="H182" i="1" s="1"/>
  <c r="I181" i="1" s="1"/>
  <c r="CW103" i="1"/>
  <c r="CX103" i="1"/>
  <c r="CW26" i="1"/>
  <c r="CX26" i="1"/>
  <c r="CV111" i="1"/>
  <c r="DW111" i="1" s="1"/>
  <c r="CV183" i="1"/>
  <c r="DW183" i="1" s="1"/>
  <c r="CV12" i="1"/>
  <c r="CU12" i="1" s="1"/>
  <c r="CT12" i="1" s="1"/>
  <c r="CW112" i="1"/>
  <c r="CX112" i="1"/>
  <c r="CW39" i="1"/>
  <c r="CX39" i="1"/>
  <c r="CV222" i="1"/>
  <c r="CW14" i="1"/>
  <c r="CX14" i="1"/>
  <c r="CW216" i="1"/>
  <c r="CX216" i="1"/>
  <c r="CW104" i="1"/>
  <c r="CX104" i="1"/>
  <c r="CX13" i="1"/>
  <c r="CW13" i="1"/>
  <c r="DI13" i="1"/>
  <c r="DP13" i="1"/>
  <c r="CV34" i="1"/>
  <c r="CU34" i="1" s="1"/>
  <c r="CT34" i="1" s="1"/>
  <c r="H34" i="1" s="1"/>
  <c r="CV37" i="1"/>
  <c r="DW37" i="1" s="1"/>
  <c r="CV215" i="1"/>
  <c r="CU215" i="1" s="1"/>
  <c r="CT215" i="1" s="1"/>
  <c r="H215" i="1" s="1"/>
  <c r="I214" i="1" s="1"/>
  <c r="CV25" i="1"/>
  <c r="DW25" i="1" s="1"/>
  <c r="DY25" i="1" s="1"/>
  <c r="EU102" i="1"/>
  <c r="CL217" i="1"/>
  <c r="CQ217" i="1"/>
  <c r="CR217" i="1"/>
  <c r="CP217" i="1"/>
  <c r="EO36" i="1"/>
  <c r="DW85" i="1"/>
  <c r="FU85" i="1"/>
  <c r="FT85" i="1" s="1"/>
  <c r="EJ85" i="1"/>
  <c r="EH85" i="1" s="1"/>
  <c r="ED85" i="1"/>
  <c r="EB85" i="1" s="1"/>
  <c r="AU86" i="1"/>
  <c r="CV86" i="1" s="1"/>
  <c r="DP85" i="1"/>
  <c r="K85" i="1"/>
  <c r="DR85" i="1"/>
  <c r="CQ85" i="1"/>
  <c r="FB85" i="1"/>
  <c r="FA85" i="1" s="1"/>
  <c r="EP85" i="1"/>
  <c r="EO85" i="1" s="1"/>
  <c r="EV85" i="1"/>
  <c r="EU85" i="1" s="1"/>
  <c r="FN85" i="1"/>
  <c r="FM85" i="1" s="1"/>
  <c r="FH85" i="1"/>
  <c r="FG85" i="1" s="1"/>
  <c r="EB287" i="1"/>
  <c r="GB287" i="1"/>
  <c r="EH287" i="1"/>
  <c r="DW287" i="1"/>
  <c r="DY287" i="1" s="1"/>
  <c r="CU287" i="1"/>
  <c r="CT287" i="1" s="1"/>
  <c r="H287" i="1" s="1"/>
  <c r="CY13" i="1"/>
  <c r="N13" i="1" s="1"/>
  <c r="FG36" i="1"/>
  <c r="FT210" i="1"/>
  <c r="EU210" i="1"/>
  <c r="FT182" i="1"/>
  <c r="GB139" i="1"/>
  <c r="DO210" i="1"/>
  <c r="FA210" i="1"/>
  <c r="FM210" i="1"/>
  <c r="FG210" i="1"/>
  <c r="GB100" i="1"/>
  <c r="CU100" i="1"/>
  <c r="CT100" i="1" s="1"/>
  <c r="H100" i="1" s="1"/>
  <c r="DW100" i="1"/>
  <c r="FT162" i="1"/>
  <c r="FU163" i="1"/>
  <c r="FT163" i="1" s="1"/>
  <c r="FR163" i="1" s="1"/>
  <c r="DO162" i="1"/>
  <c r="DP163" i="1"/>
  <c r="DO163" i="1" s="1"/>
  <c r="DM163" i="1" s="1"/>
  <c r="FM162" i="1"/>
  <c r="FN163" i="1"/>
  <c r="FM163" i="1" s="1"/>
  <c r="FK163" i="1" s="1"/>
  <c r="FG162" i="1"/>
  <c r="FH163" i="1"/>
  <c r="FG163" i="1" s="1"/>
  <c r="FE163" i="1" s="1"/>
  <c r="FA162" i="1"/>
  <c r="FB163" i="1"/>
  <c r="FA163" i="1" s="1"/>
  <c r="EY163" i="1" s="1"/>
  <c r="CU139" i="1"/>
  <c r="CT139" i="1" s="1"/>
  <c r="DW139" i="1"/>
  <c r="N36" i="1"/>
  <c r="FO103" i="1"/>
  <c r="FO138" i="1" s="1"/>
  <c r="FO139" i="1" s="1"/>
  <c r="CV311" i="1"/>
  <c r="DW311" i="1" s="1"/>
  <c r="CV262" i="1"/>
  <c r="CV241" i="1"/>
  <c r="CV235" i="1"/>
  <c r="CV228" i="1"/>
  <c r="CU227" i="1"/>
  <c r="CT227" i="1" s="1"/>
  <c r="H227" i="1" s="1"/>
  <c r="CV207" i="1"/>
  <c r="CV119" i="1"/>
  <c r="CU118" i="1"/>
  <c r="CT118" i="1" s="1"/>
  <c r="H118" i="1" s="1"/>
  <c r="CV197" i="1"/>
  <c r="CU196" i="1"/>
  <c r="CT196" i="1" s="1"/>
  <c r="H196" i="1" s="1"/>
  <c r="BA106" i="1"/>
  <c r="BA96" i="1"/>
  <c r="CV96" i="1" s="1"/>
  <c r="DW95" i="1"/>
  <c r="BA53" i="1"/>
  <c r="CV53" i="1" s="1"/>
  <c r="CU19" i="1"/>
  <c r="CT19" i="1" s="1"/>
  <c r="H19" i="1" s="1"/>
  <c r="K19" i="1"/>
  <c r="CQ19" i="1"/>
  <c r="FH19" i="1"/>
  <c r="EP19" i="1"/>
  <c r="ED19" i="1"/>
  <c r="EB19" i="1" s="1"/>
  <c r="DP19" i="1"/>
  <c r="FU19" i="1"/>
  <c r="EJ19" i="1"/>
  <c r="EH19" i="1" s="1"/>
  <c r="DR19" i="1"/>
  <c r="FN19" i="1"/>
  <c r="FB19" i="1"/>
  <c r="EV19" i="1"/>
  <c r="AX86" i="1"/>
  <c r="EU34" i="1"/>
  <c r="EU40" i="1" s="1"/>
  <c r="EO34" i="1"/>
  <c r="EO40" i="1" s="1"/>
  <c r="FT12" i="1"/>
  <c r="FT102" i="1"/>
  <c r="FG183" i="1"/>
  <c r="N102" i="1"/>
  <c r="EU12" i="1"/>
  <c r="EO12" i="1"/>
  <c r="GB34" i="1"/>
  <c r="EU182" i="1"/>
  <c r="FG12" i="1"/>
  <c r="DO102" i="1"/>
  <c r="FH103" i="1"/>
  <c r="FH138" i="1" s="1"/>
  <c r="FV103" i="1"/>
  <c r="FV138" i="1" s="1"/>
  <c r="FV139" i="1" s="1"/>
  <c r="DX103" i="1"/>
  <c r="EF103" i="1"/>
  <c r="EF138" i="1" s="1"/>
  <c r="EF139" i="1" s="1"/>
  <c r="FN103" i="1"/>
  <c r="FN138" i="1" s="1"/>
  <c r="ER103" i="1"/>
  <c r="ER138" i="1" s="1"/>
  <c r="ER139" i="1" s="1"/>
  <c r="DS103" i="1"/>
  <c r="DS138" i="1" s="1"/>
  <c r="DS139" i="1" s="1"/>
  <c r="FP103" i="1"/>
  <c r="FP138" i="1" s="1"/>
  <c r="FP139" i="1" s="1"/>
  <c r="FM102" i="1"/>
  <c r="EX103" i="1"/>
  <c r="EX138" i="1" s="1"/>
  <c r="EX139" i="1" s="1"/>
  <c r="DU103" i="1"/>
  <c r="DU138" i="1" s="1"/>
  <c r="DU139" i="1" s="1"/>
  <c r="FW103" i="1"/>
  <c r="FW138" i="1" s="1"/>
  <c r="FW139" i="1" s="1"/>
  <c r="FA102" i="1"/>
  <c r="CY103" i="1"/>
  <c r="N103" i="1" s="1"/>
  <c r="DO118" i="1"/>
  <c r="DZ103" i="1"/>
  <c r="DP114" i="1"/>
  <c r="DP110" i="1"/>
  <c r="EP103" i="1"/>
  <c r="EP138" i="1" s="1"/>
  <c r="EP139" i="1" s="1"/>
  <c r="FD103" i="1"/>
  <c r="FD138" i="1" s="1"/>
  <c r="FD139" i="1" s="1"/>
  <c r="CO103" i="1"/>
  <c r="M103" i="1" s="1"/>
  <c r="EQ103" i="1"/>
  <c r="EQ138" i="1" s="1"/>
  <c r="EQ139" i="1" s="1"/>
  <c r="FM12" i="1"/>
  <c r="FG102" i="1"/>
  <c r="FA34" i="1"/>
  <c r="FT34" i="1"/>
  <c r="EO37" i="1"/>
  <c r="FM34" i="1"/>
  <c r="FG34" i="1"/>
  <c r="DW32" i="1"/>
  <c r="DY32" i="1" s="1"/>
  <c r="CU32" i="1"/>
  <c r="CT32" i="1" s="1"/>
  <c r="DW33" i="1"/>
  <c r="CU33" i="1"/>
  <c r="CT33" i="1" s="1"/>
  <c r="H33" i="1" s="1"/>
  <c r="DX267" i="1"/>
  <c r="DO34" i="1"/>
  <c r="GB69" i="1"/>
  <c r="GB32" i="1"/>
  <c r="GB33" i="1"/>
  <c r="EH69" i="1"/>
  <c r="EH32" i="1"/>
  <c r="EH33" i="1"/>
  <c r="EB69" i="1"/>
  <c r="EB32" i="1"/>
  <c r="EB33" i="1"/>
  <c r="EB34" i="1"/>
  <c r="EH34" i="1"/>
  <c r="FB103" i="1"/>
  <c r="FB138" i="1" s="1"/>
  <c r="DR103" i="1"/>
  <c r="DR138" i="1" s="1"/>
  <c r="DR139" i="1" s="1"/>
  <c r="DQ103" i="1"/>
  <c r="DQ138" i="1" s="1"/>
  <c r="DQ139" i="1" s="1"/>
  <c r="EV103" i="1"/>
  <c r="EV138" i="1" s="1"/>
  <c r="EV139" i="1" s="1"/>
  <c r="FU103" i="1"/>
  <c r="FU138" i="1" s="1"/>
  <c r="FJ103" i="1"/>
  <c r="FJ138" i="1" s="1"/>
  <c r="FJ139" i="1" s="1"/>
  <c r="FC103" i="1"/>
  <c r="FC138" i="1" s="1"/>
  <c r="FC139" i="1" s="1"/>
  <c r="EW103" i="1"/>
  <c r="EW138" i="1" s="1"/>
  <c r="EW139" i="1" s="1"/>
  <c r="EJ103" i="1"/>
  <c r="EJ138" i="1" s="1"/>
  <c r="EJ139" i="1" s="1"/>
  <c r="EJ178" i="1" s="1"/>
  <c r="EJ179" i="1" s="1"/>
  <c r="DI103" i="1"/>
  <c r="GB27" i="1"/>
  <c r="DT103" i="1"/>
  <c r="DT138" i="1" s="1"/>
  <c r="DT139" i="1" s="1"/>
  <c r="EL103" i="1"/>
  <c r="EL138" i="1" s="1"/>
  <c r="EL139" i="1" s="1"/>
  <c r="EK103" i="1"/>
  <c r="EK138" i="1" s="1"/>
  <c r="EK139" i="1" s="1"/>
  <c r="DW27" i="1"/>
  <c r="CU27" i="1"/>
  <c r="CT27" i="1" s="1"/>
  <c r="H27" i="1" s="1"/>
  <c r="CL105" i="1"/>
  <c r="CU69" i="1"/>
  <c r="CT69" i="1" s="1"/>
  <c r="H69" i="1" s="1"/>
  <c r="DW69" i="1"/>
  <c r="DX311" i="1"/>
  <c r="FG182" i="1"/>
  <c r="FQ103" i="1"/>
  <c r="FQ138" i="1" s="1"/>
  <c r="FQ139" i="1" s="1"/>
  <c r="EU36" i="1"/>
  <c r="FI103" i="1"/>
  <c r="FI138" i="1" s="1"/>
  <c r="FI139" i="1" s="1"/>
  <c r="DP103" i="1"/>
  <c r="DP138" i="1" s="1"/>
  <c r="EE103" i="1"/>
  <c r="EE138" i="1" s="1"/>
  <c r="EE139" i="1" s="1"/>
  <c r="ED103" i="1"/>
  <c r="ED138" i="1" s="1"/>
  <c r="ED139" i="1" s="1"/>
  <c r="ED178" i="1" s="1"/>
  <c r="ED179" i="1" s="1"/>
  <c r="GB183" i="1"/>
  <c r="GB203" i="1"/>
  <c r="GB49" i="1"/>
  <c r="GB300" i="1"/>
  <c r="GB78" i="1"/>
  <c r="GB233" i="1"/>
  <c r="GB55" i="1"/>
  <c r="GB259" i="1"/>
  <c r="GB237" i="1"/>
  <c r="GB134" i="1"/>
  <c r="GB284" i="1"/>
  <c r="GB30" i="1"/>
  <c r="GB267" i="1"/>
  <c r="GB57" i="1"/>
  <c r="GB232" i="1"/>
  <c r="GB136" i="1"/>
  <c r="GB266" i="1"/>
  <c r="GB196" i="1"/>
  <c r="GB50" i="1"/>
  <c r="GB205" i="1"/>
  <c r="GB309" i="1"/>
  <c r="GB156" i="1"/>
  <c r="GB295" i="1"/>
  <c r="GB133" i="1"/>
  <c r="GB157" i="1"/>
  <c r="GB152" i="1"/>
  <c r="GB304" i="1"/>
  <c r="GB290" i="1"/>
  <c r="GB63" i="1"/>
  <c r="GB89" i="1"/>
  <c r="GB227" i="1"/>
  <c r="GB56" i="1"/>
  <c r="GB125" i="1"/>
  <c r="GB84" i="1"/>
  <c r="GB194" i="1"/>
  <c r="GB19" i="1"/>
  <c r="GB90" i="1"/>
  <c r="GB99" i="1"/>
  <c r="GB256" i="1"/>
  <c r="GB146" i="1"/>
  <c r="GB168" i="1"/>
  <c r="GB85" i="1"/>
  <c r="GB59" i="1"/>
  <c r="GB83" i="1"/>
  <c r="GB51" i="1"/>
  <c r="GB29" i="1"/>
  <c r="GB21" i="1"/>
  <c r="GB98" i="1"/>
  <c r="GB45" i="1"/>
  <c r="GB46" i="1"/>
  <c r="GB123" i="1"/>
  <c r="GB305" i="1"/>
  <c r="GB258" i="1"/>
  <c r="GB193" i="1"/>
  <c r="GB135" i="1"/>
  <c r="GB17" i="1"/>
  <c r="GB93" i="1"/>
  <c r="GB16" i="1"/>
  <c r="GB255" i="1"/>
  <c r="GB301" i="1"/>
  <c r="GB269" i="1"/>
  <c r="GB224" i="1"/>
  <c r="GB47" i="1"/>
  <c r="GB310" i="1"/>
  <c r="GB79" i="1"/>
  <c r="GB80" i="1"/>
  <c r="GB195" i="1"/>
  <c r="GB186" i="1"/>
  <c r="GB220" i="1"/>
  <c r="GB199" i="1"/>
  <c r="GB185" i="1"/>
  <c r="GB231" i="1"/>
  <c r="GB226" i="1"/>
  <c r="GB297" i="1"/>
  <c r="GB118" i="1"/>
  <c r="GB160" i="1"/>
  <c r="GB307" i="1"/>
  <c r="GB23" i="1"/>
  <c r="GB286" i="1"/>
  <c r="GB159" i="1"/>
  <c r="GB292" i="1"/>
  <c r="GB239" i="1"/>
  <c r="GB94" i="1"/>
  <c r="GB115" i="1"/>
  <c r="GB64" i="1"/>
  <c r="GB271" i="1"/>
  <c r="GB126" i="1"/>
  <c r="GB289" i="1"/>
  <c r="GB283" i="1"/>
  <c r="GB72" i="1"/>
  <c r="GB124" i="1"/>
  <c r="GB82" i="1"/>
  <c r="GB18" i="1"/>
  <c r="GB68" i="1"/>
  <c r="GB60" i="1"/>
  <c r="GB130" i="1"/>
  <c r="GB225" i="1"/>
  <c r="GB252" i="1"/>
  <c r="GB204" i="1"/>
  <c r="GB311" i="1"/>
  <c r="GB170" i="1"/>
  <c r="GB270" i="1"/>
  <c r="GB265" i="1"/>
  <c r="GB116" i="1"/>
  <c r="GB61" i="1"/>
  <c r="GB70" i="1"/>
  <c r="GB293" i="1"/>
  <c r="GB128" i="1"/>
  <c r="GB92" i="1"/>
  <c r="GB22" i="1"/>
  <c r="GB308" i="1"/>
  <c r="GB200" i="1"/>
  <c r="GB251" i="1"/>
  <c r="GB260" i="1"/>
  <c r="GB253" i="1"/>
  <c r="GB88" i="1"/>
  <c r="GB67" i="1"/>
  <c r="GB65" i="1"/>
  <c r="GB272" i="1"/>
  <c r="GB302" i="1"/>
  <c r="GB129" i="1"/>
  <c r="GB238" i="1"/>
  <c r="GB182" i="1"/>
  <c r="GB37" i="1"/>
  <c r="GB36" i="1"/>
  <c r="GB221" i="1"/>
  <c r="GB12" i="1"/>
  <c r="GB215" i="1"/>
  <c r="GB111" i="1"/>
  <c r="GB102" i="1"/>
  <c r="GB222" i="1"/>
  <c r="GB25" i="1"/>
  <c r="DZ39" i="1"/>
  <c r="DO12" i="1"/>
  <c r="EW216" i="1"/>
  <c r="K14" i="1"/>
  <c r="CN14" i="1"/>
  <c r="CO14" i="1" s="1"/>
  <c r="M14" i="1" s="1"/>
  <c r="EO182" i="1"/>
  <c r="CQ14" i="1"/>
  <c r="CP14" i="1"/>
  <c r="CR14" i="1"/>
  <c r="EV216" i="1"/>
  <c r="FD216" i="1"/>
  <c r="CU36" i="1"/>
  <c r="CT36" i="1" s="1"/>
  <c r="FU216" i="1"/>
  <c r="FB216" i="1"/>
  <c r="CO216" i="1"/>
  <c r="M216" i="1" s="1"/>
  <c r="DZ216" i="1"/>
  <c r="DX216" i="1"/>
  <c r="BX218" i="1"/>
  <c r="BY218" i="1"/>
  <c r="DO182" i="1"/>
  <c r="FM182" i="1"/>
  <c r="FA12" i="1"/>
  <c r="FA183" i="1"/>
  <c r="EU183" i="1"/>
  <c r="EO25" i="1"/>
  <c r="FC104" i="1"/>
  <c r="FT221" i="1"/>
  <c r="FA36" i="1"/>
  <c r="FA25" i="1"/>
  <c r="EO183" i="1"/>
  <c r="FT36" i="1"/>
  <c r="DO36" i="1"/>
  <c r="FT212" i="1"/>
  <c r="EU25" i="1"/>
  <c r="DX196" i="1"/>
  <c r="FM36" i="1"/>
  <c r="EU215" i="1"/>
  <c r="FM221" i="1"/>
  <c r="FT183" i="1"/>
  <c r="DX39" i="1"/>
  <c r="EO215" i="1"/>
  <c r="FM183" i="1"/>
  <c r="DO183" i="1"/>
  <c r="EO221" i="1"/>
  <c r="FG184" i="1"/>
  <c r="CL106" i="1"/>
  <c r="FA212" i="1"/>
  <c r="DO221" i="1"/>
  <c r="EU184" i="1"/>
  <c r="FP216" i="1"/>
  <c r="EJ216" i="1"/>
  <c r="FA221" i="1"/>
  <c r="FG37" i="1"/>
  <c r="ED216" i="1"/>
  <c r="FV216" i="1"/>
  <c r="EF216" i="1"/>
  <c r="EX216" i="1"/>
  <c r="DI216" i="1"/>
  <c r="EQ216" i="1"/>
  <c r="DO214" i="1"/>
  <c r="CU136" i="1"/>
  <c r="CT136" i="1" s="1"/>
  <c r="H136" i="1" s="1"/>
  <c r="FW216" i="1"/>
  <c r="DU216" i="1"/>
  <c r="CY216" i="1"/>
  <c r="N216" i="1" s="1"/>
  <c r="FH216" i="1"/>
  <c r="FQ216" i="1"/>
  <c r="FN216" i="1"/>
  <c r="DO212" i="1"/>
  <c r="FG221" i="1"/>
  <c r="FJ216" i="1"/>
  <c r="DQ216" i="1"/>
  <c r="DR216" i="1"/>
  <c r="DP216" i="1"/>
  <c r="EL216" i="1"/>
  <c r="EP216" i="1"/>
  <c r="FO216" i="1"/>
  <c r="EK216" i="1"/>
  <c r="FI216" i="1"/>
  <c r="DT216" i="1"/>
  <c r="EE216" i="1"/>
  <c r="FC216" i="1"/>
  <c r="DS216" i="1"/>
  <c r="ER216" i="1"/>
  <c r="FU268" i="1"/>
  <c r="FT268" i="1" s="1"/>
  <c r="FT215" i="1"/>
  <c r="FM212" i="1"/>
  <c r="FA215" i="1"/>
  <c r="FG25" i="1"/>
  <c r="FG212" i="1"/>
  <c r="DO215" i="1"/>
  <c r="FM215" i="1"/>
  <c r="FT25" i="1"/>
  <c r="FG155" i="1"/>
  <c r="DO111" i="1"/>
  <c r="CU99" i="1"/>
  <c r="CT99" i="1" s="1"/>
  <c r="H99" i="1" s="1"/>
  <c r="DW98" i="1"/>
  <c r="FG215" i="1"/>
  <c r="DO52" i="1"/>
  <c r="EO212" i="1"/>
  <c r="EU212" i="1"/>
  <c r="DW99" i="1"/>
  <c r="CU98" i="1"/>
  <c r="CT98" i="1" s="1"/>
  <c r="H98" i="1" s="1"/>
  <c r="I97" i="1" s="1"/>
  <c r="EU111" i="1"/>
  <c r="EJ99" i="1"/>
  <c r="EH98" i="1"/>
  <c r="ED99" i="1"/>
  <c r="EB98" i="1"/>
  <c r="FG97" i="1"/>
  <c r="FH98" i="1"/>
  <c r="EO111" i="1"/>
  <c r="FA267" i="1"/>
  <c r="EW104" i="1"/>
  <c r="FM97" i="1"/>
  <c r="FN98" i="1"/>
  <c r="DO98" i="1"/>
  <c r="DP99" i="1"/>
  <c r="EQ104" i="1"/>
  <c r="FT97" i="1"/>
  <c r="FU98" i="1"/>
  <c r="FA97" i="1"/>
  <c r="FB98" i="1"/>
  <c r="DO97" i="1"/>
  <c r="DZ125" i="1"/>
  <c r="FM111" i="1"/>
  <c r="DO37" i="1"/>
  <c r="FA250" i="1"/>
  <c r="ED104" i="1"/>
  <c r="DP104" i="1"/>
  <c r="FM267" i="1"/>
  <c r="FW104" i="1"/>
  <c r="FH104" i="1"/>
  <c r="ED14" i="1"/>
  <c r="ED48" i="1" s="1"/>
  <c r="FP104" i="1"/>
  <c r="EU81" i="1"/>
  <c r="EX104" i="1"/>
  <c r="FU104" i="1"/>
  <c r="EU164" i="1"/>
  <c r="EU165" i="1" s="1"/>
  <c r="FB104" i="1"/>
  <c r="DQ104" i="1"/>
  <c r="EF104" i="1"/>
  <c r="EK104" i="1"/>
  <c r="FN104" i="1"/>
  <c r="EV104" i="1"/>
  <c r="DS104" i="1"/>
  <c r="EL104" i="1"/>
  <c r="FJ104" i="1"/>
  <c r="DU104" i="1"/>
  <c r="FO104" i="1"/>
  <c r="FQ104" i="1"/>
  <c r="EE104" i="1"/>
  <c r="DX104" i="1"/>
  <c r="DT104" i="1"/>
  <c r="DR104" i="1"/>
  <c r="FV104" i="1"/>
  <c r="CO104" i="1"/>
  <c r="M104" i="1" s="1"/>
  <c r="FM280" i="1"/>
  <c r="FK280" i="1" s="1"/>
  <c r="DI104" i="1"/>
  <c r="ER104" i="1"/>
  <c r="EJ104" i="1"/>
  <c r="FD104" i="1"/>
  <c r="FM250" i="1"/>
  <c r="EP104" i="1"/>
  <c r="FI104" i="1"/>
  <c r="CY104" i="1"/>
  <c r="N104" i="1" s="1"/>
  <c r="FM25" i="1"/>
  <c r="DO25" i="1"/>
  <c r="DW170" i="1"/>
  <c r="CU170" i="1"/>
  <c r="CT170" i="1" s="1"/>
  <c r="H170" i="1" s="1"/>
  <c r="I169" i="1" s="1"/>
  <c r="FA280" i="1"/>
  <c r="EY280" i="1" s="1"/>
  <c r="EU267" i="1"/>
  <c r="EU268" i="1" s="1"/>
  <c r="DX233" i="1"/>
  <c r="DZ85" i="1"/>
  <c r="ED171" i="1"/>
  <c r="EB171" i="1" s="1"/>
  <c r="EB170" i="1"/>
  <c r="EJ171" i="1"/>
  <c r="EH171" i="1" s="1"/>
  <c r="EH170" i="1"/>
  <c r="FT169" i="1"/>
  <c r="FU170" i="1"/>
  <c r="FA169" i="1"/>
  <c r="FB170" i="1"/>
  <c r="CU152" i="1"/>
  <c r="CT152" i="1" s="1"/>
  <c r="DW152" i="1"/>
  <c r="FG169" i="1"/>
  <c r="FH170" i="1"/>
  <c r="FM169" i="1"/>
  <c r="FN170" i="1"/>
  <c r="DO169" i="1"/>
  <c r="DP170" i="1"/>
  <c r="EH152" i="1"/>
  <c r="EB152" i="1"/>
  <c r="DO152" i="1"/>
  <c r="FG303" i="1"/>
  <c r="FM151" i="1"/>
  <c r="DX226" i="1"/>
  <c r="FA152" i="1"/>
  <c r="FT151" i="1"/>
  <c r="EU133" i="1"/>
  <c r="EU169" i="1" s="1"/>
  <c r="EU170" i="1" s="1"/>
  <c r="EU151" i="1"/>
  <c r="EU152" i="1" s="1"/>
  <c r="FC14" i="1"/>
  <c r="FC48" i="1" s="1"/>
  <c r="DW136" i="1"/>
  <c r="DZ104" i="1"/>
  <c r="FW14" i="1"/>
  <c r="FW48" i="1" s="1"/>
  <c r="EU37" i="1"/>
  <c r="DO151" i="1"/>
  <c r="ER14" i="1"/>
  <c r="ER48" i="1" s="1"/>
  <c r="FT152" i="1"/>
  <c r="EO133" i="1"/>
  <c r="EO169" i="1" s="1"/>
  <c r="EO170" i="1" s="1"/>
  <c r="EO151" i="1"/>
  <c r="EO152" i="1" s="1"/>
  <c r="FG152" i="1"/>
  <c r="FM152" i="1"/>
  <c r="FA151" i="1"/>
  <c r="FG151" i="1"/>
  <c r="EB128" i="1"/>
  <c r="EB134" i="1"/>
  <c r="EH128" i="1"/>
  <c r="EH134" i="1"/>
  <c r="DW129" i="1"/>
  <c r="DW134" i="1"/>
  <c r="CU134" i="1"/>
  <c r="CT134" i="1" s="1"/>
  <c r="H134" i="1" s="1"/>
  <c r="DZ119" i="1"/>
  <c r="FA37" i="1"/>
  <c r="CU133" i="1"/>
  <c r="CT133" i="1" s="1"/>
  <c r="H133" i="1" s="1"/>
  <c r="I132" i="1" s="1"/>
  <c r="EH133" i="1"/>
  <c r="EB133" i="1"/>
  <c r="CU135" i="1"/>
  <c r="CT135" i="1" s="1"/>
  <c r="H135" i="1" s="1"/>
  <c r="DW135" i="1"/>
  <c r="DO234" i="1"/>
  <c r="FT37" i="1"/>
  <c r="FT111" i="1"/>
  <c r="DW133" i="1"/>
  <c r="EJ136" i="1"/>
  <c r="EH136" i="1" s="1"/>
  <c r="EH135" i="1"/>
  <c r="ED136" i="1"/>
  <c r="EB136" i="1" s="1"/>
  <c r="EB135" i="1"/>
  <c r="EO135" i="1"/>
  <c r="EU135" i="1"/>
  <c r="FG133" i="1"/>
  <c r="FH135" i="1"/>
  <c r="FM133" i="1"/>
  <c r="FN135" i="1"/>
  <c r="FH268" i="1"/>
  <c r="FG268" i="1" s="1"/>
  <c r="FA291" i="1"/>
  <c r="DO133" i="1"/>
  <c r="DP135" i="1"/>
  <c r="FT133" i="1"/>
  <c r="FU135" i="1"/>
  <c r="FA133" i="1"/>
  <c r="FB135" i="1"/>
  <c r="FA111" i="1"/>
  <c r="DX85" i="1"/>
  <c r="EU172" i="1"/>
  <c r="EU173" i="1" s="1"/>
  <c r="FM37" i="1"/>
  <c r="DP14" i="1"/>
  <c r="FB14" i="1"/>
  <c r="EP14" i="1"/>
  <c r="EP48" i="1" s="1"/>
  <c r="CY14" i="1"/>
  <c r="N14" i="1" s="1"/>
  <c r="DZ14" i="1"/>
  <c r="DX14" i="1"/>
  <c r="EQ14" i="1"/>
  <c r="EQ48" i="1" s="1"/>
  <c r="CQ53" i="1"/>
  <c r="K53" i="1"/>
  <c r="EP53" i="1"/>
  <c r="EV53" i="1"/>
  <c r="FN53" i="1"/>
  <c r="DP53" i="1"/>
  <c r="FU53" i="1"/>
  <c r="DR53" i="1"/>
  <c r="ED53" i="1"/>
  <c r="ED71" i="1" s="1"/>
  <c r="FB53" i="1"/>
  <c r="FH53" i="1"/>
  <c r="EJ53" i="1"/>
  <c r="EJ71" i="1" s="1"/>
  <c r="DX253" i="1"/>
  <c r="DT14" i="1"/>
  <c r="DT15" i="1" s="1"/>
  <c r="DS14" i="1"/>
  <c r="DS15" i="1" s="1"/>
  <c r="FH14" i="1"/>
  <c r="EE14" i="1"/>
  <c r="EE48" i="1" s="1"/>
  <c r="EL14" i="1"/>
  <c r="EL48" i="1" s="1"/>
  <c r="EX14" i="1"/>
  <c r="EX48" i="1" s="1"/>
  <c r="FJ14" i="1"/>
  <c r="FJ48" i="1" s="1"/>
  <c r="FU14" i="1"/>
  <c r="FP14" i="1"/>
  <c r="FP48" i="1" s="1"/>
  <c r="EK14" i="1"/>
  <c r="EK48" i="1" s="1"/>
  <c r="DR14" i="1"/>
  <c r="DR15" i="1" s="1"/>
  <c r="FO14" i="1"/>
  <c r="FO48" i="1" s="1"/>
  <c r="FG291" i="1"/>
  <c r="FA81" i="1"/>
  <c r="DX126" i="1"/>
  <c r="FD14" i="1"/>
  <c r="FD48" i="1" s="1"/>
  <c r="EW14" i="1"/>
  <c r="EW48" i="1" s="1"/>
  <c r="FN14" i="1"/>
  <c r="DU14" i="1"/>
  <c r="DU15" i="1" s="1"/>
  <c r="FQ14" i="1"/>
  <c r="FQ48" i="1" s="1"/>
  <c r="EF14" i="1"/>
  <c r="EF48" i="1" s="1"/>
  <c r="DI14" i="1"/>
  <c r="EV14" i="1"/>
  <c r="EV48" i="1" s="1"/>
  <c r="FI14" i="1"/>
  <c r="FI48" i="1" s="1"/>
  <c r="EJ14" i="1"/>
  <c r="EJ48" i="1" s="1"/>
  <c r="DQ14" i="1"/>
  <c r="DQ15" i="1" s="1"/>
  <c r="FV14" i="1"/>
  <c r="FV48" i="1" s="1"/>
  <c r="DO96" i="1"/>
  <c r="DR110" i="1"/>
  <c r="DR114" i="1"/>
  <c r="FB110" i="1"/>
  <c r="FA110" i="1" s="1"/>
  <c r="FA96" i="1"/>
  <c r="FB114" i="1"/>
  <c r="FB141" i="1" s="1"/>
  <c r="FM11" i="1"/>
  <c r="DO184" i="1"/>
  <c r="FH114" i="1"/>
  <c r="FH141" i="1" s="1"/>
  <c r="FG96" i="1"/>
  <c r="FH110" i="1"/>
  <c r="FG110" i="1" s="1"/>
  <c r="EJ110" i="1"/>
  <c r="EJ114" i="1"/>
  <c r="GB240" i="1"/>
  <c r="FN114" i="1"/>
  <c r="FN141" i="1" s="1"/>
  <c r="FM96" i="1"/>
  <c r="FN110" i="1"/>
  <c r="FM110" i="1" s="1"/>
  <c r="CQ229" i="1"/>
  <c r="FH229" i="1"/>
  <c r="FN229" i="1"/>
  <c r="FB229" i="1"/>
  <c r="EJ229" i="1"/>
  <c r="EJ230" i="1" s="1"/>
  <c r="ED229" i="1"/>
  <c r="ED230" i="1" s="1"/>
  <c r="FU229" i="1"/>
  <c r="DR229" i="1"/>
  <c r="EV229" i="1"/>
  <c r="DP229" i="1"/>
  <c r="EP229" i="1"/>
  <c r="FU110" i="1"/>
  <c r="FT110" i="1" s="1"/>
  <c r="FT96" i="1"/>
  <c r="FU114" i="1"/>
  <c r="FU141" i="1" s="1"/>
  <c r="EU208" i="1"/>
  <c r="DQ39" i="1"/>
  <c r="DQ44" i="1" s="1"/>
  <c r="EX39" i="1"/>
  <c r="EX44" i="1" s="1"/>
  <c r="FJ39" i="1"/>
  <c r="FJ44" i="1" s="1"/>
  <c r="EW39" i="1"/>
  <c r="EW44" i="1" s="1"/>
  <c r="EP39" i="1"/>
  <c r="EE39" i="1"/>
  <c r="EE44" i="1" s="1"/>
  <c r="CO39" i="1"/>
  <c r="M39" i="1" s="1"/>
  <c r="EF39" i="1"/>
  <c r="EF44" i="1" s="1"/>
  <c r="FV39" i="1"/>
  <c r="FV44" i="1" s="1"/>
  <c r="FO39" i="1"/>
  <c r="FO44" i="1" s="1"/>
  <c r="FQ39" i="1"/>
  <c r="FQ44" i="1" s="1"/>
  <c r="FC39" i="1"/>
  <c r="FC44" i="1" s="1"/>
  <c r="FH39" i="1"/>
  <c r="FP39" i="1"/>
  <c r="FP44" i="1" s="1"/>
  <c r="DP39" i="1"/>
  <c r="ED39" i="1"/>
  <c r="ED44" i="1" s="1"/>
  <c r="DU39" i="1"/>
  <c r="DU44" i="1" s="1"/>
  <c r="EQ39" i="1"/>
  <c r="EQ44" i="1" s="1"/>
  <c r="DS39" i="1"/>
  <c r="DS44" i="1" s="1"/>
  <c r="FI39" i="1"/>
  <c r="FI44" i="1" s="1"/>
  <c r="EL39" i="1"/>
  <c r="EL44" i="1" s="1"/>
  <c r="ER39" i="1"/>
  <c r="ER44" i="1" s="1"/>
  <c r="EK39" i="1"/>
  <c r="EK44" i="1" s="1"/>
  <c r="FN39" i="1"/>
  <c r="FW39" i="1"/>
  <c r="FW44" i="1" s="1"/>
  <c r="EJ39" i="1"/>
  <c r="EJ44" i="1" s="1"/>
  <c r="FB39" i="1"/>
  <c r="DI39" i="1"/>
  <c r="FD39" i="1"/>
  <c r="FD44" i="1" s="1"/>
  <c r="CY39" i="1"/>
  <c r="CV39" i="1" s="1"/>
  <c r="DR39" i="1"/>
  <c r="DR44" i="1" s="1"/>
  <c r="EV39" i="1"/>
  <c r="FU39" i="1"/>
  <c r="DT39" i="1"/>
  <c r="DT44" i="1" s="1"/>
  <c r="CN106" i="1"/>
  <c r="K106" i="1"/>
  <c r="CP106" i="1"/>
  <c r="CQ106" i="1"/>
  <c r="CR106" i="1"/>
  <c r="L106" i="1"/>
  <c r="EV110" i="1"/>
  <c r="EU96" i="1"/>
  <c r="EU97" i="1" s="1"/>
  <c r="EU98" i="1" s="1"/>
  <c r="EV114" i="1"/>
  <c r="ED110" i="1"/>
  <c r="ED114" i="1"/>
  <c r="FG208" i="1"/>
  <c r="CQ119" i="1"/>
  <c r="EP119" i="1"/>
  <c r="EO119" i="1" s="1"/>
  <c r="DP119" i="1"/>
  <c r="FU119" i="1"/>
  <c r="FT119" i="1" s="1"/>
  <c r="DR119" i="1"/>
  <c r="EV119" i="1"/>
  <c r="EU119" i="1" s="1"/>
  <c r="FN119" i="1"/>
  <c r="FM119" i="1" s="1"/>
  <c r="EJ119" i="1"/>
  <c r="EH119" i="1" s="1"/>
  <c r="FH119" i="1"/>
  <c r="FG119" i="1" s="1"/>
  <c r="ED119" i="1"/>
  <c r="EB119" i="1" s="1"/>
  <c r="FB119" i="1"/>
  <c r="FA119" i="1" s="1"/>
  <c r="U108" i="1"/>
  <c r="J107" i="1"/>
  <c r="I107" i="1"/>
  <c r="BX107" i="1"/>
  <c r="BY107" i="1"/>
  <c r="EP110" i="1"/>
  <c r="EP114" i="1"/>
  <c r="EO96" i="1"/>
  <c r="EO97" i="1" s="1"/>
  <c r="EO98" i="1" s="1"/>
  <c r="DO155" i="1"/>
  <c r="FM208" i="1"/>
  <c r="EH222" i="1"/>
  <c r="FA303" i="1"/>
  <c r="EH129" i="1"/>
  <c r="DJ86" i="1"/>
  <c r="DK86" i="1" s="1"/>
  <c r="DI86" i="1"/>
  <c r="DU86" i="1"/>
  <c r="EO208" i="1"/>
  <c r="CQ235" i="1"/>
  <c r="FB235" i="1"/>
  <c r="FH235" i="1"/>
  <c r="DR235" i="1"/>
  <c r="DR101" i="1" s="1"/>
  <c r="DP235" i="1"/>
  <c r="ED235" i="1"/>
  <c r="ED236" i="1" s="1"/>
  <c r="EV235" i="1"/>
  <c r="FU235" i="1"/>
  <c r="EP235" i="1"/>
  <c r="FN235" i="1"/>
  <c r="EJ235" i="1"/>
  <c r="EJ236" i="1" s="1"/>
  <c r="FM291" i="1"/>
  <c r="DJ207" i="1"/>
  <c r="DK207" i="1" s="1"/>
  <c r="DU207" i="1"/>
  <c r="DI207" i="1"/>
  <c r="FT303" i="1"/>
  <c r="DJ235" i="1"/>
  <c r="DK235" i="1" s="1"/>
  <c r="DI235" i="1"/>
  <c r="DU235" i="1"/>
  <c r="DU101" i="1" s="1"/>
  <c r="FT181" i="1"/>
  <c r="FM243" i="1"/>
  <c r="FB299" i="1"/>
  <c r="FA299" i="1" s="1"/>
  <c r="FA281" i="1"/>
  <c r="EB129" i="1"/>
  <c r="FT291" i="1"/>
  <c r="DX205" i="1"/>
  <c r="DZ205" i="1"/>
  <c r="FG278" i="1"/>
  <c r="FE278" i="1" s="1"/>
  <c r="FH279" i="1"/>
  <c r="FT208" i="1"/>
  <c r="FT281" i="1"/>
  <c r="FU299" i="1"/>
  <c r="FT299" i="1" s="1"/>
  <c r="FN306" i="1"/>
  <c r="FM306" i="1" s="1"/>
  <c r="BK207" i="1"/>
  <c r="BN206" i="1"/>
  <c r="DO291" i="1"/>
  <c r="DX260" i="1"/>
  <c r="EM10" i="1"/>
  <c r="EM7" i="1" s="1"/>
  <c r="EM75" i="1" s="1"/>
  <c r="CU130" i="1"/>
  <c r="CT130" i="1" s="1"/>
  <c r="H130" i="1" s="1"/>
  <c r="FG281" i="1"/>
  <c r="FH299" i="1"/>
  <c r="FG299" i="1" s="1"/>
  <c r="DO303" i="1"/>
  <c r="FT278" i="1"/>
  <c r="FR278" i="1" s="1"/>
  <c r="FU279" i="1"/>
  <c r="EO303" i="1"/>
  <c r="EO291" i="1"/>
  <c r="FG243" i="1"/>
  <c r="FH244" i="1"/>
  <c r="DW130" i="1"/>
  <c r="FU306" i="1"/>
  <c r="FT306" i="1" s="1"/>
  <c r="CN105" i="1"/>
  <c r="CR105" i="1"/>
  <c r="K105" i="1"/>
  <c r="CQ105" i="1"/>
  <c r="CP105" i="1"/>
  <c r="L105" i="1"/>
  <c r="DX130" i="1"/>
  <c r="CP247" i="1"/>
  <c r="DJ247" i="1"/>
  <c r="DK247" i="1" s="1"/>
  <c r="DZ247" i="1" s="1"/>
  <c r="CR247" i="1"/>
  <c r="DP244" i="1"/>
  <c r="DO243" i="1"/>
  <c r="FH306" i="1"/>
  <c r="FG306" i="1" s="1"/>
  <c r="FB244" i="1"/>
  <c r="FA243" i="1"/>
  <c r="FT243" i="1"/>
  <c r="FV244" i="1"/>
  <c r="FB306" i="1"/>
  <c r="FA306" i="1" s="1"/>
  <c r="EU291" i="1"/>
  <c r="EU303" i="1"/>
  <c r="FA279" i="1"/>
  <c r="EY279" i="1" s="1"/>
  <c r="FM184" i="1"/>
  <c r="FM244" i="1"/>
  <c r="FK244" i="1" s="1"/>
  <c r="FN245" i="1"/>
  <c r="FM303" i="1"/>
  <c r="DJ52" i="1"/>
  <c r="DK52" i="1" s="1"/>
  <c r="AS53" i="1"/>
  <c r="GA53" i="1" s="1"/>
  <c r="FZ53" i="1" s="1"/>
  <c r="DU52" i="1"/>
  <c r="DI52" i="1"/>
  <c r="CU129" i="1"/>
  <c r="CT129" i="1" s="1"/>
  <c r="H129" i="1" s="1"/>
  <c r="DO278" i="1"/>
  <c r="DM278" i="1" s="1"/>
  <c r="DS279" i="1"/>
  <c r="DP213" i="1"/>
  <c r="DO213" i="1" s="1"/>
  <c r="DO208" i="1"/>
  <c r="FA208" i="1"/>
  <c r="FN299" i="1"/>
  <c r="FM299" i="1" s="1"/>
  <c r="FM281" i="1"/>
  <c r="ED131" i="1"/>
  <c r="EB131" i="1" s="1"/>
  <c r="EB130" i="1"/>
  <c r="EJ131" i="1"/>
  <c r="EH131" i="1" s="1"/>
  <c r="EH130" i="1"/>
  <c r="EO130" i="1"/>
  <c r="EU129" i="1"/>
  <c r="DW128" i="1"/>
  <c r="CU128" i="1"/>
  <c r="CT128" i="1" s="1"/>
  <c r="H128" i="1" s="1"/>
  <c r="I127" i="1" s="1"/>
  <c r="FA175" i="1"/>
  <c r="FB176" i="1"/>
  <c r="FT129" i="1"/>
  <c r="FU130" i="1"/>
  <c r="EH159" i="1"/>
  <c r="EH304" i="1"/>
  <c r="EH186" i="1"/>
  <c r="EH297" i="1"/>
  <c r="EH185" i="1"/>
  <c r="EH157" i="1"/>
  <c r="EH300" i="1"/>
  <c r="EH260" i="1"/>
  <c r="EH126" i="1"/>
  <c r="EH272" i="1"/>
  <c r="EH252" i="1"/>
  <c r="EH301" i="1"/>
  <c r="EH302" i="1"/>
  <c r="EH125" i="1"/>
  <c r="EH196" i="1"/>
  <c r="EH233" i="1"/>
  <c r="EH256" i="1"/>
  <c r="EH45" i="1"/>
  <c r="EH270" i="1"/>
  <c r="EH30" i="1"/>
  <c r="EH37" i="1"/>
  <c r="EH89" i="1"/>
  <c r="EH59" i="1"/>
  <c r="EH199" i="1"/>
  <c r="EH64" i="1"/>
  <c r="EH269" i="1"/>
  <c r="EH70" i="1"/>
  <c r="EH29" i="1"/>
  <c r="EH231" i="1"/>
  <c r="EH12" i="1"/>
  <c r="EH200" i="1"/>
  <c r="EH284" i="1"/>
  <c r="EH90" i="1"/>
  <c r="EH36" i="1"/>
  <c r="EH16" i="1"/>
  <c r="EH84" i="1"/>
  <c r="EH215" i="1"/>
  <c r="EH123" i="1"/>
  <c r="EH61" i="1"/>
  <c r="EH251" i="1"/>
  <c r="EH253" i="1"/>
  <c r="EH237" i="1"/>
  <c r="EH239" i="1"/>
  <c r="EH49" i="1"/>
  <c r="EH22" i="1"/>
  <c r="EH255" i="1"/>
  <c r="EH311" i="1"/>
  <c r="EH194" i="1"/>
  <c r="EH238" i="1"/>
  <c r="EH224" i="1"/>
  <c r="EH82" i="1"/>
  <c r="EH289" i="1"/>
  <c r="EH226" i="1"/>
  <c r="EH258" i="1"/>
  <c r="EH309" i="1"/>
  <c r="EH72" i="1"/>
  <c r="EH102" i="1"/>
  <c r="EH225" i="1"/>
  <c r="EH232" i="1"/>
  <c r="EH57" i="1"/>
  <c r="EH124" i="1"/>
  <c r="EH160" i="1"/>
  <c r="EH156" i="1"/>
  <c r="EH305" i="1"/>
  <c r="EH95" i="1"/>
  <c r="EH168" i="1"/>
  <c r="EH80" i="1"/>
  <c r="EH267" i="1"/>
  <c r="EH290" i="1"/>
  <c r="EH183" i="1"/>
  <c r="EH68" i="1"/>
  <c r="EH220" i="1"/>
  <c r="EH94" i="1"/>
  <c r="EH292" i="1"/>
  <c r="EH56" i="1"/>
  <c r="EH115" i="1"/>
  <c r="EH265" i="1"/>
  <c r="EH79" i="1"/>
  <c r="EH63" i="1"/>
  <c r="EH78" i="1"/>
  <c r="EH203" i="1"/>
  <c r="EH195" i="1"/>
  <c r="EH46" i="1"/>
  <c r="EH92" i="1"/>
  <c r="EH286" i="1"/>
  <c r="EH60" i="1"/>
  <c r="EH271" i="1"/>
  <c r="EH204" i="1"/>
  <c r="EH193" i="1"/>
  <c r="EH221" i="1"/>
  <c r="EH116" i="1"/>
  <c r="EH23" i="1"/>
  <c r="EH118" i="1"/>
  <c r="EH47" i="1"/>
  <c r="EH50" i="1"/>
  <c r="EH111" i="1"/>
  <c r="EH83" i="1"/>
  <c r="EH295" i="1"/>
  <c r="EH283" i="1"/>
  <c r="EH293" i="1"/>
  <c r="EH205" i="1"/>
  <c r="EH266" i="1"/>
  <c r="EH55" i="1"/>
  <c r="EH259" i="1"/>
  <c r="EH310" i="1"/>
  <c r="EH146" i="1"/>
  <c r="EH307" i="1"/>
  <c r="EH25" i="1"/>
  <c r="EH93" i="1"/>
  <c r="EH21" i="1"/>
  <c r="EH67" i="1"/>
  <c r="EH65" i="1"/>
  <c r="EH308" i="1"/>
  <c r="EH18" i="1"/>
  <c r="EH182" i="1"/>
  <c r="EH88" i="1"/>
  <c r="EH17" i="1"/>
  <c r="EH51" i="1"/>
  <c r="FM129" i="1"/>
  <c r="FN130" i="1"/>
  <c r="FA181" i="1"/>
  <c r="DO81" i="1"/>
  <c r="BK262" i="1"/>
  <c r="BN261" i="1"/>
  <c r="EB261" i="1" s="1"/>
  <c r="DU240" i="1"/>
  <c r="DI240" i="1"/>
  <c r="DJ240" i="1"/>
  <c r="DK240" i="1" s="1"/>
  <c r="DW240" i="1" s="1"/>
  <c r="FG164" i="1"/>
  <c r="FH165" i="1"/>
  <c r="FA184" i="1"/>
  <c r="EU222" i="1"/>
  <c r="EU223" i="1" s="1"/>
  <c r="EU224" i="1" s="1"/>
  <c r="FB223" i="1"/>
  <c r="FA222" i="1"/>
  <c r="EO184" i="1"/>
  <c r="EO155" i="1"/>
  <c r="EY10" i="1"/>
  <c r="EY7" i="1" s="1"/>
  <c r="FK10" i="1"/>
  <c r="FK7" i="1" s="1"/>
  <c r="FK75" i="1" s="1"/>
  <c r="DZ239" i="1"/>
  <c r="FG175" i="1"/>
  <c r="FH176" i="1"/>
  <c r="FT172" i="1"/>
  <c r="FU173" i="1"/>
  <c r="FA155" i="1"/>
  <c r="FH223" i="1"/>
  <c r="FG222" i="1"/>
  <c r="FG129" i="1"/>
  <c r="FH130" i="1"/>
  <c r="DO164" i="1"/>
  <c r="DP165" i="1"/>
  <c r="DO54" i="1"/>
  <c r="FQ26" i="1"/>
  <c r="FQ27" i="1" s="1"/>
  <c r="FB26" i="1"/>
  <c r="EK26" i="1"/>
  <c r="EK27" i="1" s="1"/>
  <c r="DU26" i="1"/>
  <c r="DU27" i="1" s="1"/>
  <c r="FP26" i="1"/>
  <c r="FP27" i="1" s="1"/>
  <c r="EJ26" i="1"/>
  <c r="EJ27" i="1" s="1"/>
  <c r="DT26" i="1"/>
  <c r="DT27" i="1" s="1"/>
  <c r="FO26" i="1"/>
  <c r="FO27" i="1" s="1"/>
  <c r="EX26" i="1"/>
  <c r="EX27" i="1" s="1"/>
  <c r="DS26" i="1"/>
  <c r="DS27" i="1" s="1"/>
  <c r="DI26" i="1"/>
  <c r="EP26" i="1"/>
  <c r="EP27" i="1" s="1"/>
  <c r="EF26" i="1"/>
  <c r="EF27" i="1" s="1"/>
  <c r="FN26" i="1"/>
  <c r="EW26" i="1"/>
  <c r="EW27" i="1" s="1"/>
  <c r="DR26" i="1"/>
  <c r="DR27" i="1" s="1"/>
  <c r="EE26" i="1"/>
  <c r="EE27" i="1" s="1"/>
  <c r="DZ26" i="1"/>
  <c r="FD26" i="1"/>
  <c r="FD27" i="1" s="1"/>
  <c r="EV26" i="1"/>
  <c r="EV27" i="1" s="1"/>
  <c r="DQ26" i="1"/>
  <c r="DQ27" i="1" s="1"/>
  <c r="DX26" i="1"/>
  <c r="FW26" i="1"/>
  <c r="FW27" i="1" s="1"/>
  <c r="ED26" i="1"/>
  <c r="ED27" i="1" s="1"/>
  <c r="FC26" i="1"/>
  <c r="FC27" i="1" s="1"/>
  <c r="EL26" i="1"/>
  <c r="EL27" i="1" s="1"/>
  <c r="DP26" i="1"/>
  <c r="CY26" i="1"/>
  <c r="CV26" i="1" s="1"/>
  <c r="FV26" i="1"/>
  <c r="FV27" i="1" s="1"/>
  <c r="FU26" i="1"/>
  <c r="ER26" i="1"/>
  <c r="ER27" i="1" s="1"/>
  <c r="EQ26" i="1"/>
  <c r="EQ27" i="1" s="1"/>
  <c r="FJ26" i="1"/>
  <c r="FJ27" i="1" s="1"/>
  <c r="FI26" i="1"/>
  <c r="FI27" i="1" s="1"/>
  <c r="CO26" i="1"/>
  <c r="M26" i="1" s="1"/>
  <c r="FH26" i="1"/>
  <c r="DZ196" i="1"/>
  <c r="DI227" i="1"/>
  <c r="DU227" i="1"/>
  <c r="DJ227" i="1"/>
  <c r="DK227" i="1" s="1"/>
  <c r="DZ227" i="1" s="1"/>
  <c r="DW22" i="1"/>
  <c r="DW29" i="1"/>
  <c r="DY29" i="1" s="1"/>
  <c r="DW30" i="1"/>
  <c r="DW21" i="1"/>
  <c r="DY21" i="1" s="1"/>
  <c r="DW23" i="1"/>
  <c r="EO222" i="1"/>
  <c r="EO223" i="1" s="1"/>
  <c r="EO224" i="1" s="1"/>
  <c r="FM172" i="1"/>
  <c r="FN173" i="1"/>
  <c r="DO175" i="1"/>
  <c r="DP176" i="1"/>
  <c r="EB304" i="1"/>
  <c r="EB186" i="1"/>
  <c r="EB297" i="1"/>
  <c r="EB185" i="1"/>
  <c r="EB272" i="1"/>
  <c r="EB225" i="1"/>
  <c r="EB311" i="1"/>
  <c r="EB59" i="1"/>
  <c r="EB61" i="1"/>
  <c r="EB269" i="1"/>
  <c r="EB302" i="1"/>
  <c r="EB289" i="1"/>
  <c r="EB49" i="1"/>
  <c r="EB215" i="1"/>
  <c r="EB301" i="1"/>
  <c r="EB300" i="1"/>
  <c r="EB256" i="1"/>
  <c r="EB238" i="1"/>
  <c r="EB57" i="1"/>
  <c r="EB252" i="1"/>
  <c r="EB16" i="1"/>
  <c r="EB45" i="1"/>
  <c r="EB309" i="1"/>
  <c r="EB196" i="1"/>
  <c r="EB194" i="1"/>
  <c r="EB232" i="1"/>
  <c r="EB233" i="1"/>
  <c r="EB29" i="1"/>
  <c r="EB36" i="1"/>
  <c r="EB22" i="1"/>
  <c r="EB126" i="1"/>
  <c r="EB90" i="1"/>
  <c r="EB123" i="1"/>
  <c r="EB199" i="1"/>
  <c r="EB251" i="1"/>
  <c r="EB239" i="1"/>
  <c r="EB64" i="1"/>
  <c r="EB70" i="1"/>
  <c r="EB30" i="1"/>
  <c r="EB200" i="1"/>
  <c r="EB37" i="1"/>
  <c r="EB102" i="1"/>
  <c r="EB237" i="1"/>
  <c r="EB72" i="1"/>
  <c r="EB226" i="1"/>
  <c r="EB124" i="1"/>
  <c r="EB224" i="1"/>
  <c r="EB260" i="1"/>
  <c r="EB255" i="1"/>
  <c r="EB89" i="1"/>
  <c r="EB84" i="1"/>
  <c r="EB284" i="1"/>
  <c r="EB258" i="1"/>
  <c r="EB82" i="1"/>
  <c r="EB125" i="1"/>
  <c r="EB231" i="1"/>
  <c r="EB12" i="1"/>
  <c r="EB270" i="1"/>
  <c r="EB253" i="1"/>
  <c r="EB159" i="1"/>
  <c r="EB156" i="1"/>
  <c r="EB160" i="1"/>
  <c r="EB305" i="1"/>
  <c r="EB157" i="1"/>
  <c r="EB111" i="1"/>
  <c r="EB83" i="1"/>
  <c r="EB266" i="1"/>
  <c r="EB267" i="1"/>
  <c r="EB307" i="1"/>
  <c r="EB23" i="1"/>
  <c r="EB286" i="1"/>
  <c r="EB283" i="1"/>
  <c r="EB221" i="1"/>
  <c r="EB92" i="1"/>
  <c r="EB290" i="1"/>
  <c r="EB115" i="1"/>
  <c r="EB116" i="1"/>
  <c r="EB65" i="1"/>
  <c r="EB220" i="1"/>
  <c r="EB195" i="1"/>
  <c r="EB205" i="1"/>
  <c r="EB68" i="1"/>
  <c r="EB182" i="1"/>
  <c r="EB168" i="1"/>
  <c r="EB67" i="1"/>
  <c r="EB51" i="1"/>
  <c r="EB21" i="1"/>
  <c r="EB308" i="1"/>
  <c r="EB46" i="1"/>
  <c r="EB88" i="1"/>
  <c r="EB94" i="1"/>
  <c r="EB193" i="1"/>
  <c r="EB293" i="1"/>
  <c r="EB78" i="1"/>
  <c r="EB259" i="1"/>
  <c r="EB79" i="1"/>
  <c r="EB118" i="1"/>
  <c r="EB17" i="1"/>
  <c r="EB292" i="1"/>
  <c r="EB18" i="1"/>
  <c r="EB55" i="1"/>
  <c r="EB265" i="1"/>
  <c r="EB95" i="1"/>
  <c r="EB60" i="1"/>
  <c r="EB93" i="1"/>
  <c r="EB295" i="1"/>
  <c r="EB56" i="1"/>
  <c r="EB203" i="1"/>
  <c r="EB204" i="1"/>
  <c r="EB50" i="1"/>
  <c r="EB183" i="1"/>
  <c r="EB25" i="1"/>
  <c r="EB47" i="1"/>
  <c r="EB310" i="1"/>
  <c r="EB271" i="1"/>
  <c r="EB80" i="1"/>
  <c r="EB63" i="1"/>
  <c r="EB146" i="1"/>
  <c r="DJ120" i="1"/>
  <c r="DK120" i="1" s="1"/>
  <c r="FM155" i="1"/>
  <c r="FM181" i="1"/>
  <c r="DX310" i="1"/>
  <c r="DZ310" i="1"/>
  <c r="FT81" i="1"/>
  <c r="DO172" i="1"/>
  <c r="DP173" i="1"/>
  <c r="DP294" i="1"/>
  <c r="FG11" i="1"/>
  <c r="BN106" i="1"/>
  <c r="BK107" i="1"/>
  <c r="FT164" i="1"/>
  <c r="FU165" i="1"/>
  <c r="DO181" i="1"/>
  <c r="AN107" i="1"/>
  <c r="AO106" i="1"/>
  <c r="DX51" i="1"/>
  <c r="DZ51" i="1"/>
  <c r="FG181" i="1"/>
  <c r="DO11" i="1"/>
  <c r="FT155" i="1"/>
  <c r="BK242" i="1"/>
  <c r="BN242" i="1" s="1"/>
  <c r="BN241" i="1"/>
  <c r="FE10" i="1"/>
  <c r="FE7" i="1" s="1"/>
  <c r="FE75" i="1" s="1"/>
  <c r="DJ263" i="1"/>
  <c r="DK263" i="1" s="1"/>
  <c r="DU263" i="1"/>
  <c r="DU264" i="1" s="1"/>
  <c r="DI263" i="1"/>
  <c r="FT175" i="1"/>
  <c r="FU176" i="1"/>
  <c r="DW252" i="1"/>
  <c r="DY252" i="1" s="1"/>
  <c r="DW124" i="1"/>
  <c r="CU59" i="1"/>
  <c r="CT59" i="1" s="1"/>
  <c r="DW205" i="1"/>
  <c r="CU116" i="1"/>
  <c r="CT116" i="1" s="1"/>
  <c r="H116" i="1" s="1"/>
  <c r="DW265" i="1"/>
  <c r="DY265" i="1" s="1"/>
  <c r="DW57" i="1"/>
  <c r="CU65" i="1"/>
  <c r="CT65" i="1" s="1"/>
  <c r="H65" i="1" s="1"/>
  <c r="DW231" i="1"/>
  <c r="DY231" i="1" s="1"/>
  <c r="CU309" i="1"/>
  <c r="CT309" i="1" s="1"/>
  <c r="H309" i="1" s="1"/>
  <c r="DW64" i="1"/>
  <c r="DW300" i="1"/>
  <c r="DW220" i="1"/>
  <c r="CU159" i="1"/>
  <c r="CT159" i="1" s="1"/>
  <c r="H159" i="1" s="1"/>
  <c r="I158" i="1" s="1"/>
  <c r="DW260" i="1"/>
  <c r="CU68" i="1"/>
  <c r="CT68" i="1" s="1"/>
  <c r="H68" i="1" s="1"/>
  <c r="CU186" i="1"/>
  <c r="CT186" i="1" s="1"/>
  <c r="H186" i="1" s="1"/>
  <c r="CU193" i="1"/>
  <c r="CT193" i="1" s="1"/>
  <c r="H193" i="1" s="1"/>
  <c r="I192" i="1" s="1"/>
  <c r="CU30" i="1"/>
  <c r="CT30" i="1" s="1"/>
  <c r="H30" i="1" s="1"/>
  <c r="CU203" i="1"/>
  <c r="CT203" i="1" s="1"/>
  <c r="CU225" i="1"/>
  <c r="CT225" i="1" s="1"/>
  <c r="H225" i="1" s="1"/>
  <c r="DW302" i="1"/>
  <c r="DW203" i="1"/>
  <c r="DY203" i="1" s="1"/>
  <c r="DW60" i="1"/>
  <c r="CU17" i="1"/>
  <c r="CT17" i="1" s="1"/>
  <c r="H17" i="1" s="1"/>
  <c r="CU271" i="1"/>
  <c r="CT271" i="1" s="1"/>
  <c r="H271" i="1" s="1"/>
  <c r="DW88" i="1"/>
  <c r="DY88" i="1" s="1"/>
  <c r="CU231" i="1"/>
  <c r="CT231" i="1" s="1"/>
  <c r="H231" i="1" s="1"/>
  <c r="I230" i="1" s="1"/>
  <c r="DW200" i="1"/>
  <c r="CU238" i="1"/>
  <c r="CT238" i="1" s="1"/>
  <c r="H238" i="1" s="1"/>
  <c r="DW226" i="1"/>
  <c r="CU82" i="1"/>
  <c r="CT82" i="1" s="1"/>
  <c r="DW283" i="1"/>
  <c r="DY283" i="1" s="1"/>
  <c r="CU72" i="1"/>
  <c r="CT72" i="1" s="1"/>
  <c r="H72" i="1" s="1"/>
  <c r="DW293" i="1"/>
  <c r="CU123" i="1"/>
  <c r="CT123" i="1" s="1"/>
  <c r="H123" i="1" s="1"/>
  <c r="I122" i="1" s="1"/>
  <c r="CU253" i="1"/>
  <c r="CT253" i="1" s="1"/>
  <c r="H253" i="1" s="1"/>
  <c r="DW269" i="1"/>
  <c r="DY269" i="1" s="1"/>
  <c r="DW295" i="1"/>
  <c r="CU293" i="1"/>
  <c r="CT293" i="1" s="1"/>
  <c r="H293" i="1" s="1"/>
  <c r="DW65" i="1"/>
  <c r="CU29" i="1"/>
  <c r="CT29" i="1" s="1"/>
  <c r="H29" i="1" s="1"/>
  <c r="I28" i="1" s="1"/>
  <c r="CU267" i="1"/>
  <c r="CT267" i="1" s="1"/>
  <c r="H267" i="1" s="1"/>
  <c r="DW309" i="1"/>
  <c r="DY309" i="1" s="1"/>
  <c r="CU80" i="1"/>
  <c r="CT80" i="1" s="1"/>
  <c r="H80" i="1" s="1"/>
  <c r="DW70" i="1"/>
  <c r="DW237" i="1"/>
  <c r="CU50" i="1"/>
  <c r="CT50" i="1" s="1"/>
  <c r="H50" i="1" s="1"/>
  <c r="CU224" i="1"/>
  <c r="CT224" i="1" s="1"/>
  <c r="H224" i="1" s="1"/>
  <c r="I223" i="1" s="1"/>
  <c r="DW224" i="1"/>
  <c r="CU92" i="1"/>
  <c r="CT92" i="1" s="1"/>
  <c r="DW225" i="1"/>
  <c r="CU47" i="1"/>
  <c r="CT47" i="1" s="1"/>
  <c r="H47" i="1" s="1"/>
  <c r="DW271" i="1"/>
  <c r="DY271" i="1" s="1"/>
  <c r="CU125" i="1"/>
  <c r="CT125" i="1" s="1"/>
  <c r="H125" i="1" s="1"/>
  <c r="CU258" i="1"/>
  <c r="CT258" i="1" s="1"/>
  <c r="H258" i="1" s="1"/>
  <c r="I257" i="1" s="1"/>
  <c r="CU93" i="1"/>
  <c r="CT93" i="1" s="1"/>
  <c r="H93" i="1" s="1"/>
  <c r="DW90" i="1"/>
  <c r="CU255" i="1"/>
  <c r="CT255" i="1" s="1"/>
  <c r="H255" i="1" s="1"/>
  <c r="I254" i="1" s="1"/>
  <c r="DW94" i="1"/>
  <c r="CU310" i="1"/>
  <c r="CT310" i="1" s="1"/>
  <c r="H310" i="1" s="1"/>
  <c r="DW59" i="1"/>
  <c r="DY59" i="1" s="1"/>
  <c r="CU289" i="1"/>
  <c r="CT289" i="1" s="1"/>
  <c r="H289" i="1" s="1"/>
  <c r="I288" i="1" s="1"/>
  <c r="CU305" i="1"/>
  <c r="CT305" i="1" s="1"/>
  <c r="H305" i="1" s="1"/>
  <c r="DW233" i="1"/>
  <c r="CU45" i="1"/>
  <c r="CT45" i="1" s="1"/>
  <c r="CU94" i="1"/>
  <c r="CT94" i="1" s="1"/>
  <c r="H94" i="1" s="1"/>
  <c r="DW116" i="1"/>
  <c r="DW46" i="1"/>
  <c r="CU146" i="1"/>
  <c r="CT146" i="1" s="1"/>
  <c r="H146" i="1" s="1"/>
  <c r="I145" i="1" s="1"/>
  <c r="CU266" i="1"/>
  <c r="CT266" i="1" s="1"/>
  <c r="H266" i="1" s="1"/>
  <c r="DW193" i="1"/>
  <c r="DW126" i="1"/>
  <c r="DW194" i="1"/>
  <c r="DW146" i="1"/>
  <c r="DY146" i="1" s="1"/>
  <c r="CU270" i="1"/>
  <c r="CT270" i="1" s="1"/>
  <c r="H270" i="1" s="1"/>
  <c r="CU64" i="1"/>
  <c r="CT64" i="1" s="1"/>
  <c r="H64" i="1" s="1"/>
  <c r="CU304" i="1"/>
  <c r="CT304" i="1" s="1"/>
  <c r="H304" i="1" s="1"/>
  <c r="I303" i="1" s="1"/>
  <c r="CU160" i="1"/>
  <c r="CT160" i="1" s="1"/>
  <c r="H160" i="1" s="1"/>
  <c r="CU252" i="1"/>
  <c r="CT252" i="1" s="1"/>
  <c r="H252" i="1" s="1"/>
  <c r="DW196" i="1"/>
  <c r="DW305" i="1"/>
  <c r="CU185" i="1"/>
  <c r="CT185" i="1" s="1"/>
  <c r="H185" i="1" s="1"/>
  <c r="I184" i="1" s="1"/>
  <c r="CU295" i="1"/>
  <c r="CT295" i="1" s="1"/>
  <c r="H295" i="1" s="1"/>
  <c r="I294" i="1" s="1"/>
  <c r="A7" i="1"/>
  <c r="CU124" i="1"/>
  <c r="CT124" i="1" s="1"/>
  <c r="H124" i="1" s="1"/>
  <c r="CU195" i="1"/>
  <c r="CT195" i="1" s="1"/>
  <c r="H195" i="1" s="1"/>
  <c r="DW284" i="1"/>
  <c r="CU102" i="1"/>
  <c r="CT102" i="1" s="1"/>
  <c r="CU156" i="1"/>
  <c r="CT156" i="1" s="1"/>
  <c r="H156" i="1" s="1"/>
  <c r="I155" i="1" s="1"/>
  <c r="CU286" i="1"/>
  <c r="CT286" i="1" s="1"/>
  <c r="H286" i="1" s="1"/>
  <c r="I285" i="1" s="1"/>
  <c r="DW72" i="1"/>
  <c r="DY72" i="1" s="1"/>
  <c r="CU168" i="1"/>
  <c r="CT168" i="1" s="1"/>
  <c r="H168" i="1" s="1"/>
  <c r="I167" i="1" s="1"/>
  <c r="DW289" i="1"/>
  <c r="DY289" i="1" s="1"/>
  <c r="DW125" i="1"/>
  <c r="DW186" i="1"/>
  <c r="CU302" i="1"/>
  <c r="CT302" i="1" s="1"/>
  <c r="H302" i="1" s="1"/>
  <c r="CU70" i="1"/>
  <c r="CT70" i="1" s="1"/>
  <c r="H70" i="1" s="1"/>
  <c r="CU297" i="1"/>
  <c r="CT297" i="1" s="1"/>
  <c r="H297" i="1" s="1"/>
  <c r="I296" i="1" s="1"/>
  <c r="DW61" i="1"/>
  <c r="DW92" i="1"/>
  <c r="DY92" i="1" s="1"/>
  <c r="DW258" i="1"/>
  <c r="DW79" i="1"/>
  <c r="DW159" i="1"/>
  <c r="DW82" i="1"/>
  <c r="DY82" i="1" s="1"/>
  <c r="CU220" i="1"/>
  <c r="CT220" i="1" s="1"/>
  <c r="H220" i="1" s="1"/>
  <c r="I219" i="1" s="1"/>
  <c r="DW115" i="1"/>
  <c r="DY115" i="1" s="1"/>
  <c r="DW256" i="1"/>
  <c r="DY256" i="1" s="1"/>
  <c r="DW123" i="1"/>
  <c r="DY123" i="1" s="1"/>
  <c r="DW157" i="1"/>
  <c r="DY157" i="1" s="1"/>
  <c r="CU300" i="1"/>
  <c r="CT300" i="1" s="1"/>
  <c r="H300" i="1" s="1"/>
  <c r="I299" i="1" s="1"/>
  <c r="CU256" i="1"/>
  <c r="CT256" i="1" s="1"/>
  <c r="H256" i="1" s="1"/>
  <c r="CU51" i="1"/>
  <c r="CT51" i="1" s="1"/>
  <c r="H51" i="1" s="1"/>
  <c r="CU199" i="1"/>
  <c r="CT199" i="1" s="1"/>
  <c r="DW17" i="1"/>
  <c r="CU90" i="1"/>
  <c r="CT90" i="1" s="1"/>
  <c r="H90" i="1" s="1"/>
  <c r="CU88" i="1"/>
  <c r="CT88" i="1" s="1"/>
  <c r="DW232" i="1"/>
  <c r="DW199" i="1"/>
  <c r="DW297" i="1"/>
  <c r="CU269" i="1"/>
  <c r="CT269" i="1" s="1"/>
  <c r="H269" i="1" s="1"/>
  <c r="I268" i="1" s="1"/>
  <c r="CU233" i="1"/>
  <c r="CT233" i="1" s="1"/>
  <c r="H233" i="1" s="1"/>
  <c r="CU251" i="1"/>
  <c r="CT251" i="1" s="1"/>
  <c r="H251" i="1" s="1"/>
  <c r="I250" i="1" s="1"/>
  <c r="CU232" i="1"/>
  <c r="CT232" i="1" s="1"/>
  <c r="H232" i="1" s="1"/>
  <c r="DW93" i="1"/>
  <c r="DW84" i="1"/>
  <c r="DW304" i="1"/>
  <c r="DY304" i="1" s="1"/>
  <c r="DW292" i="1"/>
  <c r="DW168" i="1"/>
  <c r="DY168" i="1" s="1"/>
  <c r="CU265" i="1"/>
  <c r="CT265" i="1" s="1"/>
  <c r="H265" i="1" s="1"/>
  <c r="I264" i="1" s="1"/>
  <c r="CU89" i="1"/>
  <c r="CT89" i="1" s="1"/>
  <c r="H89" i="1" s="1"/>
  <c r="CU60" i="1"/>
  <c r="CT60" i="1" s="1"/>
  <c r="H60" i="1" s="1"/>
  <c r="DW255" i="1"/>
  <c r="DY255" i="1" s="1"/>
  <c r="CU57" i="1"/>
  <c r="CT57" i="1" s="1"/>
  <c r="H57" i="1" s="1"/>
  <c r="CU307" i="1"/>
  <c r="CT307" i="1" s="1"/>
  <c r="H307" i="1" s="1"/>
  <c r="I306" i="1" s="1"/>
  <c r="CU61" i="1"/>
  <c r="CT61" i="1" s="1"/>
  <c r="H61" i="1" s="1"/>
  <c r="CU84" i="1"/>
  <c r="CT84" i="1" s="1"/>
  <c r="H84" i="1" s="1"/>
  <c r="DW307" i="1"/>
  <c r="CU46" i="1"/>
  <c r="CT46" i="1" s="1"/>
  <c r="H46" i="1" s="1"/>
  <c r="DW286" i="1"/>
  <c r="DY286" i="1" s="1"/>
  <c r="CU272" i="1"/>
  <c r="CT272" i="1" s="1"/>
  <c r="H272" i="1" s="1"/>
  <c r="CU292" i="1"/>
  <c r="CT292" i="1" s="1"/>
  <c r="H292" i="1" s="1"/>
  <c r="I291" i="1" s="1"/>
  <c r="CU260" i="1"/>
  <c r="CT260" i="1" s="1"/>
  <c r="H260" i="1" s="1"/>
  <c r="CU126" i="1"/>
  <c r="CT126" i="1" s="1"/>
  <c r="H126" i="1" s="1"/>
  <c r="DW251" i="1"/>
  <c r="DY251" i="1" s="1"/>
  <c r="DW310" i="1"/>
  <c r="DW89" i="1"/>
  <c r="DW16" i="1"/>
  <c r="CU239" i="1"/>
  <c r="CT239" i="1" s="1"/>
  <c r="H239" i="1" s="1"/>
  <c r="DW290" i="1"/>
  <c r="DW18" i="1"/>
  <c r="DW301" i="1"/>
  <c r="DW160" i="1"/>
  <c r="DW55" i="1"/>
  <c r="CU18" i="1"/>
  <c r="CT18" i="1" s="1"/>
  <c r="H18" i="1" s="1"/>
  <c r="CU22" i="1"/>
  <c r="CT22" i="1" s="1"/>
  <c r="H22" i="1" s="1"/>
  <c r="CU284" i="1"/>
  <c r="CT284" i="1" s="1"/>
  <c r="H284" i="1" s="1"/>
  <c r="DW156" i="1"/>
  <c r="DY156" i="1" s="1"/>
  <c r="CU67" i="1"/>
  <c r="CT67" i="1" s="1"/>
  <c r="CU301" i="1"/>
  <c r="CT301" i="1" s="1"/>
  <c r="H301" i="1" s="1"/>
  <c r="DW266" i="1"/>
  <c r="CU283" i="1"/>
  <c r="CT283" i="1" s="1"/>
  <c r="H283" i="1" s="1"/>
  <c r="I282" i="1" s="1"/>
  <c r="DW270" i="1"/>
  <c r="DY270" i="1" s="1"/>
  <c r="DW47" i="1"/>
  <c r="CU200" i="1"/>
  <c r="CT200" i="1" s="1"/>
  <c r="H200" i="1" s="1"/>
  <c r="DW272" i="1"/>
  <c r="DY272" i="1" s="1"/>
  <c r="CU115" i="1"/>
  <c r="CT115" i="1" s="1"/>
  <c r="H115" i="1" s="1"/>
  <c r="I114" i="1" s="1"/>
  <c r="DW238" i="1"/>
  <c r="CU16" i="1"/>
  <c r="CT16" i="1" s="1"/>
  <c r="DW50" i="1"/>
  <c r="CU237" i="1"/>
  <c r="CT237" i="1" s="1"/>
  <c r="H237" i="1" s="1"/>
  <c r="I236" i="1" s="1"/>
  <c r="DW68" i="1"/>
  <c r="DW195" i="1"/>
  <c r="DW51" i="1"/>
  <c r="CU194" i="1"/>
  <c r="CT194" i="1" s="1"/>
  <c r="H194" i="1" s="1"/>
  <c r="DW49" i="1"/>
  <c r="DY49" i="1" s="1"/>
  <c r="DW80" i="1"/>
  <c r="CU205" i="1"/>
  <c r="CT205" i="1" s="1"/>
  <c r="H205" i="1" s="1"/>
  <c r="CU55" i="1"/>
  <c r="CT55" i="1" s="1"/>
  <c r="DW102" i="1"/>
  <c r="DY102" i="1" s="1"/>
  <c r="CU79" i="1"/>
  <c r="CT79" i="1" s="1"/>
  <c r="H79" i="1" s="1"/>
  <c r="DW185" i="1"/>
  <c r="CU49" i="1"/>
  <c r="CT49" i="1" s="1"/>
  <c r="CU290" i="1"/>
  <c r="CT290" i="1" s="1"/>
  <c r="H290" i="1" s="1"/>
  <c r="DW253" i="1"/>
  <c r="DW239" i="1"/>
  <c r="DW267" i="1"/>
  <c r="DW67" i="1"/>
  <c r="DW45" i="1"/>
  <c r="DY45" i="1" s="1"/>
  <c r="CU226" i="1"/>
  <c r="CT226" i="1" s="1"/>
  <c r="H226" i="1" s="1"/>
  <c r="DW308" i="1"/>
  <c r="DY308" i="1" s="1"/>
  <c r="DW63" i="1"/>
  <c r="DW78" i="1"/>
  <c r="DY78" i="1" s="1"/>
  <c r="CU21" i="1"/>
  <c r="CT21" i="1" s="1"/>
  <c r="CU308" i="1"/>
  <c r="CT308" i="1" s="1"/>
  <c r="H308" i="1" s="1"/>
  <c r="CU83" i="1"/>
  <c r="CT83" i="1" s="1"/>
  <c r="H83" i="1" s="1"/>
  <c r="CU56" i="1"/>
  <c r="CT56" i="1" s="1"/>
  <c r="H56" i="1" s="1"/>
  <c r="DW204" i="1"/>
  <c r="DY204" i="1" s="1"/>
  <c r="CU63" i="1"/>
  <c r="CT63" i="1" s="1"/>
  <c r="H63" i="1" s="1"/>
  <c r="I62" i="1" s="1"/>
  <c r="CU23" i="1"/>
  <c r="CT23" i="1" s="1"/>
  <c r="H23" i="1" s="1"/>
  <c r="DW259" i="1"/>
  <c r="DY259" i="1" s="1"/>
  <c r="CU204" i="1"/>
  <c r="CT204" i="1" s="1"/>
  <c r="H204" i="1" s="1"/>
  <c r="DW83" i="1"/>
  <c r="DW56" i="1"/>
  <c r="CU259" i="1"/>
  <c r="CT259" i="1" s="1"/>
  <c r="H259" i="1" s="1"/>
  <c r="CU157" i="1"/>
  <c r="CT157" i="1" s="1"/>
  <c r="H157" i="1" s="1"/>
  <c r="CU78" i="1"/>
  <c r="CT78" i="1" s="1"/>
  <c r="H78" i="1" s="1"/>
  <c r="I77" i="1" s="1"/>
  <c r="DO129" i="1"/>
  <c r="DP130" i="1"/>
  <c r="DX119" i="1"/>
  <c r="FW112" i="1"/>
  <c r="FH112" i="1"/>
  <c r="FH147" i="1" s="1"/>
  <c r="EK112" i="1"/>
  <c r="FJ112" i="1"/>
  <c r="EE112" i="1"/>
  <c r="DP112" i="1"/>
  <c r="DP147" i="1" s="1"/>
  <c r="CO112" i="1"/>
  <c r="M112" i="1" s="1"/>
  <c r="EJ112" i="1"/>
  <c r="FN112" i="1"/>
  <c r="FN147" i="1" s="1"/>
  <c r="FB112" i="1"/>
  <c r="FB147" i="1" s="1"/>
  <c r="EW112" i="1"/>
  <c r="DR112" i="1"/>
  <c r="FV112" i="1"/>
  <c r="FU112" i="1"/>
  <c r="FU147" i="1" s="1"/>
  <c r="FI112" i="1"/>
  <c r="EL112" i="1"/>
  <c r="DI112" i="1"/>
  <c r="FP112" i="1"/>
  <c r="FD112" i="1"/>
  <c r="EP112" i="1"/>
  <c r="DT112" i="1"/>
  <c r="ED112" i="1"/>
  <c r="ER112" i="1"/>
  <c r="DZ112" i="1"/>
  <c r="FO112" i="1"/>
  <c r="EX112" i="1"/>
  <c r="DU112" i="1"/>
  <c r="EV112" i="1"/>
  <c r="EF112" i="1"/>
  <c r="DX112" i="1"/>
  <c r="DS112" i="1"/>
  <c r="CY112" i="1"/>
  <c r="N112" i="1" s="1"/>
  <c r="DQ112" i="1"/>
  <c r="EQ112" i="1"/>
  <c r="FQ112" i="1"/>
  <c r="FC112" i="1"/>
  <c r="FM81" i="1"/>
  <c r="BK53" i="1"/>
  <c r="BN53" i="1" s="1"/>
  <c r="BN52" i="1"/>
  <c r="FG172" i="1"/>
  <c r="FH173" i="1"/>
  <c r="FT184" i="1"/>
  <c r="EO175" i="1"/>
  <c r="EO176" i="1" s="1"/>
  <c r="EO164" i="1"/>
  <c r="EO165" i="1" s="1"/>
  <c r="EO81" i="1"/>
  <c r="FA11" i="1"/>
  <c r="AO52" i="1"/>
  <c r="AN53" i="1"/>
  <c r="AO53" i="1" s="1"/>
  <c r="FM164" i="1"/>
  <c r="FN165" i="1"/>
  <c r="DM10" i="1"/>
  <c r="DM7" i="1" s="1"/>
  <c r="EB222" i="1"/>
  <c r="DO222" i="1"/>
  <c r="AS106" i="1"/>
  <c r="GA106" i="1" s="1"/>
  <c r="DJ105" i="1"/>
  <c r="DK105" i="1" s="1"/>
  <c r="FM175" i="1"/>
  <c r="FN176" i="1"/>
  <c r="FN223" i="1"/>
  <c r="FM222" i="1"/>
  <c r="FU223" i="1"/>
  <c r="FT222" i="1"/>
  <c r="FT11" i="1"/>
  <c r="FR10" i="1"/>
  <c r="FR7" i="1" s="1"/>
  <c r="FA129" i="1"/>
  <c r="FB130" i="1"/>
  <c r="FA164" i="1"/>
  <c r="FB165" i="1"/>
  <c r="BN228" i="1"/>
  <c r="BK229" i="1"/>
  <c r="BN229" i="1" s="1"/>
  <c r="DJ197" i="1"/>
  <c r="DK197" i="1" s="1"/>
  <c r="EB197" i="1" s="1"/>
  <c r="DI197" i="1"/>
  <c r="DU197" i="1"/>
  <c r="DU198" i="1" s="1"/>
  <c r="BN120" i="1"/>
  <c r="BK121" i="1"/>
  <c r="BN121" i="1" s="1"/>
  <c r="FG81" i="1"/>
  <c r="ES10" i="1"/>
  <c r="ES7" i="1" s="1"/>
  <c r="AN96" i="1"/>
  <c r="AO96" i="1" s="1"/>
  <c r="AO95" i="1"/>
  <c r="CU95" i="1" s="1"/>
  <c r="CT95" i="1" s="1"/>
  <c r="H95" i="1" s="1"/>
  <c r="FA172" i="1"/>
  <c r="FB173" i="1"/>
  <c r="BN234" i="1"/>
  <c r="EB234" i="1" s="1"/>
  <c r="BK235" i="1"/>
  <c r="BN235" i="1" s="1"/>
  <c r="GB235" i="1" s="1"/>
  <c r="EY144" i="1" l="1"/>
  <c r="EY75" i="1"/>
  <c r="P15" i="5"/>
  <c r="FR144" i="1"/>
  <c r="FR75" i="1"/>
  <c r="DM144" i="1"/>
  <c r="DM75" i="1"/>
  <c r="ES144" i="1"/>
  <c r="ES75" i="1"/>
  <c r="FE298" i="1"/>
  <c r="FE38" i="1"/>
  <c r="EM298" i="1"/>
  <c r="EM38" i="1"/>
  <c r="ES298" i="1"/>
  <c r="ES38" i="1"/>
  <c r="EM144" i="1"/>
  <c r="FR298" i="1"/>
  <c r="FR38" i="1"/>
  <c r="DM298" i="1"/>
  <c r="DM38" i="1"/>
  <c r="G50" i="8"/>
  <c r="G44" i="8"/>
  <c r="G41" i="8"/>
  <c r="G38" i="8"/>
  <c r="G34" i="8"/>
  <c r="I28" i="8"/>
  <c r="G25" i="8"/>
  <c r="G21" i="8"/>
  <c r="E4" i="8" s="1"/>
  <c r="K17" i="8"/>
  <c r="K15" i="8"/>
  <c r="K13" i="8"/>
  <c r="E9" i="8"/>
  <c r="G4" i="8"/>
  <c r="G46" i="8"/>
  <c r="P39" i="8"/>
  <c r="G30" i="8"/>
  <c r="G23" i="8"/>
  <c r="K16" i="8"/>
  <c r="E11" i="8"/>
  <c r="P4" i="8"/>
  <c r="G51" i="8"/>
  <c r="P41" i="8"/>
  <c r="G35" i="8"/>
  <c r="G26" i="8"/>
  <c r="C18" i="8"/>
  <c r="A16" i="8"/>
  <c r="E10" i="8"/>
  <c r="L1" i="8"/>
  <c r="G53" i="8"/>
  <c r="G47" i="8"/>
  <c r="G43" i="8"/>
  <c r="G40" i="8"/>
  <c r="G37" i="8"/>
  <c r="G31" i="8"/>
  <c r="G28" i="8"/>
  <c r="G24" i="8"/>
  <c r="D19" i="8"/>
  <c r="C17" i="8"/>
  <c r="A15" i="8"/>
  <c r="A13" i="8"/>
  <c r="E8" i="8"/>
  <c r="E5" i="8"/>
  <c r="E3" i="8"/>
  <c r="G52" i="8"/>
  <c r="G42" i="8"/>
  <c r="G36" i="8"/>
  <c r="G27" i="8"/>
  <c r="K18" i="8"/>
  <c r="K14" i="8"/>
  <c r="E7" i="8"/>
  <c r="C2" i="8"/>
  <c r="G45" i="8"/>
  <c r="G39" i="8"/>
  <c r="G29" i="8"/>
  <c r="G22" i="8"/>
  <c r="A14" i="8"/>
  <c r="E6" i="8"/>
  <c r="I4" i="8"/>
  <c r="FK298" i="1"/>
  <c r="FK38" i="1"/>
  <c r="EY201" i="1"/>
  <c r="EY38" i="1"/>
  <c r="FE144" i="1"/>
  <c r="FK144" i="1"/>
  <c r="ED149" i="1"/>
  <c r="ED150" i="1" s="1"/>
  <c r="ED141" i="1"/>
  <c r="ED142" i="1" s="1"/>
  <c r="EJ149" i="1"/>
  <c r="EJ150" i="1" s="1"/>
  <c r="EJ141" i="1"/>
  <c r="EJ142" i="1" s="1"/>
  <c r="FG141" i="1"/>
  <c r="FH142" i="1"/>
  <c r="FG142" i="1" s="1"/>
  <c r="DP149" i="1"/>
  <c r="DP141" i="1"/>
  <c r="EM162" i="1"/>
  <c r="H162" i="1"/>
  <c r="I161" i="1" s="1"/>
  <c r="DB162" i="1"/>
  <c r="EP149" i="1"/>
  <c r="EP150" i="1" s="1"/>
  <c r="EP141" i="1"/>
  <c r="EP142" i="1" s="1"/>
  <c r="FE162" i="1"/>
  <c r="DM162" i="1"/>
  <c r="EV149" i="1"/>
  <c r="EV150" i="1" s="1"/>
  <c r="EV141" i="1"/>
  <c r="EV142" i="1" s="1"/>
  <c r="FT141" i="1"/>
  <c r="FU142" i="1"/>
  <c r="FT142" i="1" s="1"/>
  <c r="FM141" i="1"/>
  <c r="FN142" i="1"/>
  <c r="FM142" i="1" s="1"/>
  <c r="DR149" i="1"/>
  <c r="DR150" i="1" s="1"/>
  <c r="DR141" i="1"/>
  <c r="DR142" i="1" s="1"/>
  <c r="ES162" i="1"/>
  <c r="I5" i="7"/>
  <c r="G46" i="7"/>
  <c r="G42" i="7"/>
  <c r="G36" i="7"/>
  <c r="G32" i="7"/>
  <c r="G27" i="7"/>
  <c r="G23" i="7"/>
  <c r="D19" i="7"/>
  <c r="C17" i="7"/>
  <c r="A15" i="7"/>
  <c r="A13" i="7"/>
  <c r="E8" i="7"/>
  <c r="P4" i="7"/>
  <c r="C2" i="7"/>
  <c r="G44" i="7"/>
  <c r="G38" i="7"/>
  <c r="G28" i="7"/>
  <c r="G21" i="7"/>
  <c r="E4" i="7" s="1"/>
  <c r="A14" i="7"/>
  <c r="E6" i="7"/>
  <c r="G47" i="7"/>
  <c r="G37" i="7"/>
  <c r="K17" i="7"/>
  <c r="G45" i="7"/>
  <c r="G39" i="7"/>
  <c r="G35" i="7"/>
  <c r="G31" i="7"/>
  <c r="G26" i="7"/>
  <c r="G22" i="7"/>
  <c r="K18" i="7"/>
  <c r="K16" i="7"/>
  <c r="K14" i="7"/>
  <c r="E11" i="7"/>
  <c r="E7" i="7"/>
  <c r="I4" i="7"/>
  <c r="L1" i="7"/>
  <c r="G34" i="7"/>
  <c r="G25" i="7"/>
  <c r="C18" i="7"/>
  <c r="A16" i="7"/>
  <c r="E10" i="7"/>
  <c r="G4" i="7"/>
  <c r="I15" i="5"/>
  <c r="G43" i="7"/>
  <c r="G33" i="7"/>
  <c r="G24" i="7"/>
  <c r="K15" i="7"/>
  <c r="E3" i="7"/>
  <c r="E5" i="7"/>
  <c r="K13" i="7"/>
  <c r="E9" i="7"/>
  <c r="FA141" i="1"/>
  <c r="FB142" i="1"/>
  <c r="FA142" i="1" s="1"/>
  <c r="EY162" i="1"/>
  <c r="FK162" i="1"/>
  <c r="FR162" i="1"/>
  <c r="DS113" i="1"/>
  <c r="DS147" i="1"/>
  <c r="DS148" i="1" s="1"/>
  <c r="FD113" i="1"/>
  <c r="FD147" i="1"/>
  <c r="FD148" i="1" s="1"/>
  <c r="EK113" i="1"/>
  <c r="EK147" i="1"/>
  <c r="EK148" i="1" s="1"/>
  <c r="EX113" i="1"/>
  <c r="EX147" i="1"/>
  <c r="EX148" i="1" s="1"/>
  <c r="ED113" i="1"/>
  <c r="ED147" i="1"/>
  <c r="ED148" i="1" s="1"/>
  <c r="FB148" i="1"/>
  <c r="DU113" i="1"/>
  <c r="DU147" i="1"/>
  <c r="DU148" i="1" s="1"/>
  <c r="EW113" i="1"/>
  <c r="EW147" i="1"/>
  <c r="EW148" i="1" s="1"/>
  <c r="EQ113" i="1"/>
  <c r="EQ147" i="1"/>
  <c r="EQ148" i="1" s="1"/>
  <c r="FU148" i="1"/>
  <c r="FH148" i="1"/>
  <c r="DQ113" i="1"/>
  <c r="DQ147" i="1"/>
  <c r="DQ148" i="1" s="1"/>
  <c r="EF113" i="1"/>
  <c r="EF147" i="1"/>
  <c r="EF148" i="1" s="1"/>
  <c r="FO113" i="1"/>
  <c r="FO147" i="1"/>
  <c r="FO148" i="1" s="1"/>
  <c r="DT113" i="1"/>
  <c r="DT147" i="1"/>
  <c r="DT148" i="1" s="1"/>
  <c r="FV113" i="1"/>
  <c r="FV147" i="1"/>
  <c r="FV148" i="1" s="1"/>
  <c r="FN148" i="1"/>
  <c r="EE113" i="1"/>
  <c r="EE147" i="1"/>
  <c r="EE148" i="1" s="1"/>
  <c r="FW113" i="1"/>
  <c r="FW147" i="1"/>
  <c r="FW148" i="1" s="1"/>
  <c r="FQ113" i="1"/>
  <c r="FQ147" i="1"/>
  <c r="FQ148" i="1" s="1"/>
  <c r="ER113" i="1"/>
  <c r="ER147" i="1"/>
  <c r="ER148" i="1" s="1"/>
  <c r="FI113" i="1"/>
  <c r="FI147" i="1"/>
  <c r="FI148" i="1" s="1"/>
  <c r="FP113" i="1"/>
  <c r="FP147" i="1"/>
  <c r="FP148" i="1" s="1"/>
  <c r="DP148" i="1"/>
  <c r="FC113" i="1"/>
  <c r="FC147" i="1"/>
  <c r="FC148" i="1" s="1"/>
  <c r="EV113" i="1"/>
  <c r="EV147" i="1"/>
  <c r="EV148" i="1" s="1"/>
  <c r="EP113" i="1"/>
  <c r="EP147" i="1"/>
  <c r="EP148" i="1" s="1"/>
  <c r="EL113" i="1"/>
  <c r="EL147" i="1"/>
  <c r="EL148" i="1" s="1"/>
  <c r="DR113" i="1"/>
  <c r="DR147" i="1"/>
  <c r="DR148" i="1" s="1"/>
  <c r="EJ113" i="1"/>
  <c r="EJ147" i="1"/>
  <c r="EJ148" i="1" s="1"/>
  <c r="FJ113" i="1"/>
  <c r="FJ147" i="1"/>
  <c r="FJ148" i="1" s="1"/>
  <c r="DX86" i="1"/>
  <c r="FT114" i="1"/>
  <c r="FU149" i="1"/>
  <c r="FM114" i="1"/>
  <c r="FN149" i="1"/>
  <c r="FA114" i="1"/>
  <c r="FB149" i="1"/>
  <c r="FG114" i="1"/>
  <c r="FH149" i="1"/>
  <c r="DP150" i="1"/>
  <c r="EJ180" i="1"/>
  <c r="ED180" i="1"/>
  <c r="EP140" i="1"/>
  <c r="EP178" i="1"/>
  <c r="EP179" i="1" s="1"/>
  <c r="EP180" i="1" s="1"/>
  <c r="DS140" i="1"/>
  <c r="DS178" i="1"/>
  <c r="DS179" i="1" s="1"/>
  <c r="DS180" i="1" s="1"/>
  <c r="FO140" i="1"/>
  <c r="FO178" i="1"/>
  <c r="FO179" i="1" s="1"/>
  <c r="FO180" i="1" s="1"/>
  <c r="EW140" i="1"/>
  <c r="EW178" i="1"/>
  <c r="EW179" i="1" s="1"/>
  <c r="EW180" i="1" s="1"/>
  <c r="ER140" i="1"/>
  <c r="ER178" i="1"/>
  <c r="ER179" i="1" s="1"/>
  <c r="ER180" i="1" s="1"/>
  <c r="FC140" i="1"/>
  <c r="FC178" i="1"/>
  <c r="FC179" i="1" s="1"/>
  <c r="FC180" i="1" s="1"/>
  <c r="FJ140" i="1"/>
  <c r="FJ178" i="1"/>
  <c r="FJ179" i="1" s="1"/>
  <c r="FJ180" i="1" s="1"/>
  <c r="EF140" i="1"/>
  <c r="EF178" i="1"/>
  <c r="EF179" i="1" s="1"/>
  <c r="EF180" i="1" s="1"/>
  <c r="EV140" i="1"/>
  <c r="EV178" i="1"/>
  <c r="EV179" i="1" s="1"/>
  <c r="EV180" i="1" s="1"/>
  <c r="FV140" i="1"/>
  <c r="FV178" i="1"/>
  <c r="FV179" i="1" s="1"/>
  <c r="FV180" i="1" s="1"/>
  <c r="DQ140" i="1"/>
  <c r="DQ178" i="1"/>
  <c r="DQ179" i="1" s="1"/>
  <c r="DQ180" i="1" s="1"/>
  <c r="EE140" i="1"/>
  <c r="EE178" i="1"/>
  <c r="EE179" i="1" s="1"/>
  <c r="EE180" i="1" s="1"/>
  <c r="EK140" i="1"/>
  <c r="EK178" i="1"/>
  <c r="EK179" i="1" s="1"/>
  <c r="EK180" i="1" s="1"/>
  <c r="DR140" i="1"/>
  <c r="DR178" i="1"/>
  <c r="DR179" i="1" s="1"/>
  <c r="DR180" i="1" s="1"/>
  <c r="FW140" i="1"/>
  <c r="FW178" i="1"/>
  <c r="FW179" i="1" s="1"/>
  <c r="FW180" i="1" s="1"/>
  <c r="EL140" i="1"/>
  <c r="EL178" i="1"/>
  <c r="EL179" i="1" s="1"/>
  <c r="EL180" i="1" s="1"/>
  <c r="DU140" i="1"/>
  <c r="DU178" i="1"/>
  <c r="DU179" i="1" s="1"/>
  <c r="DU180" i="1" s="1"/>
  <c r="FI140" i="1"/>
  <c r="FI178" i="1"/>
  <c r="FI179" i="1" s="1"/>
  <c r="FI180" i="1" s="1"/>
  <c r="DT140" i="1"/>
  <c r="DT178" i="1"/>
  <c r="DT179" i="1" s="1"/>
  <c r="DT180" i="1" s="1"/>
  <c r="EQ140" i="1"/>
  <c r="EQ178" i="1"/>
  <c r="EQ179" i="1" s="1"/>
  <c r="EQ180" i="1" s="1"/>
  <c r="EX140" i="1"/>
  <c r="EX178" i="1"/>
  <c r="EX179" i="1" s="1"/>
  <c r="EX180" i="1" s="1"/>
  <c r="FQ140" i="1"/>
  <c r="FQ178" i="1"/>
  <c r="FQ179" i="1" s="1"/>
  <c r="FQ180" i="1" s="1"/>
  <c r="FD140" i="1"/>
  <c r="FD178" i="1"/>
  <c r="FD179" i="1" s="1"/>
  <c r="FD180" i="1" s="1"/>
  <c r="FP140" i="1"/>
  <c r="FP178" i="1"/>
  <c r="FP179" i="1" s="1"/>
  <c r="FP180" i="1" s="1"/>
  <c r="FZ106" i="1"/>
  <c r="DX95" i="1"/>
  <c r="DZ95" i="1"/>
  <c r="GA96" i="1"/>
  <c r="FZ96" i="1" s="1"/>
  <c r="DJ96" i="1"/>
  <c r="DK96" i="1" s="1"/>
  <c r="DW96" i="1" s="1"/>
  <c r="DI96" i="1"/>
  <c r="DU96" i="1"/>
  <c r="FJ217" i="1"/>
  <c r="FZ217" i="1"/>
  <c r="FZ86" i="1"/>
  <c r="FI105" i="1"/>
  <c r="FZ105" i="1"/>
  <c r="I37" i="4"/>
  <c r="G46" i="4"/>
  <c r="H203" i="1"/>
  <c r="I202" i="1" s="1"/>
  <c r="FK201" i="1"/>
  <c r="H199" i="1"/>
  <c r="I198" i="1" s="1"/>
  <c r="DB199" i="1"/>
  <c r="ES201" i="1"/>
  <c r="FE201" i="1"/>
  <c r="EM201" i="1"/>
  <c r="EY298" i="1"/>
  <c r="H152" i="1"/>
  <c r="I151" i="1" s="1"/>
  <c r="DM201" i="1"/>
  <c r="FR201" i="1"/>
  <c r="H139" i="1"/>
  <c r="I138" i="1" s="1"/>
  <c r="GB113" i="1"/>
  <c r="EM41" i="1"/>
  <c r="EM43" i="1"/>
  <c r="EM42" i="1"/>
  <c r="FK42" i="1"/>
  <c r="FK41" i="1"/>
  <c r="FL41" i="1" s="1"/>
  <c r="FK43" i="1"/>
  <c r="ES42" i="1"/>
  <c r="ES41" i="1"/>
  <c r="ES43" i="1"/>
  <c r="EY43" i="1"/>
  <c r="EY41" i="1"/>
  <c r="EY42" i="1"/>
  <c r="CV113" i="1"/>
  <c r="H41" i="1"/>
  <c r="I40" i="1" s="1"/>
  <c r="DB41" i="1"/>
  <c r="DM43" i="1"/>
  <c r="DM42" i="1"/>
  <c r="DM41" i="1"/>
  <c r="DN41" i="1" s="1"/>
  <c r="EC41" i="1"/>
  <c r="EA41" i="1"/>
  <c r="FR42" i="1"/>
  <c r="FR43" i="1"/>
  <c r="FR41" i="1"/>
  <c r="FS41" i="1" s="1"/>
  <c r="FE41" i="1"/>
  <c r="FF41" i="1" s="1"/>
  <c r="FE43" i="1"/>
  <c r="FE42" i="1"/>
  <c r="FT13" i="1"/>
  <c r="FR13" i="1" s="1"/>
  <c r="DO48" i="1"/>
  <c r="FE74" i="1"/>
  <c r="FE76" i="1"/>
  <c r="FE73" i="1"/>
  <c r="FF73" i="1" s="1"/>
  <c r="EM73" i="1"/>
  <c r="EM76" i="1"/>
  <c r="EM74" i="1"/>
  <c r="FK74" i="1"/>
  <c r="FK76" i="1"/>
  <c r="FK73" i="1"/>
  <c r="FL73" i="1" s="1"/>
  <c r="ES74" i="1"/>
  <c r="ES73" i="1"/>
  <c r="ES76" i="1"/>
  <c r="EY76" i="1"/>
  <c r="EY74" i="1"/>
  <c r="EY73" i="1"/>
  <c r="DM74" i="1"/>
  <c r="DM76" i="1"/>
  <c r="DM73" i="1"/>
  <c r="DN73" i="1" s="1"/>
  <c r="FR73" i="1"/>
  <c r="FS73" i="1" s="1"/>
  <c r="FR76" i="1"/>
  <c r="FR74" i="1"/>
  <c r="EC73" i="1"/>
  <c r="EA73" i="1"/>
  <c r="H73" i="1"/>
  <c r="DB73" i="1"/>
  <c r="DO114" i="1"/>
  <c r="EO13" i="1"/>
  <c r="EM13" i="1" s="1"/>
  <c r="CU311" i="1"/>
  <c r="CT311" i="1" s="1"/>
  <c r="H311" i="1" s="1"/>
  <c r="DO13" i="1"/>
  <c r="DM13" i="1" s="1"/>
  <c r="EU13" i="1"/>
  <c r="ES13" i="1" s="1"/>
  <c r="FM223" i="1"/>
  <c r="FN224" i="1"/>
  <c r="FM224" i="1" s="1"/>
  <c r="FK224" i="1" s="1"/>
  <c r="FT223" i="1"/>
  <c r="FU224" i="1"/>
  <c r="FT224" i="1" s="1"/>
  <c r="FR224" i="1" s="1"/>
  <c r="FA223" i="1"/>
  <c r="FB224" i="1"/>
  <c r="FA224" i="1" s="1"/>
  <c r="EY224" i="1" s="1"/>
  <c r="EO166" i="1"/>
  <c r="EM166" i="1" s="1"/>
  <c r="EM165" i="1"/>
  <c r="FG223" i="1"/>
  <c r="FH224" i="1"/>
  <c r="FG224" i="1" s="1"/>
  <c r="FE224" i="1" s="1"/>
  <c r="EU177" i="1"/>
  <c r="ES177" i="1" s="1"/>
  <c r="ES176" i="1"/>
  <c r="DW247" i="1"/>
  <c r="EU246" i="1"/>
  <c r="ES245" i="1"/>
  <c r="EO177" i="1"/>
  <c r="EM177" i="1" s="1"/>
  <c r="EM176" i="1"/>
  <c r="EO246" i="1"/>
  <c r="EM245" i="1"/>
  <c r="EU174" i="1"/>
  <c r="ES174" i="1" s="1"/>
  <c r="ES173" i="1"/>
  <c r="EU166" i="1"/>
  <c r="ES166" i="1" s="1"/>
  <c r="ES165" i="1"/>
  <c r="EU279" i="1"/>
  <c r="ES278" i="1"/>
  <c r="EO279" i="1"/>
  <c r="EM278" i="1"/>
  <c r="DX247" i="1"/>
  <c r="EO174" i="1"/>
  <c r="EM174" i="1" s="1"/>
  <c r="EM173" i="1"/>
  <c r="FM13" i="1"/>
  <c r="FK13" i="1" s="1"/>
  <c r="GB86" i="1"/>
  <c r="FI217" i="1"/>
  <c r="EP217" i="1"/>
  <c r="DZ217" i="1"/>
  <c r="FH217" i="1"/>
  <c r="FQ217" i="1"/>
  <c r="FW217" i="1"/>
  <c r="EB13" i="1"/>
  <c r="EH13" i="1"/>
  <c r="FA13" i="1"/>
  <c r="EY13" i="1" s="1"/>
  <c r="EX217" i="1"/>
  <c r="EQ217" i="1"/>
  <c r="DT217" i="1"/>
  <c r="CO217" i="1"/>
  <c r="M217" i="1" s="1"/>
  <c r="DP217" i="1"/>
  <c r="FO217" i="1"/>
  <c r="DX217" i="1"/>
  <c r="EL217" i="1"/>
  <c r="DI217" i="1"/>
  <c r="DQ217" i="1"/>
  <c r="ER217" i="1"/>
  <c r="DR217" i="1"/>
  <c r="FV217" i="1"/>
  <c r="FD217" i="1"/>
  <c r="GB119" i="1"/>
  <c r="ED217" i="1"/>
  <c r="CY217" i="1"/>
  <c r="N217" i="1" s="1"/>
  <c r="DS217" i="1"/>
  <c r="EK217" i="1"/>
  <c r="EJ217" i="1"/>
  <c r="FP217" i="1"/>
  <c r="FU105" i="1"/>
  <c r="EW217" i="1"/>
  <c r="EF217" i="1"/>
  <c r="EE217" i="1"/>
  <c r="FU217" i="1"/>
  <c r="DU217" i="1"/>
  <c r="FN217" i="1"/>
  <c r="EV217" i="1"/>
  <c r="FB217" i="1"/>
  <c r="FC217" i="1"/>
  <c r="DB189" i="1"/>
  <c r="ES190" i="1"/>
  <c r="ES189" i="1"/>
  <c r="ES191" i="1"/>
  <c r="DM191" i="1"/>
  <c r="DM189" i="1"/>
  <c r="DM190" i="1"/>
  <c r="FE189" i="1"/>
  <c r="FE190" i="1"/>
  <c r="FE191" i="1"/>
  <c r="FR191" i="1"/>
  <c r="FR190" i="1"/>
  <c r="FR189" i="1"/>
  <c r="FK191" i="1"/>
  <c r="FK190" i="1"/>
  <c r="FK189" i="1"/>
  <c r="EM189" i="1"/>
  <c r="EM190" i="1"/>
  <c r="EM191" i="1"/>
  <c r="EY189" i="1"/>
  <c r="EY190" i="1"/>
  <c r="EY191" i="1"/>
  <c r="CV103" i="1"/>
  <c r="CU103" i="1" s="1"/>
  <c r="CT103" i="1" s="1"/>
  <c r="H103" i="1" s="1"/>
  <c r="CV14" i="1"/>
  <c r="CX106" i="1"/>
  <c r="CW106" i="1"/>
  <c r="CV13" i="1"/>
  <c r="DW13" i="1" s="1"/>
  <c r="CW217" i="1"/>
  <c r="CX217" i="1"/>
  <c r="CW105" i="1"/>
  <c r="CX105" i="1"/>
  <c r="CV104" i="1"/>
  <c r="CV112" i="1"/>
  <c r="CV216" i="1"/>
  <c r="GB52" i="1"/>
  <c r="DW182" i="1"/>
  <c r="DB128" i="1"/>
  <c r="EH52" i="1"/>
  <c r="DW227" i="1"/>
  <c r="DO85" i="1"/>
  <c r="DM85" i="1" s="1"/>
  <c r="FN86" i="1"/>
  <c r="DW86" i="1"/>
  <c r="FB86" i="1"/>
  <c r="CQ86" i="1"/>
  <c r="EV86" i="1"/>
  <c r="EP86" i="1"/>
  <c r="EJ86" i="1"/>
  <c r="EH86" i="1" s="1"/>
  <c r="DP86" i="1"/>
  <c r="DR86" i="1"/>
  <c r="ED86" i="1"/>
  <c r="FU86" i="1"/>
  <c r="K86" i="1"/>
  <c r="FH86" i="1"/>
  <c r="DO110" i="1"/>
  <c r="ES287" i="1"/>
  <c r="FK287" i="1"/>
  <c r="FL287" i="1" s="1"/>
  <c r="FE287" i="1"/>
  <c r="FF287" i="1" s="1"/>
  <c r="EY287" i="1"/>
  <c r="FR287" i="1"/>
  <c r="FS287" i="1" s="1"/>
  <c r="DM287" i="1"/>
  <c r="DN287" i="1" s="1"/>
  <c r="EC287" i="1"/>
  <c r="EA287" i="1"/>
  <c r="EM287" i="1"/>
  <c r="CU197" i="1"/>
  <c r="CT197" i="1" s="1"/>
  <c r="H197" i="1" s="1"/>
  <c r="GB13" i="1"/>
  <c r="CU240" i="1"/>
  <c r="CT240" i="1" s="1"/>
  <c r="H240" i="1" s="1"/>
  <c r="EE105" i="1"/>
  <c r="DB170" i="1"/>
  <c r="DW206" i="1"/>
  <c r="DW12" i="1"/>
  <c r="DY12" i="1" s="1"/>
  <c r="EC12" i="1" s="1"/>
  <c r="CU85" i="1"/>
  <c r="CT85" i="1" s="1"/>
  <c r="H85" i="1" s="1"/>
  <c r="DI210" i="1"/>
  <c r="P14" i="5"/>
  <c r="P13" i="4"/>
  <c r="EJ140" i="1"/>
  <c r="EH139" i="1"/>
  <c r="ED140" i="1"/>
  <c r="EB139" i="1"/>
  <c r="DX227" i="1"/>
  <c r="FM138" i="1"/>
  <c r="FN139" i="1"/>
  <c r="FN178" i="1" s="1"/>
  <c r="DW19" i="1"/>
  <c r="FA138" i="1"/>
  <c r="FB139" i="1"/>
  <c r="FB178" i="1" s="1"/>
  <c r="FG138" i="1"/>
  <c r="FH139" i="1"/>
  <c r="FH178" i="1" s="1"/>
  <c r="FT138" i="1"/>
  <c r="FU139" i="1"/>
  <c r="FU178" i="1" s="1"/>
  <c r="DO138" i="1"/>
  <c r="DP139" i="1"/>
  <c r="DP178" i="1" s="1"/>
  <c r="EJ28" i="1"/>
  <c r="ED28" i="1"/>
  <c r="G30" i="4"/>
  <c r="E13" i="4" s="1"/>
  <c r="G40" i="5"/>
  <c r="A24" i="5"/>
  <c r="C12" i="5"/>
  <c r="G38" i="4"/>
  <c r="G39" i="5"/>
  <c r="K23" i="5"/>
  <c r="L11" i="5"/>
  <c r="D29" i="5"/>
  <c r="A23" i="5"/>
  <c r="C11" i="4"/>
  <c r="E13" i="5"/>
  <c r="G13" i="4"/>
  <c r="K28" i="5"/>
  <c r="E21" i="5"/>
  <c r="K27" i="4"/>
  <c r="C28" i="5"/>
  <c r="E20" i="5"/>
  <c r="K26" i="4"/>
  <c r="K24" i="5"/>
  <c r="K27" i="5"/>
  <c r="E19" i="5"/>
  <c r="K25" i="4"/>
  <c r="C27" i="5"/>
  <c r="E18" i="5"/>
  <c r="K24" i="4"/>
  <c r="K26" i="5"/>
  <c r="E17" i="5"/>
  <c r="K22" i="4"/>
  <c r="I14" i="5"/>
  <c r="A26" i="5"/>
  <c r="E16" i="5"/>
  <c r="K23" i="4"/>
  <c r="K25" i="5"/>
  <c r="G14" i="5"/>
  <c r="G31" i="4"/>
  <c r="A25" i="5"/>
  <c r="E15" i="5"/>
  <c r="G39" i="4"/>
  <c r="CV263" i="1"/>
  <c r="CV242" i="1"/>
  <c r="CV229" i="1"/>
  <c r="CU229" i="1" s="1"/>
  <c r="CT229" i="1" s="1"/>
  <c r="H229" i="1" s="1"/>
  <c r="CV208" i="1"/>
  <c r="DW118" i="1"/>
  <c r="DY118" i="1" s="1"/>
  <c r="EA118" i="1" s="1"/>
  <c r="GB197" i="1"/>
  <c r="BA107" i="1"/>
  <c r="FM19" i="1"/>
  <c r="FK19" i="1" s="1"/>
  <c r="FN28" i="1"/>
  <c r="FM28" i="1" s="1"/>
  <c r="FT19" i="1"/>
  <c r="FR19" i="1" s="1"/>
  <c r="FU28" i="1"/>
  <c r="FT28" i="1" s="1"/>
  <c r="DO19" i="1"/>
  <c r="DM19" i="1" s="1"/>
  <c r="FB28" i="1"/>
  <c r="FA28" i="1" s="1"/>
  <c r="FA19" i="1"/>
  <c r="EY19" i="1" s="1"/>
  <c r="EP28" i="1"/>
  <c r="EO19" i="1"/>
  <c r="EM19" i="1" s="1"/>
  <c r="FH28" i="1"/>
  <c r="FG28" i="1" s="1"/>
  <c r="FG19" i="1"/>
  <c r="FE19" i="1" s="1"/>
  <c r="EV28" i="1"/>
  <c r="EU19" i="1"/>
  <c r="ES19" i="1" s="1"/>
  <c r="DO103" i="1"/>
  <c r="DM103" i="1" s="1"/>
  <c r="CL218" i="1"/>
  <c r="FZ218" i="1" s="1"/>
  <c r="EO103" i="1"/>
  <c r="EO138" i="1" s="1"/>
  <c r="EO139" i="1" s="1"/>
  <c r="EO178" i="1" s="1"/>
  <c r="EP105" i="1"/>
  <c r="DU105" i="1"/>
  <c r="FO105" i="1"/>
  <c r="EK105" i="1"/>
  <c r="DS105" i="1"/>
  <c r="FT103" i="1"/>
  <c r="FR103" i="1" s="1"/>
  <c r="EW105" i="1"/>
  <c r="FW105" i="1"/>
  <c r="CY105" i="1"/>
  <c r="CV105" i="1" s="1"/>
  <c r="DR105" i="1"/>
  <c r="FD105" i="1"/>
  <c r="EL105" i="1"/>
  <c r="EV105" i="1"/>
  <c r="EJ105" i="1"/>
  <c r="EF105" i="1"/>
  <c r="CO105" i="1"/>
  <c r="M105" i="1" s="1"/>
  <c r="DQ105" i="1"/>
  <c r="DP105" i="1"/>
  <c r="ER105" i="1"/>
  <c r="FV105" i="1"/>
  <c r="FN105" i="1"/>
  <c r="FH105" i="1"/>
  <c r="FG105" i="1" s="1"/>
  <c r="DT105" i="1"/>
  <c r="FC105" i="1"/>
  <c r="DZ105" i="1"/>
  <c r="FB105" i="1"/>
  <c r="EQ105" i="1"/>
  <c r="FQ105" i="1"/>
  <c r="FJ105" i="1"/>
  <c r="EX105" i="1"/>
  <c r="DI105" i="1"/>
  <c r="FP105" i="1"/>
  <c r="ED105" i="1"/>
  <c r="FG103" i="1"/>
  <c r="FE103" i="1" s="1"/>
  <c r="EB103" i="1"/>
  <c r="FM103" i="1"/>
  <c r="FK103" i="1" s="1"/>
  <c r="GB103" i="1"/>
  <c r="EH103" i="1"/>
  <c r="EU103" i="1"/>
  <c r="EU138" i="1" s="1"/>
  <c r="EU139" i="1" s="1"/>
  <c r="EU178" i="1" s="1"/>
  <c r="FA103" i="1"/>
  <c r="EY103" i="1" s="1"/>
  <c r="DW36" i="1"/>
  <c r="DY36" i="1" s="1"/>
  <c r="EA36" i="1" s="1"/>
  <c r="EA32" i="1"/>
  <c r="EC32" i="1"/>
  <c r="DM69" i="1"/>
  <c r="DM32" i="1"/>
  <c r="DN32" i="1" s="1"/>
  <c r="DM33" i="1"/>
  <c r="DM34" i="1"/>
  <c r="EM32" i="1"/>
  <c r="EM33" i="1"/>
  <c r="EM34" i="1"/>
  <c r="H32" i="1"/>
  <c r="I31" i="1" s="1"/>
  <c r="DB32" i="1"/>
  <c r="ES69" i="1"/>
  <c r="ES32" i="1"/>
  <c r="ES33" i="1"/>
  <c r="ES34" i="1"/>
  <c r="DW34" i="1"/>
  <c r="FE69" i="1"/>
  <c r="FE32" i="1"/>
  <c r="FF32" i="1" s="1"/>
  <c r="FE33" i="1"/>
  <c r="FE34" i="1"/>
  <c r="EY69" i="1"/>
  <c r="EY32" i="1"/>
  <c r="EY33" i="1"/>
  <c r="EY34" i="1"/>
  <c r="FR69" i="1"/>
  <c r="FR32" i="1"/>
  <c r="FS32" i="1" s="1"/>
  <c r="FR33" i="1"/>
  <c r="FR34" i="1"/>
  <c r="FK69" i="1"/>
  <c r="FK32" i="1"/>
  <c r="FL32" i="1" s="1"/>
  <c r="FK33" i="1"/>
  <c r="FK34" i="1"/>
  <c r="EH27" i="1"/>
  <c r="EB27" i="1"/>
  <c r="EM124" i="1"/>
  <c r="EM69" i="1"/>
  <c r="GB206" i="1"/>
  <c r="GB53" i="1"/>
  <c r="EU216" i="1"/>
  <c r="ES216" i="1" s="1"/>
  <c r="GB228" i="1"/>
  <c r="GB104" i="1"/>
  <c r="GB216" i="1"/>
  <c r="GB26" i="1"/>
  <c r="GB112" i="1"/>
  <c r="GB96" i="1"/>
  <c r="GB261" i="1"/>
  <c r="GB39" i="1"/>
  <c r="GB95" i="1"/>
  <c r="GB234" i="1"/>
  <c r="GB14" i="1"/>
  <c r="A22" i="4"/>
  <c r="FG14" i="1"/>
  <c r="FE14" i="1" s="1"/>
  <c r="DW235" i="1"/>
  <c r="G61" i="5"/>
  <c r="G46" i="5"/>
  <c r="G32" i="5"/>
  <c r="G43" i="4"/>
  <c r="G60" i="5"/>
  <c r="G45" i="5"/>
  <c r="G31" i="5"/>
  <c r="E14" i="5" s="1"/>
  <c r="G56" i="4"/>
  <c r="G59" i="5"/>
  <c r="G44" i="5"/>
  <c r="P53" i="4"/>
  <c r="G58" i="5"/>
  <c r="G41" i="5"/>
  <c r="P51" i="4"/>
  <c r="G57" i="5"/>
  <c r="G59" i="4"/>
  <c r="G55" i="5"/>
  <c r="G58" i="4"/>
  <c r="G52" i="5"/>
  <c r="G38" i="5"/>
  <c r="AA36" i="5" s="1"/>
  <c r="G53" i="5"/>
  <c r="G51" i="5"/>
  <c r="G37" i="5"/>
  <c r="G50" i="5"/>
  <c r="G36" i="5"/>
  <c r="G33" i="5"/>
  <c r="G49" i="5"/>
  <c r="G35" i="5"/>
  <c r="G47" i="5"/>
  <c r="G48" i="5"/>
  <c r="G34" i="5"/>
  <c r="G62" i="5"/>
  <c r="FG104" i="1"/>
  <c r="FE104" i="1" s="1"/>
  <c r="FA216" i="1"/>
  <c r="EY216" i="1" s="1"/>
  <c r="G61" i="4"/>
  <c r="G57" i="4"/>
  <c r="G54" i="4"/>
  <c r="L10" i="4"/>
  <c r="G53" i="4"/>
  <c r="G52" i="4"/>
  <c r="G55" i="4"/>
  <c r="G68" i="4"/>
  <c r="G50" i="4"/>
  <c r="G67" i="4"/>
  <c r="G51" i="4"/>
  <c r="G66" i="4"/>
  <c r="G49" i="4"/>
  <c r="G65" i="4"/>
  <c r="G64" i="4"/>
  <c r="G63" i="4"/>
  <c r="FT216" i="1"/>
  <c r="FR216" i="1" s="1"/>
  <c r="G37" i="4"/>
  <c r="AA35" i="4" s="1"/>
  <c r="G48" i="4"/>
  <c r="G45" i="4"/>
  <c r="G44" i="4"/>
  <c r="G40" i="4"/>
  <c r="C26" i="4"/>
  <c r="A23" i="4"/>
  <c r="G34" i="4"/>
  <c r="E19" i="4"/>
  <c r="G32" i="4"/>
  <c r="E18" i="4"/>
  <c r="E17" i="4"/>
  <c r="E16" i="4"/>
  <c r="E15" i="4"/>
  <c r="G36" i="4"/>
  <c r="E14" i="4"/>
  <c r="G35" i="4"/>
  <c r="E12" i="4"/>
  <c r="G33" i="4"/>
  <c r="E20" i="4"/>
  <c r="FA104" i="1"/>
  <c r="EY104" i="1" s="1"/>
  <c r="CP218" i="1"/>
  <c r="CQ218" i="1"/>
  <c r="CN218" i="1"/>
  <c r="CR218" i="1"/>
  <c r="CU183" i="1"/>
  <c r="CT183" i="1" s="1"/>
  <c r="H183" i="1" s="1"/>
  <c r="CU111" i="1"/>
  <c r="CT111" i="1" s="1"/>
  <c r="H111" i="1" s="1"/>
  <c r="I110" i="1" s="1"/>
  <c r="DZ86" i="1"/>
  <c r="CU221" i="1"/>
  <c r="CT221" i="1" s="1"/>
  <c r="H221" i="1" s="1"/>
  <c r="CU37" i="1"/>
  <c r="CT37" i="1" s="1"/>
  <c r="H37" i="1" s="1"/>
  <c r="EH216" i="1"/>
  <c r="FM216" i="1"/>
  <c r="FK216" i="1" s="1"/>
  <c r="EB216" i="1"/>
  <c r="DB159" i="1"/>
  <c r="CU25" i="1"/>
  <c r="CT25" i="1" s="1"/>
  <c r="DB25" i="1" s="1"/>
  <c r="DB133" i="1"/>
  <c r="DW215" i="1"/>
  <c r="DY215" i="1" s="1"/>
  <c r="EA215" i="1" s="1"/>
  <c r="CL107" i="1"/>
  <c r="EM220" i="1"/>
  <c r="EU14" i="1"/>
  <c r="ES14" i="1" s="1"/>
  <c r="FH48" i="1"/>
  <c r="FG48" i="1" s="1"/>
  <c r="DO216" i="1"/>
  <c r="DM216" i="1" s="1"/>
  <c r="EO216" i="1"/>
  <c r="EM216" i="1" s="1"/>
  <c r="FG216" i="1"/>
  <c r="FE216" i="1" s="1"/>
  <c r="EM271" i="1"/>
  <c r="EM225" i="1"/>
  <c r="EM239" i="1"/>
  <c r="EM215" i="1"/>
  <c r="EM203" i="1"/>
  <c r="DP15" i="1"/>
  <c r="DO15" i="1" s="1"/>
  <c r="FB48" i="1"/>
  <c r="FA48" i="1" s="1"/>
  <c r="FT104" i="1"/>
  <c r="FR104" i="1" s="1"/>
  <c r="EB104" i="1"/>
  <c r="FA14" i="1"/>
  <c r="EU104" i="1"/>
  <c r="ES104" i="1" s="1"/>
  <c r="EH104" i="1"/>
  <c r="DM98" i="1"/>
  <c r="FM104" i="1"/>
  <c r="FK104" i="1" s="1"/>
  <c r="ED100" i="1"/>
  <c r="EB100" i="1" s="1"/>
  <c r="EB99" i="1"/>
  <c r="EJ100" i="1"/>
  <c r="EH100" i="1" s="1"/>
  <c r="EH99" i="1"/>
  <c r="EU99" i="1"/>
  <c r="ES98" i="1"/>
  <c r="EO99" i="1"/>
  <c r="EM98" i="1"/>
  <c r="DO104" i="1"/>
  <c r="DM104" i="1" s="1"/>
  <c r="FM98" i="1"/>
  <c r="FK98" i="1" s="1"/>
  <c r="FN99" i="1"/>
  <c r="FA98" i="1"/>
  <c r="EY98" i="1" s="1"/>
  <c r="FB99" i="1"/>
  <c r="DO99" i="1"/>
  <c r="DM99" i="1" s="1"/>
  <c r="DP100" i="1"/>
  <c r="DO100" i="1" s="1"/>
  <c r="DM100" i="1" s="1"/>
  <c r="FG98" i="1"/>
  <c r="FE98" i="1" s="1"/>
  <c r="FH99" i="1"/>
  <c r="DS6" i="1"/>
  <c r="EO104" i="1"/>
  <c r="EM104" i="1" s="1"/>
  <c r="FT98" i="1"/>
  <c r="FR98" i="1" s="1"/>
  <c r="FU99" i="1"/>
  <c r="DY260" i="1"/>
  <c r="EA260" i="1" s="1"/>
  <c r="EM266" i="1"/>
  <c r="EM59" i="1"/>
  <c r="EB206" i="1"/>
  <c r="DB152" i="1"/>
  <c r="EB14" i="1"/>
  <c r="DT6" i="1"/>
  <c r="DO14" i="1"/>
  <c r="FN48" i="1"/>
  <c r="FM48" i="1" s="1"/>
  <c r="DQ5" i="1"/>
  <c r="DT5" i="1"/>
  <c r="EO171" i="1"/>
  <c r="EM171" i="1" s="1"/>
  <c r="EM170" i="1"/>
  <c r="EU171" i="1"/>
  <c r="ES171" i="1" s="1"/>
  <c r="ES170" i="1"/>
  <c r="FE152" i="1"/>
  <c r="EY152" i="1"/>
  <c r="DM152" i="1"/>
  <c r="DO170" i="1"/>
  <c r="DM170" i="1" s="1"/>
  <c r="DP171" i="1"/>
  <c r="DO171" i="1" s="1"/>
  <c r="DM171" i="1" s="1"/>
  <c r="FG170" i="1"/>
  <c r="FE170" i="1" s="1"/>
  <c r="FH171" i="1"/>
  <c r="FG171" i="1" s="1"/>
  <c r="FE171" i="1" s="1"/>
  <c r="FA170" i="1"/>
  <c r="EY170" i="1" s="1"/>
  <c r="FB171" i="1"/>
  <c r="FA171" i="1" s="1"/>
  <c r="EY171" i="1" s="1"/>
  <c r="EM152" i="1"/>
  <c r="ES152" i="1"/>
  <c r="FM170" i="1"/>
  <c r="FK170" i="1" s="1"/>
  <c r="FN171" i="1"/>
  <c r="FM171" i="1" s="1"/>
  <c r="FK171" i="1" s="1"/>
  <c r="FT170" i="1"/>
  <c r="FR170" i="1" s="1"/>
  <c r="FU171" i="1"/>
  <c r="FT171" i="1" s="1"/>
  <c r="FR171" i="1" s="1"/>
  <c r="FK152" i="1"/>
  <c r="FR152" i="1"/>
  <c r="EB227" i="1"/>
  <c r="DU5" i="1"/>
  <c r="DM128" i="1"/>
  <c r="DM134" i="1"/>
  <c r="EM272" i="1"/>
  <c r="EM134" i="1"/>
  <c r="ES128" i="1"/>
  <c r="ES134" i="1"/>
  <c r="FK128" i="1"/>
  <c r="FK134" i="1"/>
  <c r="EY128" i="1"/>
  <c r="EY134" i="1"/>
  <c r="FR128" i="1"/>
  <c r="FR134" i="1"/>
  <c r="FE128" i="1"/>
  <c r="FE134" i="1"/>
  <c r="EM68" i="1"/>
  <c r="EM156" i="1"/>
  <c r="DM133" i="1"/>
  <c r="FK133" i="1"/>
  <c r="EY133" i="1"/>
  <c r="FE133" i="1"/>
  <c r="ES133" i="1"/>
  <c r="FR133" i="1"/>
  <c r="EM133" i="1"/>
  <c r="EU136" i="1"/>
  <c r="ES136" i="1" s="1"/>
  <c r="ES135" i="1"/>
  <c r="EO136" i="1"/>
  <c r="EM136" i="1" s="1"/>
  <c r="EM135" i="1"/>
  <c r="FT135" i="1"/>
  <c r="FR135" i="1" s="1"/>
  <c r="FU136" i="1"/>
  <c r="FT136" i="1" s="1"/>
  <c r="FR136" i="1" s="1"/>
  <c r="DO135" i="1"/>
  <c r="DM135" i="1" s="1"/>
  <c r="DP136" i="1"/>
  <c r="DO136" i="1" s="1"/>
  <c r="DM136" i="1" s="1"/>
  <c r="DO229" i="1"/>
  <c r="FM135" i="1"/>
  <c r="FK135" i="1" s="1"/>
  <c r="FN136" i="1"/>
  <c r="FM136" i="1" s="1"/>
  <c r="FK136" i="1" s="1"/>
  <c r="CU53" i="1"/>
  <c r="CT53" i="1" s="1"/>
  <c r="H53" i="1" s="1"/>
  <c r="EY129" i="1"/>
  <c r="FT14" i="1"/>
  <c r="FA135" i="1"/>
  <c r="EY135" i="1" s="1"/>
  <c r="FB136" i="1"/>
  <c r="FA136" i="1" s="1"/>
  <c r="EY136" i="1" s="1"/>
  <c r="FG135" i="1"/>
  <c r="FE135" i="1" s="1"/>
  <c r="FH136" i="1"/>
  <c r="FG136" i="1" s="1"/>
  <c r="FE136" i="1" s="1"/>
  <c r="DS5" i="1"/>
  <c r="EM290" i="1"/>
  <c r="EM18" i="1"/>
  <c r="EM65" i="1"/>
  <c r="EM83" i="1"/>
  <c r="EM23" i="1"/>
  <c r="EM126" i="1"/>
  <c r="EM16" i="1"/>
  <c r="EM89" i="1"/>
  <c r="EM252" i="1"/>
  <c r="EM304" i="1"/>
  <c r="EM292" i="1"/>
  <c r="EM92" i="1"/>
  <c r="EM267" i="1"/>
  <c r="EM195" i="1"/>
  <c r="EM82" i="1"/>
  <c r="EM45" i="1"/>
  <c r="EM270" i="1"/>
  <c r="EM61" i="1"/>
  <c r="EM232" i="1"/>
  <c r="EM185" i="1"/>
  <c r="EM128" i="1"/>
  <c r="EM94" i="1"/>
  <c r="EM193" i="1"/>
  <c r="EM295" i="1"/>
  <c r="EM95" i="1"/>
  <c r="EM63" i="1"/>
  <c r="EM37" i="1"/>
  <c r="EM194" i="1"/>
  <c r="EM200" i="1"/>
  <c r="EM300" i="1"/>
  <c r="EM297" i="1"/>
  <c r="EM46" i="1"/>
  <c r="EM259" i="1"/>
  <c r="EM293" i="1"/>
  <c r="EM80" i="1"/>
  <c r="EM56" i="1"/>
  <c r="EM260" i="1"/>
  <c r="EM36" i="1"/>
  <c r="EM64" i="1"/>
  <c r="EM199" i="1"/>
  <c r="EM72" i="1"/>
  <c r="EM186" i="1"/>
  <c r="EM129" i="1"/>
  <c r="EM50" i="1"/>
  <c r="EM183" i="1"/>
  <c r="EM93" i="1"/>
  <c r="EM111" i="1"/>
  <c r="EM17" i="1"/>
  <c r="EM226" i="1"/>
  <c r="EM49" i="1"/>
  <c r="EM125" i="1"/>
  <c r="EM237" i="1"/>
  <c r="EM301" i="1"/>
  <c r="EM88" i="1"/>
  <c r="EM205" i="1"/>
  <c r="EM146" i="1"/>
  <c r="EM21" i="1"/>
  <c r="EM60" i="1"/>
  <c r="EM256" i="1"/>
  <c r="EM289" i="1"/>
  <c r="EM90" i="1"/>
  <c r="EM123" i="1"/>
  <c r="EM22" i="1"/>
  <c r="EM25" i="1"/>
  <c r="EM67" i="1"/>
  <c r="EM168" i="1"/>
  <c r="EM286" i="1"/>
  <c r="EM29" i="1"/>
  <c r="EM269" i="1"/>
  <c r="EM231" i="1"/>
  <c r="EM30" i="1"/>
  <c r="EM118" i="1"/>
  <c r="EM265" i="1"/>
  <c r="EM115" i="1"/>
  <c r="EM160" i="1"/>
  <c r="EM57" i="1"/>
  <c r="EM224" i="1"/>
  <c r="EM12" i="1"/>
  <c r="EM233" i="1"/>
  <c r="EM258" i="1"/>
  <c r="EM283" i="1"/>
  <c r="EM308" i="1"/>
  <c r="EM47" i="1"/>
  <c r="EM78" i="1"/>
  <c r="EM310" i="1"/>
  <c r="EM305" i="1"/>
  <c r="EM255" i="1"/>
  <c r="EM102" i="1"/>
  <c r="EM84" i="1"/>
  <c r="EM302" i="1"/>
  <c r="EM251" i="1"/>
  <c r="EM51" i="1"/>
  <c r="EM182" i="1"/>
  <c r="EM204" i="1"/>
  <c r="EM221" i="1"/>
  <c r="EM79" i="1"/>
  <c r="EM157" i="1"/>
  <c r="EM238" i="1"/>
  <c r="EM284" i="1"/>
  <c r="EM311" i="1"/>
  <c r="EM196" i="1"/>
  <c r="EM70" i="1"/>
  <c r="EM116" i="1"/>
  <c r="EM55" i="1"/>
  <c r="EM307" i="1"/>
  <c r="EM159" i="1"/>
  <c r="EM253" i="1"/>
  <c r="EM227" i="1"/>
  <c r="EM309" i="1"/>
  <c r="EM85" i="1"/>
  <c r="EM240" i="1"/>
  <c r="A24" i="4"/>
  <c r="A25" i="4"/>
  <c r="EB39" i="1"/>
  <c r="CU206" i="1"/>
  <c r="CT206" i="1" s="1"/>
  <c r="H206" i="1" s="1"/>
  <c r="EM206" i="1"/>
  <c r="FU48" i="1"/>
  <c r="FT48" i="1" s="1"/>
  <c r="EH206" i="1"/>
  <c r="FM14" i="1"/>
  <c r="FK14" i="1" s="1"/>
  <c r="FG53" i="1"/>
  <c r="FH71" i="1"/>
  <c r="FG71" i="1" s="1"/>
  <c r="EM119" i="1"/>
  <c r="DR71" i="1"/>
  <c r="DR58" i="1"/>
  <c r="FB71" i="1"/>
  <c r="FA71" i="1" s="1"/>
  <c r="FA53" i="1"/>
  <c r="FT53" i="1"/>
  <c r="FU71" i="1"/>
  <c r="FT71" i="1" s="1"/>
  <c r="DR5" i="1"/>
  <c r="DR6" i="1"/>
  <c r="DO53" i="1"/>
  <c r="DP58" i="1"/>
  <c r="DP71" i="1"/>
  <c r="EO14" i="1"/>
  <c r="EM14" i="1" s="1"/>
  <c r="FN71" i="1"/>
  <c r="FM71" i="1" s="1"/>
  <c r="FM53" i="1"/>
  <c r="EV71" i="1"/>
  <c r="EU53" i="1"/>
  <c r="EU71" i="1" s="1"/>
  <c r="EB240" i="1"/>
  <c r="EP71" i="1"/>
  <c r="EO53" i="1"/>
  <c r="EO71" i="1" s="1"/>
  <c r="EM222" i="1"/>
  <c r="DQ6" i="1"/>
  <c r="DU6" i="1"/>
  <c r="EH14" i="1"/>
  <c r="D28" i="4"/>
  <c r="C27" i="4"/>
  <c r="U109" i="1"/>
  <c r="BX108" i="1"/>
  <c r="BY108" i="1"/>
  <c r="I108" i="1"/>
  <c r="J108" i="1"/>
  <c r="N39" i="1"/>
  <c r="CY106" i="1"/>
  <c r="CV106" i="1" s="1"/>
  <c r="DS106" i="1"/>
  <c r="EQ106" i="1"/>
  <c r="EW106" i="1"/>
  <c r="EE106" i="1"/>
  <c r="FB106" i="1"/>
  <c r="FO106" i="1"/>
  <c r="EJ106" i="1"/>
  <c r="ED106" i="1"/>
  <c r="CO106" i="1"/>
  <c r="M106" i="1" s="1"/>
  <c r="FV106" i="1"/>
  <c r="ER106" i="1"/>
  <c r="FU106" i="1"/>
  <c r="DQ106" i="1"/>
  <c r="FN106" i="1"/>
  <c r="FP106" i="1"/>
  <c r="FI106" i="1"/>
  <c r="FC106" i="1"/>
  <c r="FJ106" i="1"/>
  <c r="EV106" i="1"/>
  <c r="EK106" i="1"/>
  <c r="DT106" i="1"/>
  <c r="DP106" i="1"/>
  <c r="FD106" i="1"/>
  <c r="FW106" i="1"/>
  <c r="EF106" i="1"/>
  <c r="FQ106" i="1"/>
  <c r="EP106" i="1"/>
  <c r="DR106" i="1"/>
  <c r="FH106" i="1"/>
  <c r="EL106" i="1"/>
  <c r="EX106" i="1"/>
  <c r="EP230" i="1"/>
  <c r="EO229" i="1"/>
  <c r="EO230" i="1" s="1"/>
  <c r="CN107" i="1"/>
  <c r="K107" i="1"/>
  <c r="CP107" i="1"/>
  <c r="CQ107" i="1"/>
  <c r="L107" i="1"/>
  <c r="CR107" i="1"/>
  <c r="CQ120" i="1"/>
  <c r="EP44" i="1"/>
  <c r="EO39" i="1"/>
  <c r="EV230" i="1"/>
  <c r="EU229" i="1"/>
  <c r="EU230" i="1" s="1"/>
  <c r="FA39" i="1"/>
  <c r="EY39" i="1" s="1"/>
  <c r="FB44" i="1"/>
  <c r="FA44" i="1" s="1"/>
  <c r="EO110" i="1"/>
  <c r="EO114" i="1"/>
  <c r="DO39" i="1"/>
  <c r="DM39" i="1" s="1"/>
  <c r="DP44" i="1"/>
  <c r="DO44" i="1" s="1"/>
  <c r="FU230" i="1"/>
  <c r="FT230" i="1" s="1"/>
  <c r="FT229" i="1"/>
  <c r="GB241" i="1"/>
  <c r="FN44" i="1"/>
  <c r="FM44" i="1" s="1"/>
  <c r="FM39" i="1"/>
  <c r="FK39" i="1" s="1"/>
  <c r="FG39" i="1"/>
  <c r="FE39" i="1" s="1"/>
  <c r="FH44" i="1"/>
  <c r="FG44" i="1" s="1"/>
  <c r="FU44" i="1"/>
  <c r="FT44" i="1" s="1"/>
  <c r="FT39" i="1"/>
  <c r="FR39" i="1" s="1"/>
  <c r="FA229" i="1"/>
  <c r="FB230" i="1"/>
  <c r="FA230" i="1" s="1"/>
  <c r="FN230" i="1"/>
  <c r="FM230" i="1" s="1"/>
  <c r="FM229" i="1"/>
  <c r="EU110" i="1"/>
  <c r="EU114" i="1"/>
  <c r="EH39" i="1"/>
  <c r="DO119" i="1"/>
  <c r="DM119" i="1" s="1"/>
  <c r="EV44" i="1"/>
  <c r="EU39" i="1"/>
  <c r="EU44" i="1" s="1"/>
  <c r="FG229" i="1"/>
  <c r="FH230" i="1"/>
  <c r="FG230" i="1" s="1"/>
  <c r="DW261" i="1"/>
  <c r="FM235" i="1"/>
  <c r="FK235" i="1" s="1"/>
  <c r="FN236" i="1"/>
  <c r="FM236" i="1" s="1"/>
  <c r="CU261" i="1"/>
  <c r="CT261" i="1" s="1"/>
  <c r="H261" i="1" s="1"/>
  <c r="EP236" i="1"/>
  <c r="EO235" i="1"/>
  <c r="EO236" i="1" s="1"/>
  <c r="FB236" i="1"/>
  <c r="FA236" i="1" s="1"/>
  <c r="FA235" i="1"/>
  <c r="EY235" i="1" s="1"/>
  <c r="FU236" i="1"/>
  <c r="FT236" i="1" s="1"/>
  <c r="FT235" i="1"/>
  <c r="FR235" i="1" s="1"/>
  <c r="EV236" i="1"/>
  <c r="EU235" i="1"/>
  <c r="EU236" i="1" s="1"/>
  <c r="EM261" i="1"/>
  <c r="DU87" i="1"/>
  <c r="DU273" i="1"/>
  <c r="DU274" i="1" s="1"/>
  <c r="DU275" i="1" s="1"/>
  <c r="EH26" i="1"/>
  <c r="DP101" i="1"/>
  <c r="DO101" i="1" s="1"/>
  <c r="DO235" i="1"/>
  <c r="DM235" i="1" s="1"/>
  <c r="DJ208" i="1"/>
  <c r="DK208" i="1" s="1"/>
  <c r="DU208" i="1"/>
  <c r="DU213" i="1" s="1"/>
  <c r="DI208" i="1"/>
  <c r="FH236" i="1"/>
  <c r="FG236" i="1" s="1"/>
  <c r="FG235" i="1"/>
  <c r="FE235" i="1" s="1"/>
  <c r="EH112" i="1"/>
  <c r="EB112" i="1"/>
  <c r="CU52" i="1"/>
  <c r="CT52" i="1" s="1"/>
  <c r="H52" i="1" s="1"/>
  <c r="EU26" i="1"/>
  <c r="EU27" i="1" s="1"/>
  <c r="ES27" i="1" s="1"/>
  <c r="DP245" i="1"/>
  <c r="DO244" i="1"/>
  <c r="DM244" i="1" s="1"/>
  <c r="FM245" i="1"/>
  <c r="FK245" i="1" s="1"/>
  <c r="FN246" i="1"/>
  <c r="DM129" i="1"/>
  <c r="DS280" i="1"/>
  <c r="DO279" i="1"/>
  <c r="DM279" i="1" s="1"/>
  <c r="FG244" i="1"/>
  <c r="FE244" i="1" s="1"/>
  <c r="FH245" i="1"/>
  <c r="FV245" i="1"/>
  <c r="FT244" i="1"/>
  <c r="FR244" i="1" s="1"/>
  <c r="FG279" i="1"/>
  <c r="FE279" i="1" s="1"/>
  <c r="FH280" i="1"/>
  <c r="DZ206" i="1"/>
  <c r="DX206" i="1"/>
  <c r="BN207" i="1"/>
  <c r="ES207" i="1" s="1"/>
  <c r="BK208" i="1"/>
  <c r="FA244" i="1"/>
  <c r="EY244" i="1" s="1"/>
  <c r="FB245" i="1"/>
  <c r="FT279" i="1"/>
  <c r="FR279" i="1" s="1"/>
  <c r="FU280" i="1"/>
  <c r="FE129" i="1"/>
  <c r="FR129" i="1"/>
  <c r="FK129" i="1"/>
  <c r="DJ53" i="1"/>
  <c r="DK53" i="1" s="1"/>
  <c r="DI53" i="1"/>
  <c r="DU53" i="1"/>
  <c r="EO131" i="1"/>
  <c r="EM131" i="1" s="1"/>
  <c r="EM130" i="1"/>
  <c r="EU130" i="1"/>
  <c r="ES129" i="1"/>
  <c r="EA29" i="1"/>
  <c r="EC29" i="1"/>
  <c r="DW26" i="1"/>
  <c r="CU26" i="1"/>
  <c r="CT26" i="1" s="1"/>
  <c r="H26" i="1" s="1"/>
  <c r="AS107" i="1"/>
  <c r="GA107" i="1" s="1"/>
  <c r="DI106" i="1"/>
  <c r="DJ106" i="1"/>
  <c r="DK106" i="1" s="1"/>
  <c r="DZ106" i="1" s="1"/>
  <c r="DU106" i="1"/>
  <c r="EO112" i="1"/>
  <c r="EO147" i="1" s="1"/>
  <c r="EO148" i="1" s="1"/>
  <c r="CU234" i="1"/>
  <c r="CT234" i="1" s="1"/>
  <c r="H234" i="1" s="1"/>
  <c r="EA251" i="1"/>
  <c r="EC251" i="1"/>
  <c r="EA82" i="1"/>
  <c r="EC82" i="1"/>
  <c r="EA309" i="1"/>
  <c r="EC309" i="1"/>
  <c r="EC283" i="1"/>
  <c r="EA283" i="1"/>
  <c r="EA203" i="1"/>
  <c r="EC203" i="1"/>
  <c r="BK108" i="1"/>
  <c r="BN107" i="1"/>
  <c r="EB235" i="1"/>
  <c r="FG176" i="1"/>
  <c r="FE176" i="1" s="1"/>
  <c r="FH177" i="1"/>
  <c r="FG177" i="1" s="1"/>
  <c r="FE177" i="1" s="1"/>
  <c r="DX261" i="1"/>
  <c r="DZ261" i="1"/>
  <c r="EH235" i="1"/>
  <c r="DO130" i="1"/>
  <c r="DM130" i="1" s="1"/>
  <c r="DP131" i="1"/>
  <c r="DO131" i="1" s="1"/>
  <c r="DM131" i="1" s="1"/>
  <c r="FM112" i="1"/>
  <c r="FK112" i="1" s="1"/>
  <c r="FN113" i="1"/>
  <c r="DW234" i="1"/>
  <c r="ES156" i="1"/>
  <c r="ES186" i="1"/>
  <c r="ES304" i="1"/>
  <c r="ES297" i="1"/>
  <c r="ES185" i="1"/>
  <c r="ES157" i="1"/>
  <c r="ES200" i="1"/>
  <c r="ES301" i="1"/>
  <c r="ES311" i="1"/>
  <c r="ES269" i="1"/>
  <c r="ES239" i="1"/>
  <c r="ES234" i="1"/>
  <c r="ES196" i="1"/>
  <c r="ES252" i="1"/>
  <c r="ES233" i="1"/>
  <c r="ES85" i="1"/>
  <c r="ES16" i="1"/>
  <c r="ES84" i="1"/>
  <c r="ES231" i="1"/>
  <c r="ES72" i="1"/>
  <c r="ES225" i="1"/>
  <c r="ES37" i="1"/>
  <c r="ES284" i="1"/>
  <c r="ES240" i="1"/>
  <c r="ES124" i="1"/>
  <c r="ES126" i="1"/>
  <c r="ES64" i="1"/>
  <c r="ES59" i="1"/>
  <c r="ES255" i="1"/>
  <c r="ES227" i="1"/>
  <c r="ES119" i="1"/>
  <c r="ES123" i="1"/>
  <c r="ES300" i="1"/>
  <c r="ES96" i="1"/>
  <c r="ES272" i="1"/>
  <c r="ES70" i="1"/>
  <c r="ES89" i="1"/>
  <c r="ES224" i="1"/>
  <c r="ES82" i="1"/>
  <c r="ES251" i="1"/>
  <c r="ES36" i="1"/>
  <c r="ES52" i="1"/>
  <c r="ES260" i="1"/>
  <c r="ES226" i="1"/>
  <c r="ES125" i="1"/>
  <c r="ES302" i="1"/>
  <c r="ES309" i="1"/>
  <c r="ES61" i="1"/>
  <c r="ES253" i="1"/>
  <c r="ES102" i="1"/>
  <c r="ES90" i="1"/>
  <c r="ES12" i="1"/>
  <c r="ES199" i="1"/>
  <c r="ES258" i="1"/>
  <c r="ES232" i="1"/>
  <c r="ES289" i="1"/>
  <c r="ES256" i="1"/>
  <c r="ES22" i="1"/>
  <c r="ES270" i="1"/>
  <c r="ES215" i="1"/>
  <c r="ES30" i="1"/>
  <c r="ES29" i="1"/>
  <c r="ES197" i="1"/>
  <c r="ES194" i="1"/>
  <c r="ES45" i="1"/>
  <c r="ES238" i="1"/>
  <c r="ES49" i="1"/>
  <c r="ES57" i="1"/>
  <c r="ES237" i="1"/>
  <c r="ES305" i="1"/>
  <c r="ES160" i="1"/>
  <c r="ES159" i="1"/>
  <c r="ES65" i="1"/>
  <c r="ES220" i="1"/>
  <c r="ES21" i="1"/>
  <c r="ES259" i="1"/>
  <c r="ES118" i="1"/>
  <c r="ES88" i="1"/>
  <c r="ES310" i="1"/>
  <c r="ES50" i="1"/>
  <c r="ES95" i="1"/>
  <c r="ES286" i="1"/>
  <c r="ES271" i="1"/>
  <c r="ES47" i="1"/>
  <c r="ES283" i="1"/>
  <c r="ES56" i="1"/>
  <c r="ES63" i="1"/>
  <c r="ES51" i="1"/>
  <c r="ES261" i="1"/>
  <c r="ES79" i="1"/>
  <c r="ES93" i="1"/>
  <c r="ES183" i="1"/>
  <c r="ES17" i="1"/>
  <c r="ES267" i="1"/>
  <c r="ES25" i="1"/>
  <c r="ES146" i="1"/>
  <c r="ES206" i="1"/>
  <c r="ES80" i="1"/>
  <c r="ES168" i="1"/>
  <c r="ES111" i="1"/>
  <c r="ES307" i="1"/>
  <c r="ES290" i="1"/>
  <c r="ES55" i="1"/>
  <c r="ES115" i="1"/>
  <c r="ES182" i="1"/>
  <c r="ES308" i="1"/>
  <c r="ES94" i="1"/>
  <c r="ES292" i="1"/>
  <c r="ES221" i="1"/>
  <c r="ES195" i="1"/>
  <c r="ES60" i="1"/>
  <c r="ES46" i="1"/>
  <c r="ES204" i="1"/>
  <c r="ES67" i="1"/>
  <c r="ES203" i="1"/>
  <c r="ES68" i="1"/>
  <c r="ES83" i="1"/>
  <c r="ES266" i="1"/>
  <c r="ES193" i="1"/>
  <c r="ES78" i="1"/>
  <c r="ES116" i="1"/>
  <c r="ES265" i="1"/>
  <c r="ES293" i="1"/>
  <c r="ES205" i="1"/>
  <c r="ES23" i="1"/>
  <c r="ES295" i="1"/>
  <c r="ES18" i="1"/>
  <c r="ES92" i="1"/>
  <c r="ES222" i="1"/>
  <c r="DB307" i="1"/>
  <c r="DB265" i="1"/>
  <c r="EC25" i="1"/>
  <c r="EA25" i="1"/>
  <c r="H45" i="1"/>
  <c r="I44" i="1" s="1"/>
  <c r="DB45" i="1"/>
  <c r="DB255" i="1"/>
  <c r="DB82" i="1"/>
  <c r="H82" i="1"/>
  <c r="I81" i="1" s="1"/>
  <c r="DW197" i="1"/>
  <c r="DW52" i="1"/>
  <c r="EA252" i="1"/>
  <c r="EC252" i="1"/>
  <c r="EM234" i="1"/>
  <c r="FM173" i="1"/>
  <c r="FK173" i="1" s="1"/>
  <c r="FN174" i="1"/>
  <c r="FM174" i="1" s="1"/>
  <c r="FK174" i="1" s="1"/>
  <c r="DO26" i="1"/>
  <c r="DM26" i="1" s="1"/>
  <c r="DP27" i="1"/>
  <c r="DO27" i="1" s="1"/>
  <c r="DM27" i="1" s="1"/>
  <c r="DX240" i="1"/>
  <c r="DZ240" i="1"/>
  <c r="BN262" i="1"/>
  <c r="GB262" i="1" s="1"/>
  <c r="BK263" i="1"/>
  <c r="BN263" i="1" s="1"/>
  <c r="EH261" i="1"/>
  <c r="EH240" i="1"/>
  <c r="EH227" i="1"/>
  <c r="DX105" i="1"/>
  <c r="EA49" i="1"/>
  <c r="EC49" i="1"/>
  <c r="FG112" i="1"/>
  <c r="FE112" i="1" s="1"/>
  <c r="FH113" i="1"/>
  <c r="FG113" i="1" s="1"/>
  <c r="FG173" i="1"/>
  <c r="FE173" i="1" s="1"/>
  <c r="FH174" i="1"/>
  <c r="FG174" i="1" s="1"/>
  <c r="FE174" i="1" s="1"/>
  <c r="EC45" i="1"/>
  <c r="EA45" i="1"/>
  <c r="EC270" i="1"/>
  <c r="EA270" i="1"/>
  <c r="EA168" i="1"/>
  <c r="EC168" i="1"/>
  <c r="DB269" i="1"/>
  <c r="CU228" i="1"/>
  <c r="CT228" i="1" s="1"/>
  <c r="H228" i="1" s="1"/>
  <c r="DB29" i="1"/>
  <c r="FE186" i="1"/>
  <c r="FE297" i="1"/>
  <c r="FE185" i="1"/>
  <c r="FE304" i="1"/>
  <c r="FF304" i="1" s="1"/>
  <c r="FE156" i="1"/>
  <c r="FF156" i="1" s="1"/>
  <c r="FE119" i="1"/>
  <c r="FE233" i="1"/>
  <c r="FE90" i="1"/>
  <c r="FE61" i="1"/>
  <c r="FE252" i="1"/>
  <c r="FF252" i="1" s="1"/>
  <c r="FE289" i="1"/>
  <c r="FF289" i="1" s="1"/>
  <c r="FE194" i="1"/>
  <c r="FE260" i="1"/>
  <c r="FE226" i="1"/>
  <c r="FE12" i="1"/>
  <c r="FE199" i="1"/>
  <c r="FE200" i="1"/>
  <c r="FE22" i="1"/>
  <c r="FE300" i="1"/>
  <c r="FE269" i="1"/>
  <c r="FF269" i="1" s="1"/>
  <c r="FE234" i="1"/>
  <c r="FE258" i="1"/>
  <c r="FE59" i="1"/>
  <c r="FF59" i="1" s="1"/>
  <c r="FE302" i="1"/>
  <c r="FE251" i="1"/>
  <c r="FF251" i="1" s="1"/>
  <c r="FE255" i="1"/>
  <c r="FF255" i="1" s="1"/>
  <c r="FE240" i="1"/>
  <c r="FE70" i="1"/>
  <c r="FE124" i="1"/>
  <c r="FE215" i="1"/>
  <c r="FE16" i="1"/>
  <c r="FE57" i="1"/>
  <c r="FE270" i="1"/>
  <c r="FF270" i="1" s="1"/>
  <c r="FE72" i="1"/>
  <c r="FF72" i="1" s="1"/>
  <c r="FE125" i="1"/>
  <c r="FE284" i="1"/>
  <c r="FE49" i="1"/>
  <c r="FF49" i="1" s="1"/>
  <c r="FE301" i="1"/>
  <c r="FE239" i="1"/>
  <c r="FE84" i="1"/>
  <c r="FE64" i="1"/>
  <c r="FE36" i="1"/>
  <c r="FE309" i="1"/>
  <c r="FF309" i="1" s="1"/>
  <c r="FE123" i="1"/>
  <c r="FF123" i="1" s="1"/>
  <c r="FE253" i="1"/>
  <c r="FE89" i="1"/>
  <c r="FE256" i="1"/>
  <c r="FF256" i="1" s="1"/>
  <c r="FE227" i="1"/>
  <c r="FE52" i="1"/>
  <c r="FE85" i="1"/>
  <c r="FE225" i="1"/>
  <c r="FE272" i="1"/>
  <c r="FF272" i="1" s="1"/>
  <c r="FE29" i="1"/>
  <c r="FF29" i="1" s="1"/>
  <c r="FE232" i="1"/>
  <c r="FE126" i="1"/>
  <c r="FE311" i="1"/>
  <c r="FE231" i="1"/>
  <c r="FF231" i="1" s="1"/>
  <c r="FE197" i="1"/>
  <c r="FE238" i="1"/>
  <c r="FE102" i="1"/>
  <c r="FF102" i="1" s="1"/>
  <c r="FE30" i="1"/>
  <c r="FE37" i="1"/>
  <c r="FE237" i="1"/>
  <c r="FE45" i="1"/>
  <c r="FF45" i="1" s="1"/>
  <c r="FF7" i="1"/>
  <c r="FE82" i="1"/>
  <c r="FF82" i="1" s="1"/>
  <c r="FE196" i="1"/>
  <c r="FE160" i="1"/>
  <c r="FE157" i="1"/>
  <c r="FF157" i="1" s="1"/>
  <c r="FE305" i="1"/>
  <c r="FE159" i="1"/>
  <c r="FE47" i="1"/>
  <c r="FE205" i="1"/>
  <c r="FE183" i="1"/>
  <c r="FE182" i="1"/>
  <c r="FE60" i="1"/>
  <c r="FE46" i="1"/>
  <c r="FE93" i="1"/>
  <c r="FE88" i="1"/>
  <c r="FF88" i="1" s="1"/>
  <c r="FE25" i="1"/>
  <c r="FF25" i="1" s="1"/>
  <c r="FE195" i="1"/>
  <c r="FE23" i="1"/>
  <c r="FE118" i="1"/>
  <c r="FE193" i="1"/>
  <c r="FE283" i="1"/>
  <c r="FF283" i="1" s="1"/>
  <c r="FE78" i="1"/>
  <c r="FF78" i="1" s="1"/>
  <c r="FE203" i="1"/>
  <c r="FF203" i="1" s="1"/>
  <c r="FE271" i="1"/>
  <c r="FF271" i="1" s="1"/>
  <c r="FE51" i="1"/>
  <c r="FE83" i="1"/>
  <c r="FE204" i="1"/>
  <c r="FF204" i="1" s="1"/>
  <c r="FE17" i="1"/>
  <c r="FE265" i="1"/>
  <c r="FF265" i="1" s="1"/>
  <c r="FE65" i="1"/>
  <c r="FE220" i="1"/>
  <c r="FE286" i="1"/>
  <c r="FF286" i="1" s="1"/>
  <c r="FE307" i="1"/>
  <c r="FE80" i="1"/>
  <c r="FE292" i="1"/>
  <c r="FE68" i="1"/>
  <c r="FE21" i="1"/>
  <c r="FF21" i="1" s="1"/>
  <c r="FE168" i="1"/>
  <c r="FF168" i="1" s="1"/>
  <c r="FE111" i="1"/>
  <c r="FE266" i="1"/>
  <c r="FE56" i="1"/>
  <c r="FE267" i="1"/>
  <c r="FE13" i="1"/>
  <c r="FE308" i="1"/>
  <c r="FF308" i="1" s="1"/>
  <c r="FE67" i="1"/>
  <c r="FE310" i="1"/>
  <c r="FE295" i="1"/>
  <c r="FE94" i="1"/>
  <c r="FE92" i="1"/>
  <c r="FF92" i="1" s="1"/>
  <c r="FE115" i="1"/>
  <c r="FF115" i="1" s="1"/>
  <c r="FE50" i="1"/>
  <c r="FE116" i="1"/>
  <c r="FE146" i="1"/>
  <c r="FF146" i="1" s="1"/>
  <c r="FE206" i="1"/>
  <c r="FE221" i="1"/>
  <c r="FE290" i="1"/>
  <c r="FE18" i="1"/>
  <c r="FE55" i="1"/>
  <c r="FE261" i="1"/>
  <c r="FE259" i="1"/>
  <c r="FF259" i="1" s="1"/>
  <c r="FE63" i="1"/>
  <c r="FE293" i="1"/>
  <c r="FE79" i="1"/>
  <c r="FE95" i="1"/>
  <c r="FE222" i="1"/>
  <c r="DO173" i="1"/>
  <c r="DM173" i="1" s="1"/>
  <c r="DP174" i="1"/>
  <c r="DO174" i="1" s="1"/>
  <c r="DM174" i="1" s="1"/>
  <c r="DB283" i="1"/>
  <c r="DB292" i="1"/>
  <c r="DB300" i="1"/>
  <c r="EA289" i="1"/>
  <c r="EC289" i="1"/>
  <c r="H92" i="1"/>
  <c r="I91" i="1" s="1"/>
  <c r="DB92" i="1"/>
  <c r="AN108" i="1"/>
  <c r="AO107" i="1"/>
  <c r="DW222" i="1"/>
  <c r="CU222" i="1"/>
  <c r="CT222" i="1" s="1"/>
  <c r="H222" i="1" s="1"/>
  <c r="EB52" i="1"/>
  <c r="EO26" i="1"/>
  <c r="DO165" i="1"/>
  <c r="DM165" i="1" s="1"/>
  <c r="DP166" i="1"/>
  <c r="DO166" i="1" s="1"/>
  <c r="DM166" i="1" s="1"/>
  <c r="EC78" i="1"/>
  <c r="EA78" i="1"/>
  <c r="DB237" i="1"/>
  <c r="EA157" i="1"/>
  <c r="EC157" i="1"/>
  <c r="FT176" i="1"/>
  <c r="FR176" i="1" s="1"/>
  <c r="FU177" i="1"/>
  <c r="FT177" i="1" s="1"/>
  <c r="FR177" i="1" s="1"/>
  <c r="EH234" i="1"/>
  <c r="FT130" i="1"/>
  <c r="FR130" i="1" s="1"/>
  <c r="FU131" i="1"/>
  <c r="FT131" i="1" s="1"/>
  <c r="FR131" i="1" s="1"/>
  <c r="H21" i="1"/>
  <c r="I20" i="1" s="1"/>
  <c r="DB21" i="1"/>
  <c r="DX52" i="1"/>
  <c r="DZ52" i="1"/>
  <c r="EA102" i="1"/>
  <c r="EC102" i="1"/>
  <c r="H12" i="1"/>
  <c r="I11" i="1" s="1"/>
  <c r="DB12" i="1"/>
  <c r="DB182" i="1"/>
  <c r="DZ235" i="1"/>
  <c r="DX235" i="1"/>
  <c r="EU112" i="1"/>
  <c r="EU147" i="1" s="1"/>
  <c r="EU148" i="1" s="1"/>
  <c r="DB55" i="1"/>
  <c r="H55" i="1"/>
  <c r="I54" i="1" s="1"/>
  <c r="EA304" i="1"/>
  <c r="EC304" i="1"/>
  <c r="EA123" i="1"/>
  <c r="EC123" i="1"/>
  <c r="DB168" i="1"/>
  <c r="DB295" i="1"/>
  <c r="DB146" i="1"/>
  <c r="DB231" i="1"/>
  <c r="FG130" i="1"/>
  <c r="FE130" i="1" s="1"/>
  <c r="FH131" i="1"/>
  <c r="FG131" i="1" s="1"/>
  <c r="FE131" i="1" s="1"/>
  <c r="FK297" i="1"/>
  <c r="FK185" i="1"/>
  <c r="FK304" i="1"/>
  <c r="FL304" i="1" s="1"/>
  <c r="FK186" i="1"/>
  <c r="FK302" i="1"/>
  <c r="FK238" i="1"/>
  <c r="FK269" i="1"/>
  <c r="FL269" i="1" s="1"/>
  <c r="FK270" i="1"/>
  <c r="FL270" i="1" s="1"/>
  <c r="FK309" i="1"/>
  <c r="FL309" i="1" s="1"/>
  <c r="FK59" i="1"/>
  <c r="FL59" i="1" s="1"/>
  <c r="FK300" i="1"/>
  <c r="FL7" i="1"/>
  <c r="FK252" i="1"/>
  <c r="FL252" i="1" s="1"/>
  <c r="FK49" i="1"/>
  <c r="FL49" i="1" s="1"/>
  <c r="FK57" i="1"/>
  <c r="FK84" i="1"/>
  <c r="FK119" i="1"/>
  <c r="FK16" i="1"/>
  <c r="FK231" i="1"/>
  <c r="FL231" i="1" s="1"/>
  <c r="FK226" i="1"/>
  <c r="FK225" i="1"/>
  <c r="FK258" i="1"/>
  <c r="FK289" i="1"/>
  <c r="FL289" i="1" s="1"/>
  <c r="FK253" i="1"/>
  <c r="FK311" i="1"/>
  <c r="FK102" i="1"/>
  <c r="FL102" i="1" s="1"/>
  <c r="FK36" i="1"/>
  <c r="FK12" i="1"/>
  <c r="FK30" i="1"/>
  <c r="FK22" i="1"/>
  <c r="FK234" i="1"/>
  <c r="FK64" i="1"/>
  <c r="FK126" i="1"/>
  <c r="FK82" i="1"/>
  <c r="FL82" i="1" s="1"/>
  <c r="FK301" i="1"/>
  <c r="FK256" i="1"/>
  <c r="FL256" i="1" s="1"/>
  <c r="FK89" i="1"/>
  <c r="FK61" i="1"/>
  <c r="FK29" i="1"/>
  <c r="FL29" i="1" s="1"/>
  <c r="FK45" i="1"/>
  <c r="FL45" i="1" s="1"/>
  <c r="FK196" i="1"/>
  <c r="FK194" i="1"/>
  <c r="FK96" i="1"/>
  <c r="FK125" i="1"/>
  <c r="FK123" i="1"/>
  <c r="FL123" i="1" s="1"/>
  <c r="FK232" i="1"/>
  <c r="FK37" i="1"/>
  <c r="FK52" i="1"/>
  <c r="FK199" i="1"/>
  <c r="FK197" i="1"/>
  <c r="FK124" i="1"/>
  <c r="FK90" i="1"/>
  <c r="FK251" i="1"/>
  <c r="FL251" i="1" s="1"/>
  <c r="FK240" i="1"/>
  <c r="FK85" i="1"/>
  <c r="FK237" i="1"/>
  <c r="FK200" i="1"/>
  <c r="FK284" i="1"/>
  <c r="FK239" i="1"/>
  <c r="FK227" i="1"/>
  <c r="FK255" i="1"/>
  <c r="FL255" i="1" s="1"/>
  <c r="FK72" i="1"/>
  <c r="FL72" i="1" s="1"/>
  <c r="FK215" i="1"/>
  <c r="FK70" i="1"/>
  <c r="FK272" i="1"/>
  <c r="FL272" i="1" s="1"/>
  <c r="FK233" i="1"/>
  <c r="FK260" i="1"/>
  <c r="FK305" i="1"/>
  <c r="FK156" i="1"/>
  <c r="FL156" i="1" s="1"/>
  <c r="FK160" i="1"/>
  <c r="FK157" i="1"/>
  <c r="FL157" i="1" s="1"/>
  <c r="FK159" i="1"/>
  <c r="FK23" i="1"/>
  <c r="FK266" i="1"/>
  <c r="FK221" i="1"/>
  <c r="FK293" i="1"/>
  <c r="FK307" i="1"/>
  <c r="FK295" i="1"/>
  <c r="FK80" i="1"/>
  <c r="FK17" i="1"/>
  <c r="FK193" i="1"/>
  <c r="FK92" i="1"/>
  <c r="FL92" i="1" s="1"/>
  <c r="FK206" i="1"/>
  <c r="FK83" i="1"/>
  <c r="FK67" i="1"/>
  <c r="FK88" i="1"/>
  <c r="FL88" i="1" s="1"/>
  <c r="FK50" i="1"/>
  <c r="FK204" i="1"/>
  <c r="FL204" i="1" s="1"/>
  <c r="FK94" i="1"/>
  <c r="FK56" i="1"/>
  <c r="FK265" i="1"/>
  <c r="FL265" i="1" s="1"/>
  <c r="FK95" i="1"/>
  <c r="FK21" i="1"/>
  <c r="FL21" i="1" s="1"/>
  <c r="FK182" i="1"/>
  <c r="FK146" i="1"/>
  <c r="FL146" i="1" s="1"/>
  <c r="FK118" i="1"/>
  <c r="FK47" i="1"/>
  <c r="FK292" i="1"/>
  <c r="FK283" i="1"/>
  <c r="FL283" i="1" s="1"/>
  <c r="FK290" i="1"/>
  <c r="FK203" i="1"/>
  <c r="FL203" i="1" s="1"/>
  <c r="FK51" i="1"/>
  <c r="FK65" i="1"/>
  <c r="FK220" i="1"/>
  <c r="FK168" i="1"/>
  <c r="FL168" i="1" s="1"/>
  <c r="FK46" i="1"/>
  <c r="FK183" i="1"/>
  <c r="FK68" i="1"/>
  <c r="FK93" i="1"/>
  <c r="FK63" i="1"/>
  <c r="FK116" i="1"/>
  <c r="FK261" i="1"/>
  <c r="FK308" i="1"/>
  <c r="FL308" i="1" s="1"/>
  <c r="FK115" i="1"/>
  <c r="FL115" i="1" s="1"/>
  <c r="FK111" i="1"/>
  <c r="FK271" i="1"/>
  <c r="FL271" i="1" s="1"/>
  <c r="FK79" i="1"/>
  <c r="FK78" i="1"/>
  <c r="FL78" i="1" s="1"/>
  <c r="FK25" i="1"/>
  <c r="FL25" i="1" s="1"/>
  <c r="FK286" i="1"/>
  <c r="FL286" i="1" s="1"/>
  <c r="FK310" i="1"/>
  <c r="FK18" i="1"/>
  <c r="FK259" i="1"/>
  <c r="FL259" i="1" s="1"/>
  <c r="FK60" i="1"/>
  <c r="FK195" i="1"/>
  <c r="FK55" i="1"/>
  <c r="FK205" i="1"/>
  <c r="FK267" i="1"/>
  <c r="FK222" i="1"/>
  <c r="DJ241" i="1"/>
  <c r="DK241" i="1" s="1"/>
  <c r="DW241" i="1" s="1"/>
  <c r="DU241" i="1"/>
  <c r="DI241" i="1"/>
  <c r="EH197" i="1"/>
  <c r="DB304" i="1"/>
  <c r="DB224" i="1"/>
  <c r="EC269" i="1"/>
  <c r="EA269" i="1"/>
  <c r="EC88" i="1"/>
  <c r="EA88" i="1"/>
  <c r="EM197" i="1"/>
  <c r="DJ228" i="1"/>
  <c r="DK228" i="1" s="1"/>
  <c r="FE228" i="1" s="1"/>
  <c r="DU228" i="1"/>
  <c r="DI228" i="1"/>
  <c r="FM26" i="1"/>
  <c r="FK26" i="1" s="1"/>
  <c r="FN27" i="1"/>
  <c r="FM27" i="1" s="1"/>
  <c r="FK27" i="1" s="1"/>
  <c r="FA176" i="1"/>
  <c r="EY176" i="1" s="1"/>
  <c r="FB177" i="1"/>
  <c r="FA177" i="1" s="1"/>
  <c r="EY177" i="1" s="1"/>
  <c r="FA130" i="1"/>
  <c r="EY130" i="1" s="1"/>
  <c r="FB131" i="1"/>
  <c r="FA131" i="1" s="1"/>
  <c r="EY131" i="1" s="1"/>
  <c r="DM159" i="1"/>
  <c r="DM186" i="1"/>
  <c r="DM304" i="1"/>
  <c r="DN304" i="1" s="1"/>
  <c r="DM297" i="1"/>
  <c r="DM185" i="1"/>
  <c r="DM197" i="1"/>
  <c r="DM289" i="1"/>
  <c r="DN289" i="1" s="1"/>
  <c r="DM125" i="1"/>
  <c r="DM59" i="1"/>
  <c r="DN59" i="1" s="1"/>
  <c r="DM124" i="1"/>
  <c r="DM311" i="1"/>
  <c r="DM227" i="1"/>
  <c r="DM258" i="1"/>
  <c r="DM270" i="1"/>
  <c r="DN270" i="1" s="1"/>
  <c r="DM253" i="1"/>
  <c r="DM225" i="1"/>
  <c r="DM237" i="1"/>
  <c r="DM215" i="1"/>
  <c r="DM232" i="1"/>
  <c r="DM37" i="1"/>
  <c r="DM12" i="1"/>
  <c r="DM89" i="1"/>
  <c r="DM269" i="1"/>
  <c r="DN269" i="1" s="1"/>
  <c r="DM284" i="1"/>
  <c r="DM84" i="1"/>
  <c r="DM234" i="1"/>
  <c r="DM309" i="1"/>
  <c r="DN309" i="1" s="1"/>
  <c r="DM16" i="1"/>
  <c r="DM52" i="1"/>
  <c r="DM256" i="1"/>
  <c r="DN256" i="1" s="1"/>
  <c r="DM30" i="1"/>
  <c r="DM102" i="1"/>
  <c r="DN102" i="1" s="1"/>
  <c r="DM300" i="1"/>
  <c r="DM96" i="1"/>
  <c r="DM126" i="1"/>
  <c r="DN7" i="1"/>
  <c r="DM226" i="1"/>
  <c r="DM224" i="1"/>
  <c r="DM199" i="1"/>
  <c r="DM302" i="1"/>
  <c r="DM239" i="1"/>
  <c r="DM252" i="1"/>
  <c r="DN252" i="1" s="1"/>
  <c r="DM45" i="1"/>
  <c r="DN45" i="1" s="1"/>
  <c r="DM123" i="1"/>
  <c r="DN123" i="1" s="1"/>
  <c r="DM200" i="1"/>
  <c r="DM22" i="1"/>
  <c r="DM301" i="1"/>
  <c r="DM72" i="1"/>
  <c r="DN72" i="1" s="1"/>
  <c r="DM233" i="1"/>
  <c r="DM272" i="1"/>
  <c r="DN272" i="1" s="1"/>
  <c r="DM240" i="1"/>
  <c r="DM196" i="1"/>
  <c r="DM255" i="1"/>
  <c r="DN255" i="1" s="1"/>
  <c r="DM251" i="1"/>
  <c r="DN251" i="1" s="1"/>
  <c r="DM57" i="1"/>
  <c r="DM70" i="1"/>
  <c r="DM82" i="1"/>
  <c r="DN82" i="1" s="1"/>
  <c r="DM64" i="1"/>
  <c r="DM194" i="1"/>
  <c r="DM260" i="1"/>
  <c r="DM231" i="1"/>
  <c r="DN231" i="1" s="1"/>
  <c r="DM49" i="1"/>
  <c r="DN49" i="1" s="1"/>
  <c r="DM36" i="1"/>
  <c r="DM29" i="1"/>
  <c r="DN29" i="1" s="1"/>
  <c r="DM90" i="1"/>
  <c r="DM61" i="1"/>
  <c r="DM238" i="1"/>
  <c r="DM157" i="1"/>
  <c r="DN157" i="1" s="1"/>
  <c r="DM305" i="1"/>
  <c r="DM160" i="1"/>
  <c r="DM156" i="1"/>
  <c r="DN156" i="1" s="1"/>
  <c r="DM182" i="1"/>
  <c r="DM111" i="1"/>
  <c r="DM271" i="1"/>
  <c r="DN271" i="1" s="1"/>
  <c r="DM93" i="1"/>
  <c r="DM67" i="1"/>
  <c r="DM168" i="1"/>
  <c r="DN168" i="1" s="1"/>
  <c r="DM183" i="1"/>
  <c r="DM259" i="1"/>
  <c r="DN259" i="1" s="1"/>
  <c r="DM88" i="1"/>
  <c r="DN88" i="1" s="1"/>
  <c r="DM80" i="1"/>
  <c r="DM17" i="1"/>
  <c r="DM293" i="1"/>
  <c r="DM25" i="1"/>
  <c r="DN25" i="1" s="1"/>
  <c r="DM56" i="1"/>
  <c r="DM63" i="1"/>
  <c r="DM115" i="1"/>
  <c r="DN115" i="1" s="1"/>
  <c r="DM267" i="1"/>
  <c r="DM23" i="1"/>
  <c r="DM55" i="1"/>
  <c r="DM261" i="1"/>
  <c r="DM94" i="1"/>
  <c r="DM92" i="1"/>
  <c r="DN92" i="1" s="1"/>
  <c r="DM60" i="1"/>
  <c r="DM79" i="1"/>
  <c r="DM310" i="1"/>
  <c r="DM221" i="1"/>
  <c r="DM204" i="1"/>
  <c r="DN204" i="1" s="1"/>
  <c r="DM193" i="1"/>
  <c r="DM50" i="1"/>
  <c r="DM116" i="1"/>
  <c r="DM220" i="1"/>
  <c r="DM83" i="1"/>
  <c r="DM118" i="1"/>
  <c r="DM283" i="1"/>
  <c r="DN283" i="1" s="1"/>
  <c r="DM290" i="1"/>
  <c r="DM21" i="1"/>
  <c r="DN21" i="1" s="1"/>
  <c r="DM307" i="1"/>
  <c r="DM47" i="1"/>
  <c r="DM65" i="1"/>
  <c r="DM95" i="1"/>
  <c r="DM146" i="1"/>
  <c r="DN146" i="1" s="1"/>
  <c r="DM308" i="1"/>
  <c r="DN308" i="1" s="1"/>
  <c r="DM295" i="1"/>
  <c r="DM78" i="1"/>
  <c r="DN78" i="1" s="1"/>
  <c r="DM265" i="1"/>
  <c r="DN265" i="1" s="1"/>
  <c r="DM68" i="1"/>
  <c r="DM292" i="1"/>
  <c r="DM203" i="1"/>
  <c r="DN203" i="1" s="1"/>
  <c r="DM195" i="1"/>
  <c r="DM18" i="1"/>
  <c r="DM51" i="1"/>
  <c r="DM266" i="1"/>
  <c r="DM286" i="1"/>
  <c r="DN286" i="1" s="1"/>
  <c r="DM46" i="1"/>
  <c r="DM206" i="1"/>
  <c r="DM205" i="1"/>
  <c r="DM222" i="1"/>
  <c r="EA308" i="1"/>
  <c r="EC308" i="1"/>
  <c r="DB67" i="1"/>
  <c r="H67" i="1"/>
  <c r="I66" i="1" s="1"/>
  <c r="I5" i="8" s="1"/>
  <c r="EC255" i="1"/>
  <c r="EA255" i="1"/>
  <c r="EA92" i="1"/>
  <c r="EC92" i="1"/>
  <c r="DB185" i="1"/>
  <c r="FA173" i="1"/>
  <c r="EY173" i="1" s="1"/>
  <c r="FB174" i="1"/>
  <c r="FA174" i="1" s="1"/>
  <c r="EY174" i="1" s="1"/>
  <c r="DX197" i="1"/>
  <c r="DZ197" i="1"/>
  <c r="FR157" i="1"/>
  <c r="FS157" i="1" s="1"/>
  <c r="FR305" i="1"/>
  <c r="FR186" i="1"/>
  <c r="FR304" i="1"/>
  <c r="FS304" i="1" s="1"/>
  <c r="FR297" i="1"/>
  <c r="FR185" i="1"/>
  <c r="FR301" i="1"/>
  <c r="FR234" i="1"/>
  <c r="FR89" i="1"/>
  <c r="FR251" i="1"/>
  <c r="FS251" i="1" s="1"/>
  <c r="FR272" i="1"/>
  <c r="FS272" i="1" s="1"/>
  <c r="FR36" i="1"/>
  <c r="FR59" i="1"/>
  <c r="FS59" i="1" s="1"/>
  <c r="FR309" i="1"/>
  <c r="FS309" i="1" s="1"/>
  <c r="FR199" i="1"/>
  <c r="FR196" i="1"/>
  <c r="FR61" i="1"/>
  <c r="FS7" i="1"/>
  <c r="FR200" i="1"/>
  <c r="FR300" i="1"/>
  <c r="FR270" i="1"/>
  <c r="FS270" i="1" s="1"/>
  <c r="FR253" i="1"/>
  <c r="FR70" i="1"/>
  <c r="FR260" i="1"/>
  <c r="FR82" i="1"/>
  <c r="FS82" i="1" s="1"/>
  <c r="FR102" i="1"/>
  <c r="FS102" i="1" s="1"/>
  <c r="FR194" i="1"/>
  <c r="FR302" i="1"/>
  <c r="FR289" i="1"/>
  <c r="FS289" i="1" s="1"/>
  <c r="FR37" i="1"/>
  <c r="FR12" i="1"/>
  <c r="FR16" i="1"/>
  <c r="FR125" i="1"/>
  <c r="FR284" i="1"/>
  <c r="FR311" i="1"/>
  <c r="FR57" i="1"/>
  <c r="FR269" i="1"/>
  <c r="FS269" i="1" s="1"/>
  <c r="FR52" i="1"/>
  <c r="FR64" i="1"/>
  <c r="FR85" i="1"/>
  <c r="FR119" i="1"/>
  <c r="FR237" i="1"/>
  <c r="FR30" i="1"/>
  <c r="FR126" i="1"/>
  <c r="FR258" i="1"/>
  <c r="FR239" i="1"/>
  <c r="FR123" i="1"/>
  <c r="FS123" i="1" s="1"/>
  <c r="FR227" i="1"/>
  <c r="FR84" i="1"/>
  <c r="FR226" i="1"/>
  <c r="FR49" i="1"/>
  <c r="FS49" i="1" s="1"/>
  <c r="FR231" i="1"/>
  <c r="FS231" i="1" s="1"/>
  <c r="FR238" i="1"/>
  <c r="FR233" i="1"/>
  <c r="FR124" i="1"/>
  <c r="FR255" i="1"/>
  <c r="FS255" i="1" s="1"/>
  <c r="FR45" i="1"/>
  <c r="FS45" i="1" s="1"/>
  <c r="FR29" i="1"/>
  <c r="FS29" i="1" s="1"/>
  <c r="FR72" i="1"/>
  <c r="FS72" i="1" s="1"/>
  <c r="FR256" i="1"/>
  <c r="FS256" i="1" s="1"/>
  <c r="FR232" i="1"/>
  <c r="FR90" i="1"/>
  <c r="FR225" i="1"/>
  <c r="FR240" i="1"/>
  <c r="FR215" i="1"/>
  <c r="FR252" i="1"/>
  <c r="FS252" i="1" s="1"/>
  <c r="FR22" i="1"/>
  <c r="FR197" i="1"/>
  <c r="FR156" i="1"/>
  <c r="FS156" i="1" s="1"/>
  <c r="FR160" i="1"/>
  <c r="FR159" i="1"/>
  <c r="FR146" i="1"/>
  <c r="FS146" i="1" s="1"/>
  <c r="FR46" i="1"/>
  <c r="FR79" i="1"/>
  <c r="FR307" i="1"/>
  <c r="FR83" i="1"/>
  <c r="FR293" i="1"/>
  <c r="FR116" i="1"/>
  <c r="FR220" i="1"/>
  <c r="FR182" i="1"/>
  <c r="FR308" i="1"/>
  <c r="FS308" i="1" s="1"/>
  <c r="FR94" i="1"/>
  <c r="FR50" i="1"/>
  <c r="FR55" i="1"/>
  <c r="FR286" i="1"/>
  <c r="FS286" i="1" s="1"/>
  <c r="FR271" i="1"/>
  <c r="FS271" i="1" s="1"/>
  <c r="FR295" i="1"/>
  <c r="FR290" i="1"/>
  <c r="FR261" i="1"/>
  <c r="FR168" i="1"/>
  <c r="FS168" i="1" s="1"/>
  <c r="FR292" i="1"/>
  <c r="FR18" i="1"/>
  <c r="FR68" i="1"/>
  <c r="FR259" i="1"/>
  <c r="FS259" i="1" s="1"/>
  <c r="FR60" i="1"/>
  <c r="FR310" i="1"/>
  <c r="FR25" i="1"/>
  <c r="FS25" i="1" s="1"/>
  <c r="FR195" i="1"/>
  <c r="FR118" i="1"/>
  <c r="FR266" i="1"/>
  <c r="FR80" i="1"/>
  <c r="FR47" i="1"/>
  <c r="FR17" i="1"/>
  <c r="FR115" i="1"/>
  <c r="FS115" i="1" s="1"/>
  <c r="FR95" i="1"/>
  <c r="FR111" i="1"/>
  <c r="FR203" i="1"/>
  <c r="FS203" i="1" s="1"/>
  <c r="FR51" i="1"/>
  <c r="FR67" i="1"/>
  <c r="FR88" i="1"/>
  <c r="FS88" i="1" s="1"/>
  <c r="FR92" i="1"/>
  <c r="FS92" i="1" s="1"/>
  <c r="FR78" i="1"/>
  <c r="FS78" i="1" s="1"/>
  <c r="FR183" i="1"/>
  <c r="FR65" i="1"/>
  <c r="FR206" i="1"/>
  <c r="FR93" i="1"/>
  <c r="FR193" i="1"/>
  <c r="FR221" i="1"/>
  <c r="FR23" i="1"/>
  <c r="FR204" i="1"/>
  <c r="FS204" i="1" s="1"/>
  <c r="FR283" i="1"/>
  <c r="FS283" i="1" s="1"/>
  <c r="FR265" i="1"/>
  <c r="FS265" i="1" s="1"/>
  <c r="FR267" i="1"/>
  <c r="FR205" i="1"/>
  <c r="FR21" i="1"/>
  <c r="FS21" i="1" s="1"/>
  <c r="FR63" i="1"/>
  <c r="FR56" i="1"/>
  <c r="FR222" i="1"/>
  <c r="FM165" i="1"/>
  <c r="FK165" i="1" s="1"/>
  <c r="FN166" i="1"/>
  <c r="FM166" i="1" s="1"/>
  <c r="FK166" i="1" s="1"/>
  <c r="EA259" i="1"/>
  <c r="EC259" i="1"/>
  <c r="H16" i="1"/>
  <c r="I15" i="1" s="1"/>
  <c r="DB16" i="1"/>
  <c r="EC156" i="1"/>
  <c r="EA156" i="1"/>
  <c r="H36" i="1"/>
  <c r="I35" i="1" s="1"/>
  <c r="DB36" i="1"/>
  <c r="DB88" i="1"/>
  <c r="H88" i="1"/>
  <c r="I87" i="1" s="1"/>
  <c r="EA256" i="1"/>
  <c r="EC256" i="1"/>
  <c r="EC72" i="1"/>
  <c r="EA72" i="1"/>
  <c r="EA59" i="1"/>
  <c r="EC59" i="1"/>
  <c r="DB258" i="1"/>
  <c r="EC265" i="1"/>
  <c r="EA265" i="1"/>
  <c r="EM52" i="1"/>
  <c r="DI121" i="1"/>
  <c r="DU121" i="1"/>
  <c r="DJ121" i="1"/>
  <c r="DK121" i="1" s="1"/>
  <c r="FT26" i="1"/>
  <c r="FR26" i="1" s="1"/>
  <c r="FU27" i="1"/>
  <c r="FT27" i="1" s="1"/>
  <c r="FR27" i="1" s="1"/>
  <c r="EB26" i="1"/>
  <c r="DO112" i="1"/>
  <c r="DM112" i="1" s="1"/>
  <c r="DP113" i="1"/>
  <c r="EA286" i="1"/>
  <c r="EC286" i="1"/>
  <c r="EC115" i="1"/>
  <c r="EA115" i="1"/>
  <c r="DB270" i="1"/>
  <c r="DB123" i="1"/>
  <c r="CU235" i="1"/>
  <c r="CT235" i="1" s="1"/>
  <c r="H235" i="1" s="1"/>
  <c r="EC21" i="1"/>
  <c r="EA21" i="1"/>
  <c r="EY305" i="1"/>
  <c r="EY304" i="1"/>
  <c r="EY186" i="1"/>
  <c r="EY297" i="1"/>
  <c r="EY185" i="1"/>
  <c r="EY253" i="1"/>
  <c r="EY227" i="1"/>
  <c r="EY45" i="1"/>
  <c r="EY231" i="1"/>
  <c r="EY64" i="1"/>
  <c r="EY124" i="1"/>
  <c r="EY240" i="1"/>
  <c r="EY123" i="1"/>
  <c r="EY199" i="1"/>
  <c r="EY200" i="1"/>
  <c r="EY301" i="1"/>
  <c r="EY233" i="1"/>
  <c r="EY272" i="1"/>
  <c r="EY102" i="1"/>
  <c r="EY196" i="1"/>
  <c r="EY72" i="1"/>
  <c r="EY252" i="1"/>
  <c r="EY126" i="1"/>
  <c r="EY84" i="1"/>
  <c r="EY197" i="1"/>
  <c r="EY215" i="1"/>
  <c r="EY270" i="1"/>
  <c r="EY284" i="1"/>
  <c r="EY85" i="1"/>
  <c r="EY59" i="1"/>
  <c r="EY22" i="1"/>
  <c r="EY238" i="1"/>
  <c r="EY125" i="1"/>
  <c r="EY302" i="1"/>
  <c r="EY300" i="1"/>
  <c r="EY234" i="1"/>
  <c r="EY30" i="1"/>
  <c r="EY225" i="1"/>
  <c r="EY237" i="1"/>
  <c r="EY36" i="1"/>
  <c r="EY119" i="1"/>
  <c r="EY232" i="1"/>
  <c r="EY61" i="1"/>
  <c r="EY289" i="1"/>
  <c r="EY70" i="1"/>
  <c r="EY226" i="1"/>
  <c r="EY89" i="1"/>
  <c r="EY269" i="1"/>
  <c r="EY311" i="1"/>
  <c r="EY16" i="1"/>
  <c r="EY49" i="1"/>
  <c r="EY258" i="1"/>
  <c r="EY82" i="1"/>
  <c r="EY29" i="1"/>
  <c r="EY251" i="1"/>
  <c r="EY256" i="1"/>
  <c r="EY309" i="1"/>
  <c r="EY96" i="1"/>
  <c r="EY57" i="1"/>
  <c r="EY239" i="1"/>
  <c r="EY255" i="1"/>
  <c r="EY260" i="1"/>
  <c r="EY12" i="1"/>
  <c r="EY90" i="1"/>
  <c r="EY194" i="1"/>
  <c r="EY52" i="1"/>
  <c r="EY37" i="1"/>
  <c r="EY157" i="1"/>
  <c r="EY160" i="1"/>
  <c r="EY159" i="1"/>
  <c r="EY156" i="1"/>
  <c r="EY295" i="1"/>
  <c r="EY283" i="1"/>
  <c r="EY51" i="1"/>
  <c r="EY261" i="1"/>
  <c r="EY221" i="1"/>
  <c r="EY18" i="1"/>
  <c r="EY259" i="1"/>
  <c r="EY308" i="1"/>
  <c r="EY266" i="1"/>
  <c r="EY17" i="1"/>
  <c r="EY220" i="1"/>
  <c r="EY55" i="1"/>
  <c r="EY193" i="1"/>
  <c r="EY23" i="1"/>
  <c r="EY286" i="1"/>
  <c r="EY182" i="1"/>
  <c r="EY271" i="1"/>
  <c r="EY292" i="1"/>
  <c r="EY116" i="1"/>
  <c r="EY205" i="1"/>
  <c r="EY183" i="1"/>
  <c r="EY95" i="1"/>
  <c r="EY310" i="1"/>
  <c r="EY293" i="1"/>
  <c r="EY78" i="1"/>
  <c r="EY204" i="1"/>
  <c r="EY290" i="1"/>
  <c r="EY56" i="1"/>
  <c r="EY265" i="1"/>
  <c r="EY93" i="1"/>
  <c r="EY67" i="1"/>
  <c r="EY115" i="1"/>
  <c r="EY203" i="1"/>
  <c r="EY21" i="1"/>
  <c r="EY168" i="1"/>
  <c r="EY47" i="1"/>
  <c r="EY267" i="1"/>
  <c r="EY65" i="1"/>
  <c r="EY146" i="1"/>
  <c r="EY46" i="1"/>
  <c r="EY79" i="1"/>
  <c r="EY63" i="1"/>
  <c r="EY68" i="1"/>
  <c r="EY111" i="1"/>
  <c r="EY60" i="1"/>
  <c r="EY206" i="1"/>
  <c r="EY83" i="1"/>
  <c r="EY80" i="1"/>
  <c r="EY92" i="1"/>
  <c r="EY88" i="1"/>
  <c r="EY25" i="1"/>
  <c r="EY307" i="1"/>
  <c r="EY195" i="1"/>
  <c r="EY94" i="1"/>
  <c r="EY50" i="1"/>
  <c r="EY118" i="1"/>
  <c r="EY222" i="1"/>
  <c r="FT112" i="1"/>
  <c r="FR112" i="1" s="1"/>
  <c r="FU113" i="1"/>
  <c r="DB297" i="1"/>
  <c r="EC146" i="1"/>
  <c r="EA146" i="1"/>
  <c r="EC271" i="1"/>
  <c r="EA271" i="1"/>
  <c r="FM130" i="1"/>
  <c r="FK130" i="1" s="1"/>
  <c r="FN131" i="1"/>
  <c r="FM131" i="1" s="1"/>
  <c r="FK131" i="1" s="1"/>
  <c r="DZ234" i="1"/>
  <c r="DX234" i="1"/>
  <c r="FA112" i="1"/>
  <c r="EY112" i="1" s="1"/>
  <c r="FB113" i="1"/>
  <c r="DB115" i="1"/>
  <c r="DB4" i="1" s="1"/>
  <c r="EC272" i="1"/>
  <c r="EA272" i="1"/>
  <c r="DB156" i="1"/>
  <c r="DB193" i="1"/>
  <c r="H59" i="1"/>
  <c r="I58" i="1" s="1"/>
  <c r="DB59" i="1"/>
  <c r="FT165" i="1"/>
  <c r="FR165" i="1" s="1"/>
  <c r="FU166" i="1"/>
  <c r="FT166" i="1" s="1"/>
  <c r="FR166" i="1" s="1"/>
  <c r="FG26" i="1"/>
  <c r="FE26" i="1" s="1"/>
  <c r="FH27" i="1"/>
  <c r="FG27" i="1" s="1"/>
  <c r="FE27" i="1" s="1"/>
  <c r="N26" i="1"/>
  <c r="FT173" i="1"/>
  <c r="FR173" i="1" s="1"/>
  <c r="FU174" i="1"/>
  <c r="FT174" i="1" s="1"/>
  <c r="FR174" i="1" s="1"/>
  <c r="DB63" i="1"/>
  <c r="FA165" i="1"/>
  <c r="EY165" i="1" s="1"/>
  <c r="FB166" i="1"/>
  <c r="FA166" i="1" s="1"/>
  <c r="EY166" i="1" s="1"/>
  <c r="FM176" i="1"/>
  <c r="FK176" i="1" s="1"/>
  <c r="FN177" i="1"/>
  <c r="FM177" i="1" s="1"/>
  <c r="FK177" i="1" s="1"/>
  <c r="EC204" i="1"/>
  <c r="EA204" i="1"/>
  <c r="H49" i="1"/>
  <c r="I48" i="1" s="1"/>
  <c r="DB49" i="1"/>
  <c r="DB220" i="1"/>
  <c r="DB102" i="1"/>
  <c r="DB6" i="1" s="1"/>
  <c r="H102" i="1"/>
  <c r="I101" i="1" s="1"/>
  <c r="DB215" i="1"/>
  <c r="CU241" i="1"/>
  <c r="CT241" i="1" s="1"/>
  <c r="H241" i="1" s="1"/>
  <c r="DB72" i="1"/>
  <c r="I71" i="1"/>
  <c r="EA231" i="1"/>
  <c r="EC231" i="1"/>
  <c r="DO176" i="1"/>
  <c r="DM176" i="1" s="1"/>
  <c r="DP177" i="1"/>
  <c r="DO177" i="1" s="1"/>
  <c r="DM177" i="1" s="1"/>
  <c r="FA26" i="1"/>
  <c r="EY26" i="1" s="1"/>
  <c r="FB27" i="1"/>
  <c r="FA27" i="1" s="1"/>
  <c r="EY27" i="1" s="1"/>
  <c r="FG165" i="1"/>
  <c r="FE165" i="1" s="1"/>
  <c r="FH166" i="1"/>
  <c r="FG166" i="1" s="1"/>
  <c r="FE166" i="1" s="1"/>
  <c r="DO150" i="1" l="1"/>
  <c r="DO149" i="1"/>
  <c r="DZ218" i="1"/>
  <c r="EX218" i="1"/>
  <c r="EX219" i="1" s="1"/>
  <c r="DP218" i="1"/>
  <c r="DP219" i="1" s="1"/>
  <c r="EH113" i="1"/>
  <c r="FC218" i="1"/>
  <c r="EJ218" i="1"/>
  <c r="EJ219" i="1" s="1"/>
  <c r="EB113" i="1"/>
  <c r="EB140" i="1"/>
  <c r="V21" i="7"/>
  <c r="V25" i="7"/>
  <c r="DO141" i="1"/>
  <c r="DP142" i="1"/>
  <c r="DO142" i="1" s="1"/>
  <c r="V22" i="7"/>
  <c r="EU149" i="1"/>
  <c r="EU150" i="1" s="1"/>
  <c r="EU141" i="1"/>
  <c r="EU142" i="1" s="1"/>
  <c r="V26" i="7"/>
  <c r="EO149" i="1"/>
  <c r="EO150" i="1" s="1"/>
  <c r="EO141" i="1"/>
  <c r="EO142" i="1" s="1"/>
  <c r="DO113" i="1"/>
  <c r="DM113" i="1" s="1"/>
  <c r="FE113" i="1"/>
  <c r="FM113" i="1"/>
  <c r="FK113" i="1" s="1"/>
  <c r="FT105" i="1"/>
  <c r="FR105" i="1" s="1"/>
  <c r="EO179" i="1"/>
  <c r="EM179" i="1" s="1"/>
  <c r="FT113" i="1"/>
  <c r="FR113" i="1" s="1"/>
  <c r="FA113" i="1"/>
  <c r="EY113" i="1" s="1"/>
  <c r="DO148" i="1"/>
  <c r="FA148" i="1"/>
  <c r="FT148" i="1"/>
  <c r="EM96" i="1"/>
  <c r="DO147" i="1"/>
  <c r="FT147" i="1"/>
  <c r="FA147" i="1"/>
  <c r="FM148" i="1"/>
  <c r="FG148" i="1"/>
  <c r="FR96" i="1"/>
  <c r="FE96" i="1"/>
  <c r="EH140" i="1"/>
  <c r="FM147" i="1"/>
  <c r="FG147" i="1"/>
  <c r="FG149" i="1"/>
  <c r="FH150" i="1"/>
  <c r="FG150" i="1" s="1"/>
  <c r="FM149" i="1"/>
  <c r="FN150" i="1"/>
  <c r="FM150" i="1" s="1"/>
  <c r="FA149" i="1"/>
  <c r="FB150" i="1"/>
  <c r="FA150" i="1" s="1"/>
  <c r="FT149" i="1"/>
  <c r="FU150" i="1"/>
  <c r="FT150" i="1" s="1"/>
  <c r="EB180" i="1"/>
  <c r="EH180" i="1"/>
  <c r="EU179" i="1"/>
  <c r="EO180" i="1"/>
  <c r="EM180" i="1" s="1"/>
  <c r="EB179" i="1"/>
  <c r="EH179" i="1"/>
  <c r="FM178" i="1"/>
  <c r="FN179" i="1"/>
  <c r="DO178" i="1"/>
  <c r="DP179" i="1"/>
  <c r="FT178" i="1"/>
  <c r="FU179" i="1"/>
  <c r="FG178" i="1"/>
  <c r="FH179" i="1"/>
  <c r="FA178" i="1"/>
  <c r="FB179" i="1"/>
  <c r="DU97" i="1"/>
  <c r="DU98" i="1" s="1"/>
  <c r="DU99" i="1" s="1"/>
  <c r="DU100" i="1" s="1"/>
  <c r="DU110" i="1"/>
  <c r="DU114" i="1"/>
  <c r="FZ107" i="1"/>
  <c r="DX96" i="1"/>
  <c r="DZ96" i="1"/>
  <c r="EH96" i="1"/>
  <c r="EB96" i="1"/>
  <c r="EO217" i="1"/>
  <c r="EM217" i="1" s="1"/>
  <c r="FT217" i="1"/>
  <c r="FR217" i="1" s="1"/>
  <c r="EB217" i="1"/>
  <c r="N202" i="1"/>
  <c r="CU13" i="1"/>
  <c r="CT13" i="1" s="1"/>
  <c r="H13" i="1" s="1"/>
  <c r="CU113" i="1"/>
  <c r="CT113" i="1" s="1"/>
  <c r="H113" i="1" s="1"/>
  <c r="DW113" i="1"/>
  <c r="FG217" i="1"/>
  <c r="FE217" i="1" s="1"/>
  <c r="FA217" i="1"/>
  <c r="EY217" i="1" s="1"/>
  <c r="EH217" i="1"/>
  <c r="FM217" i="1"/>
  <c r="FK217" i="1" s="1"/>
  <c r="CV217" i="1"/>
  <c r="CU217" i="1" s="1"/>
  <c r="CT217" i="1" s="1"/>
  <c r="H217" i="1" s="1"/>
  <c r="EU280" i="1"/>
  <c r="ES279" i="1"/>
  <c r="GB217" i="1"/>
  <c r="EO247" i="1"/>
  <c r="EM246" i="1"/>
  <c r="EO280" i="1"/>
  <c r="EM279" i="1"/>
  <c r="EU247" i="1"/>
  <c r="ES246" i="1"/>
  <c r="EU217" i="1"/>
  <c r="ES217" i="1" s="1"/>
  <c r="DO217" i="1"/>
  <c r="DM217" i="1" s="1"/>
  <c r="I13" i="4"/>
  <c r="FA105" i="1"/>
  <c r="EY105" i="1" s="1"/>
  <c r="I14" i="4"/>
  <c r="EM103" i="1"/>
  <c r="GB242" i="1"/>
  <c r="DJ210" i="1"/>
  <c r="DK210" i="1" s="1"/>
  <c r="CX107" i="1"/>
  <c r="CW107" i="1"/>
  <c r="FU218" i="1"/>
  <c r="FU219" i="1" s="1"/>
  <c r="CW218" i="1"/>
  <c r="CX218" i="1"/>
  <c r="ES103" i="1"/>
  <c r="DS218" i="1"/>
  <c r="DS219" i="1" s="1"/>
  <c r="FI218" i="1"/>
  <c r="FI219" i="1" s="1"/>
  <c r="FV218" i="1"/>
  <c r="FV219" i="1" s="1"/>
  <c r="DX218" i="1"/>
  <c r="FP218" i="1"/>
  <c r="FP219" i="1" s="1"/>
  <c r="DI218" i="1"/>
  <c r="EF218" i="1"/>
  <c r="EF219" i="1" s="1"/>
  <c r="ED218" i="1"/>
  <c r="ED219" i="1" s="1"/>
  <c r="FB218" i="1"/>
  <c r="FB219" i="1" s="1"/>
  <c r="DR218" i="1"/>
  <c r="DR219" i="1" s="1"/>
  <c r="FW218" i="1"/>
  <c r="FW219" i="1" s="1"/>
  <c r="FH218" i="1"/>
  <c r="FH219" i="1" s="1"/>
  <c r="EK218" i="1"/>
  <c r="EK219" i="1" s="1"/>
  <c r="EP218" i="1"/>
  <c r="EP219" i="1" s="1"/>
  <c r="DQ218" i="1"/>
  <c r="DQ219" i="1" s="1"/>
  <c r="EW218" i="1"/>
  <c r="EW219" i="1" s="1"/>
  <c r="CO218" i="1"/>
  <c r="M218" i="1" s="1"/>
  <c r="DT218" i="1"/>
  <c r="DT219" i="1" s="1"/>
  <c r="FD218" i="1"/>
  <c r="FD219" i="1" s="1"/>
  <c r="CY218" i="1"/>
  <c r="N218" i="1" s="1"/>
  <c r="DU218" i="1"/>
  <c r="DU219" i="1" s="1"/>
  <c r="FQ218" i="1"/>
  <c r="FQ219" i="1" s="1"/>
  <c r="FJ218" i="1"/>
  <c r="FJ219" i="1" s="1"/>
  <c r="EV218" i="1"/>
  <c r="EV219" i="1" s="1"/>
  <c r="EL218" i="1"/>
  <c r="EL219" i="1" s="1"/>
  <c r="FO218" i="1"/>
  <c r="FO219" i="1" s="1"/>
  <c r="EQ218" i="1"/>
  <c r="EQ219" i="1" s="1"/>
  <c r="FN218" i="1"/>
  <c r="FN219" i="1" s="1"/>
  <c r="EE218" i="1"/>
  <c r="EE219" i="1" s="1"/>
  <c r="ER218" i="1"/>
  <c r="ER219" i="1" s="1"/>
  <c r="ED87" i="1"/>
  <c r="EB86" i="1"/>
  <c r="ED273" i="1"/>
  <c r="ED274" i="1" s="1"/>
  <c r="DR273" i="1"/>
  <c r="DR274" i="1" s="1"/>
  <c r="DR275" i="1" s="1"/>
  <c r="DR87" i="1"/>
  <c r="DP273" i="1"/>
  <c r="DO86" i="1"/>
  <c r="DM86" i="1" s="1"/>
  <c r="DP87" i="1"/>
  <c r="EJ273" i="1"/>
  <c r="EJ274" i="1" s="1"/>
  <c r="EJ87" i="1"/>
  <c r="EP273" i="1"/>
  <c r="EP274" i="1" s="1"/>
  <c r="EP275" i="1" s="1"/>
  <c r="EP87" i="1"/>
  <c r="EO86" i="1"/>
  <c r="EU86" i="1"/>
  <c r="EV87" i="1"/>
  <c r="EV273" i="1"/>
  <c r="EV274" i="1" s="1"/>
  <c r="EV275" i="1" s="1"/>
  <c r="FU273" i="1"/>
  <c r="FT86" i="1"/>
  <c r="FR86" i="1" s="1"/>
  <c r="FU87" i="1"/>
  <c r="FT87" i="1" s="1"/>
  <c r="FB273" i="1"/>
  <c r="FB87" i="1"/>
  <c r="FA87" i="1" s="1"/>
  <c r="FA86" i="1"/>
  <c r="EY86" i="1" s="1"/>
  <c r="FH273" i="1"/>
  <c r="FG86" i="1"/>
  <c r="FE86" i="1" s="1"/>
  <c r="FH87" i="1"/>
  <c r="FG87" i="1" s="1"/>
  <c r="FN273" i="1"/>
  <c r="FN87" i="1"/>
  <c r="FM87" i="1" s="1"/>
  <c r="FM86" i="1"/>
  <c r="FK86" i="1" s="1"/>
  <c r="FS12" i="1"/>
  <c r="FF12" i="1"/>
  <c r="FL12" i="1"/>
  <c r="EA12" i="1"/>
  <c r="DN12" i="1"/>
  <c r="DU210" i="1"/>
  <c r="EC118" i="1"/>
  <c r="FL118" i="1"/>
  <c r="DW103" i="1"/>
  <c r="CU96" i="1"/>
  <c r="CT96" i="1" s="1"/>
  <c r="H96" i="1" s="1"/>
  <c r="CU86" i="1"/>
  <c r="CT86" i="1" s="1"/>
  <c r="H86" i="1" s="1"/>
  <c r="DN118" i="1"/>
  <c r="FS118" i="1"/>
  <c r="FF118" i="1"/>
  <c r="BK210" i="1"/>
  <c r="BN210" i="1" s="1"/>
  <c r="BK211" i="1"/>
  <c r="BN211" i="1" s="1"/>
  <c r="CV210" i="1"/>
  <c r="CV211" i="1"/>
  <c r="DJ211" i="1"/>
  <c r="DK211" i="1" s="1"/>
  <c r="DI211" i="1"/>
  <c r="DU211" i="1"/>
  <c r="EH105" i="1"/>
  <c r="EU105" i="1"/>
  <c r="ES105" i="1" s="1"/>
  <c r="EO105" i="1"/>
  <c r="EM105" i="1" s="1"/>
  <c r="DO105" i="1"/>
  <c r="DM105" i="1" s="1"/>
  <c r="EO140" i="1"/>
  <c r="EM140" i="1" s="1"/>
  <c r="EM139" i="1"/>
  <c r="EU140" i="1"/>
  <c r="ES140" i="1" s="1"/>
  <c r="ES139" i="1"/>
  <c r="DO139" i="1"/>
  <c r="DM139" i="1" s="1"/>
  <c r="DP140" i="1"/>
  <c r="DO140" i="1" s="1"/>
  <c r="DM140" i="1" s="1"/>
  <c r="FT139" i="1"/>
  <c r="FR139" i="1" s="1"/>
  <c r="FU140" i="1"/>
  <c r="FT140" i="1" s="1"/>
  <c r="FR140" i="1" s="1"/>
  <c r="GB263" i="1"/>
  <c r="FG139" i="1"/>
  <c r="FE139" i="1" s="1"/>
  <c r="FH140" i="1"/>
  <c r="FG140" i="1" s="1"/>
  <c r="FE140" i="1" s="1"/>
  <c r="FA139" i="1"/>
  <c r="EY139" i="1" s="1"/>
  <c r="FB140" i="1"/>
  <c r="FA140" i="1" s="1"/>
  <c r="EY140" i="1" s="1"/>
  <c r="FM139" i="1"/>
  <c r="FK139" i="1" s="1"/>
  <c r="FN140" i="1"/>
  <c r="FM140" i="1" s="1"/>
  <c r="FK140" i="1" s="1"/>
  <c r="FE105" i="1"/>
  <c r="EO28" i="1"/>
  <c r="EU28" i="1"/>
  <c r="GB229" i="1"/>
  <c r="CV209" i="1"/>
  <c r="CU119" i="1"/>
  <c r="CT119" i="1" s="1"/>
  <c r="H119" i="1" s="1"/>
  <c r="DW119" i="1"/>
  <c r="CV121" i="1"/>
  <c r="BA108" i="1"/>
  <c r="FL36" i="1"/>
  <c r="FS36" i="1"/>
  <c r="DN36" i="1"/>
  <c r="FF36" i="1"/>
  <c r="EC36" i="1"/>
  <c r="N105" i="1"/>
  <c r="GB105" i="1"/>
  <c r="EB105" i="1"/>
  <c r="FM105" i="1"/>
  <c r="FK105" i="1" s="1"/>
  <c r="GB207" i="1"/>
  <c r="GB106" i="1"/>
  <c r="CU112" i="1"/>
  <c r="CT112" i="1" s="1"/>
  <c r="H112" i="1" s="1"/>
  <c r="FJ107" i="1"/>
  <c r="ES263" i="1"/>
  <c r="ES262" i="1"/>
  <c r="CU242" i="1"/>
  <c r="CT242" i="1" s="1"/>
  <c r="H242" i="1" s="1"/>
  <c r="V35" i="5"/>
  <c r="V36" i="5"/>
  <c r="V31" i="5"/>
  <c r="V32" i="5"/>
  <c r="DP6" i="1"/>
  <c r="DO5" i="1"/>
  <c r="DZ228" i="1"/>
  <c r="DP5" i="1"/>
  <c r="EU48" i="1"/>
  <c r="DM14" i="1"/>
  <c r="DO6" i="1"/>
  <c r="DN215" i="1"/>
  <c r="FF215" i="1"/>
  <c r="FS215" i="1"/>
  <c r="FR14" i="1"/>
  <c r="FL215" i="1"/>
  <c r="DB111" i="1"/>
  <c r="EC215" i="1"/>
  <c r="EY14" i="1"/>
  <c r="H25" i="1"/>
  <c r="I24" i="1" s="1"/>
  <c r="DX228" i="1"/>
  <c r="EY263" i="1"/>
  <c r="FR53" i="1"/>
  <c r="EY262" i="1"/>
  <c r="DM262" i="1"/>
  <c r="FR262" i="1"/>
  <c r="FK262" i="1"/>
  <c r="EY207" i="1"/>
  <c r="DZ53" i="1"/>
  <c r="DX53" i="1"/>
  <c r="DM207" i="1"/>
  <c r="EH53" i="1"/>
  <c r="FK207" i="1"/>
  <c r="FR207" i="1"/>
  <c r="EY53" i="1"/>
  <c r="DM263" i="1"/>
  <c r="FR263" i="1"/>
  <c r="FK263" i="1"/>
  <c r="DW53" i="1"/>
  <c r="FK53" i="1"/>
  <c r="CL108" i="1"/>
  <c r="FL260" i="1"/>
  <c r="DN260" i="1"/>
  <c r="FS260" i="1"/>
  <c r="FF260" i="1"/>
  <c r="EC260" i="1"/>
  <c r="CU216" i="1"/>
  <c r="CT216" i="1" s="1"/>
  <c r="H216" i="1" s="1"/>
  <c r="DW216" i="1"/>
  <c r="DT4" i="1"/>
  <c r="DS4" i="1"/>
  <c r="EO48" i="1"/>
  <c r="EO100" i="1"/>
  <c r="EM100" i="1" s="1"/>
  <c r="EM99" i="1"/>
  <c r="EU100" i="1"/>
  <c r="ES100" i="1" s="1"/>
  <c r="ES99" i="1"/>
  <c r="DQ4" i="1"/>
  <c r="FM99" i="1"/>
  <c r="FK99" i="1" s="1"/>
  <c r="FN100" i="1"/>
  <c r="FM100" i="1" s="1"/>
  <c r="FK100" i="1" s="1"/>
  <c r="FN107" i="1"/>
  <c r="ES235" i="1"/>
  <c r="FT99" i="1"/>
  <c r="FR99" i="1" s="1"/>
  <c r="FU100" i="1"/>
  <c r="FT100" i="1" s="1"/>
  <c r="FR100" i="1" s="1"/>
  <c r="FG99" i="1"/>
  <c r="FE99" i="1" s="1"/>
  <c r="FH100" i="1"/>
  <c r="FG100" i="1" s="1"/>
  <c r="FE100" i="1" s="1"/>
  <c r="FA99" i="1"/>
  <c r="EY99" i="1" s="1"/>
  <c r="FB100" i="1"/>
  <c r="FA100" i="1" s="1"/>
  <c r="EY100" i="1" s="1"/>
  <c r="EM235" i="1"/>
  <c r="EF107" i="1"/>
  <c r="FQ107" i="1"/>
  <c r="EM53" i="1"/>
  <c r="EK107" i="1"/>
  <c r="FD107" i="1"/>
  <c r="DW104" i="1"/>
  <c r="CU104" i="1"/>
  <c r="CT104" i="1" s="1"/>
  <c r="H104" i="1" s="1"/>
  <c r="EV107" i="1"/>
  <c r="FO107" i="1"/>
  <c r="DU4" i="1"/>
  <c r="EM228" i="1"/>
  <c r="FE207" i="1"/>
  <c r="EY228" i="1"/>
  <c r="DO71" i="1"/>
  <c r="ES39" i="1"/>
  <c r="DR107" i="1"/>
  <c r="EU106" i="1"/>
  <c r="ES106" i="1" s="1"/>
  <c r="EQ107" i="1"/>
  <c r="CO107" i="1"/>
  <c r="M107" i="1" s="1"/>
  <c r="FP107" i="1"/>
  <c r="DS107" i="1"/>
  <c r="EE107" i="1"/>
  <c r="FR228" i="1"/>
  <c r="EP107" i="1"/>
  <c r="FB107" i="1"/>
  <c r="EL107" i="1"/>
  <c r="FH107" i="1"/>
  <c r="DT107" i="1"/>
  <c r="DP107" i="1"/>
  <c r="EJ107" i="1"/>
  <c r="DQ107" i="1"/>
  <c r="FU107" i="1"/>
  <c r="ER107" i="1"/>
  <c r="FV107" i="1"/>
  <c r="EX107" i="1"/>
  <c r="CY107" i="1"/>
  <c r="N107" i="1" s="1"/>
  <c r="FW107" i="1"/>
  <c r="EW107" i="1"/>
  <c r="ED107" i="1"/>
  <c r="EO106" i="1"/>
  <c r="EM106" i="1" s="1"/>
  <c r="FI107" i="1"/>
  <c r="FC107" i="1"/>
  <c r="FE53" i="1"/>
  <c r="DO58" i="1"/>
  <c r="DR4" i="1"/>
  <c r="DM53" i="1"/>
  <c r="ES53" i="1"/>
  <c r="FG106" i="1"/>
  <c r="FE106" i="1" s="1"/>
  <c r="EH106" i="1"/>
  <c r="EM241" i="1"/>
  <c r="DW112" i="1"/>
  <c r="ES26" i="1"/>
  <c r="DW14" i="1"/>
  <c r="CU14" i="1"/>
  <c r="CT14" i="1" s="1"/>
  <c r="H14" i="1" s="1"/>
  <c r="EH241" i="1"/>
  <c r="EB241" i="1"/>
  <c r="FC219" i="1"/>
  <c r="FR241" i="1"/>
  <c r="DO106" i="1"/>
  <c r="DM106" i="1" s="1"/>
  <c r="N106" i="1"/>
  <c r="DW106" i="1"/>
  <c r="DX106" i="1"/>
  <c r="EO44" i="1"/>
  <c r="EM39" i="1"/>
  <c r="CU39" i="1"/>
  <c r="CT39" i="1" s="1"/>
  <c r="H39" i="1" s="1"/>
  <c r="DW39" i="1"/>
  <c r="CQ121" i="1"/>
  <c r="DR121" i="1"/>
  <c r="EJ121" i="1"/>
  <c r="EP121" i="1"/>
  <c r="FU121" i="1"/>
  <c r="FH121" i="1"/>
  <c r="FN121" i="1"/>
  <c r="DP121" i="1"/>
  <c r="EV121" i="1"/>
  <c r="ED121" i="1"/>
  <c r="ED202" i="1" s="1"/>
  <c r="FB121" i="1"/>
  <c r="CN108" i="1"/>
  <c r="CP108" i="1"/>
  <c r="K108" i="1"/>
  <c r="CR108" i="1"/>
  <c r="CQ108" i="1"/>
  <c r="L108" i="1"/>
  <c r="FA106" i="1"/>
  <c r="EY106" i="1" s="1"/>
  <c r="FM106" i="1"/>
  <c r="FK106" i="1" s="1"/>
  <c r="BX109" i="1"/>
  <c r="J109" i="1"/>
  <c r="I109" i="1"/>
  <c r="BY109" i="1"/>
  <c r="FT106" i="1"/>
  <c r="FR106" i="1" s="1"/>
  <c r="DJ209" i="1"/>
  <c r="DK209" i="1" s="1"/>
  <c r="DI209" i="1"/>
  <c r="DU209" i="1"/>
  <c r="CU207" i="1"/>
  <c r="CT207" i="1" s="1"/>
  <c r="H207" i="1" s="1"/>
  <c r="DW228" i="1"/>
  <c r="DM228" i="1"/>
  <c r="DS294" i="1"/>
  <c r="DO294" i="1" s="1"/>
  <c r="DO280" i="1"/>
  <c r="DM280" i="1" s="1"/>
  <c r="FN247" i="1"/>
  <c r="FM246" i="1"/>
  <c r="FK246" i="1" s="1"/>
  <c r="FT280" i="1"/>
  <c r="FR280" i="1" s="1"/>
  <c r="FU250" i="1"/>
  <c r="FT250" i="1" s="1"/>
  <c r="FG280" i="1"/>
  <c r="FE280" i="1" s="1"/>
  <c r="FH250" i="1"/>
  <c r="FG250" i="1" s="1"/>
  <c r="FK228" i="1"/>
  <c r="EB53" i="1"/>
  <c r="DO245" i="1"/>
  <c r="DM245" i="1" s="1"/>
  <c r="DP246" i="1"/>
  <c r="FE263" i="1"/>
  <c r="FA245" i="1"/>
  <c r="EY245" i="1" s="1"/>
  <c r="FB246" i="1"/>
  <c r="FV246" i="1"/>
  <c r="FT245" i="1"/>
  <c r="FR245" i="1" s="1"/>
  <c r="DU58" i="1"/>
  <c r="DU71" i="1"/>
  <c r="FG245" i="1"/>
  <c r="FE245" i="1" s="1"/>
  <c r="FH246" i="1"/>
  <c r="BN208" i="1"/>
  <c r="BK209" i="1"/>
  <c r="DW105" i="1"/>
  <c r="CU105" i="1"/>
  <c r="CT105" i="1" s="1"/>
  <c r="H105" i="1" s="1"/>
  <c r="DX207" i="1"/>
  <c r="DZ207" i="1"/>
  <c r="EM207" i="1"/>
  <c r="EB207" i="1"/>
  <c r="EH207" i="1"/>
  <c r="DW207" i="1"/>
  <c r="FE262" i="1"/>
  <c r="EU131" i="1"/>
  <c r="ES131" i="1" s="1"/>
  <c r="ES130" i="1"/>
  <c r="FK241" i="1"/>
  <c r="V34" i="4"/>
  <c r="DX241" i="1"/>
  <c r="DJ229" i="1"/>
  <c r="DK229" i="1" s="1"/>
  <c r="DI229" i="1"/>
  <c r="DU229" i="1"/>
  <c r="V30" i="4"/>
  <c r="EO113" i="1"/>
  <c r="EM113" i="1" s="1"/>
  <c r="EM112" i="1"/>
  <c r="EO27" i="1"/>
  <c r="EM27" i="1" s="1"/>
  <c r="EM26" i="1"/>
  <c r="DX121" i="1"/>
  <c r="BK109" i="1"/>
  <c r="BN109" i="1" s="1"/>
  <c r="BN108" i="1"/>
  <c r="DZ121" i="1"/>
  <c r="EB106" i="1"/>
  <c r="EU113" i="1"/>
  <c r="ES113" i="1" s="1"/>
  <c r="ES112" i="1"/>
  <c r="DB241" i="1"/>
  <c r="DM241" i="1"/>
  <c r="ES228" i="1"/>
  <c r="AS108" i="1"/>
  <c r="GA108" i="1" s="1"/>
  <c r="DU107" i="1"/>
  <c r="DI107" i="1"/>
  <c r="DJ107" i="1"/>
  <c r="DK107" i="1" s="1"/>
  <c r="DZ107" i="1" s="1"/>
  <c r="V35" i="4"/>
  <c r="EH228" i="1"/>
  <c r="DI242" i="1"/>
  <c r="DJ242" i="1"/>
  <c r="DK242" i="1" s="1"/>
  <c r="DU242" i="1"/>
  <c r="DU122" i="1" s="1"/>
  <c r="DX263" i="1"/>
  <c r="DZ263" i="1"/>
  <c r="EH263" i="1"/>
  <c r="DW263" i="1"/>
  <c r="CU263" i="1"/>
  <c r="CT263" i="1" s="1"/>
  <c r="H263" i="1" s="1"/>
  <c r="EB263" i="1"/>
  <c r="EM263" i="1"/>
  <c r="EB228" i="1"/>
  <c r="DX262" i="1"/>
  <c r="DZ262" i="1"/>
  <c r="CU262" i="1"/>
  <c r="CT262" i="1" s="1"/>
  <c r="H262" i="1" s="1"/>
  <c r="EH262" i="1"/>
  <c r="EB262" i="1"/>
  <c r="EM262" i="1"/>
  <c r="DW262" i="1"/>
  <c r="ES241" i="1"/>
  <c r="V31" i="4"/>
  <c r="AO108" i="1"/>
  <c r="AN109" i="1"/>
  <c r="AO109" i="1" s="1"/>
  <c r="FE241" i="1"/>
  <c r="DB5" i="1"/>
  <c r="EY241" i="1"/>
  <c r="DZ241" i="1"/>
  <c r="DU149" i="1" l="1"/>
  <c r="DU150" i="1" s="1"/>
  <c r="DU141" i="1"/>
  <c r="DU142" i="1" s="1"/>
  <c r="EU180" i="1"/>
  <c r="ES180" i="1" s="1"/>
  <c r="ES179" i="1"/>
  <c r="FZ108" i="1"/>
  <c r="FA179" i="1"/>
  <c r="EY179" i="1" s="1"/>
  <c r="FB180" i="1"/>
  <c r="FA180" i="1" s="1"/>
  <c r="EY180" i="1" s="1"/>
  <c r="FG179" i="1"/>
  <c r="FE179" i="1" s="1"/>
  <c r="FH180" i="1"/>
  <c r="FG180" i="1" s="1"/>
  <c r="FE180" i="1" s="1"/>
  <c r="FT179" i="1"/>
  <c r="FR179" i="1" s="1"/>
  <c r="FU180" i="1"/>
  <c r="FT180" i="1" s="1"/>
  <c r="FR180" i="1" s="1"/>
  <c r="DO179" i="1"/>
  <c r="DM179" i="1" s="1"/>
  <c r="DP180" i="1"/>
  <c r="DO180" i="1" s="1"/>
  <c r="DM180" i="1" s="1"/>
  <c r="FM179" i="1"/>
  <c r="FK179" i="1" s="1"/>
  <c r="FN180" i="1"/>
  <c r="FM180" i="1" s="1"/>
  <c r="FK180" i="1" s="1"/>
  <c r="DW217" i="1"/>
  <c r="EU248" i="1"/>
  <c r="ES247" i="1"/>
  <c r="EO250" i="1"/>
  <c r="EM280" i="1"/>
  <c r="EJ275" i="1"/>
  <c r="EH275" i="1" s="1"/>
  <c r="EH274" i="1"/>
  <c r="EO248" i="1"/>
  <c r="EM247" i="1"/>
  <c r="ED275" i="1"/>
  <c r="EB275" i="1" s="1"/>
  <c r="EB274" i="1"/>
  <c r="EU250" i="1"/>
  <c r="ES280" i="1"/>
  <c r="DZ210" i="1"/>
  <c r="EY210" i="1"/>
  <c r="FT219" i="1"/>
  <c r="FA218" i="1"/>
  <c r="EY218" i="1" s="1"/>
  <c r="DX210" i="1"/>
  <c r="FG218" i="1"/>
  <c r="FE218" i="1" s="1"/>
  <c r="EU218" i="1"/>
  <c r="EU219" i="1" s="1"/>
  <c r="FG219" i="1"/>
  <c r="EO218" i="1"/>
  <c r="EO219" i="1" s="1"/>
  <c r="FR210" i="1"/>
  <c r="DM210" i="1"/>
  <c r="CV107" i="1"/>
  <c r="FE210" i="1"/>
  <c r="FM218" i="1"/>
  <c r="FK218" i="1" s="1"/>
  <c r="EB218" i="1"/>
  <c r="CX108" i="1"/>
  <c r="CW108" i="1"/>
  <c r="CV218" i="1"/>
  <c r="DW218" i="1" s="1"/>
  <c r="DO219" i="1"/>
  <c r="FA219" i="1"/>
  <c r="EH218" i="1"/>
  <c r="FM219" i="1"/>
  <c r="GB218" i="1"/>
  <c r="DO87" i="1"/>
  <c r="DO218" i="1"/>
  <c r="DM218" i="1" s="1"/>
  <c r="FT218" i="1"/>
  <c r="FR218" i="1" s="1"/>
  <c r="FK210" i="1"/>
  <c r="FH274" i="1"/>
  <c r="FG273" i="1"/>
  <c r="FA273" i="1"/>
  <c r="FB274" i="1"/>
  <c r="DO273" i="1"/>
  <c r="DP274" i="1"/>
  <c r="FT273" i="1"/>
  <c r="FU274" i="1"/>
  <c r="FN274" i="1"/>
  <c r="FM273" i="1"/>
  <c r="EU273" i="1"/>
  <c r="EU274" i="1" s="1"/>
  <c r="EU87" i="1"/>
  <c r="ES86" i="1"/>
  <c r="EO273" i="1"/>
  <c r="EO274" i="1" s="1"/>
  <c r="EO87" i="1"/>
  <c r="EM86" i="1"/>
  <c r="EM210" i="1"/>
  <c r="GB210" i="1"/>
  <c r="CU210" i="1"/>
  <c r="CT210" i="1" s="1"/>
  <c r="H210" i="1" s="1"/>
  <c r="ES210" i="1"/>
  <c r="EH210" i="1"/>
  <c r="GB211" i="1"/>
  <c r="EB210" i="1"/>
  <c r="DZ211" i="1"/>
  <c r="DX211" i="1"/>
  <c r="EB211" i="1"/>
  <c r="EH211" i="1"/>
  <c r="ES211" i="1"/>
  <c r="EM211" i="1"/>
  <c r="FR211" i="1"/>
  <c r="DM211" i="1"/>
  <c r="FK211" i="1"/>
  <c r="FE211" i="1"/>
  <c r="EY211" i="1"/>
  <c r="CV212" i="1"/>
  <c r="GB121" i="1"/>
  <c r="BA109" i="1"/>
  <c r="GB208" i="1"/>
  <c r="GB107" i="1"/>
  <c r="DO4" i="1"/>
  <c r="DP4" i="1"/>
  <c r="CL109" i="1"/>
  <c r="EU107" i="1"/>
  <c r="ES107" i="1" s="1"/>
  <c r="FM107" i="1"/>
  <c r="FK107" i="1" s="1"/>
  <c r="EO107" i="1"/>
  <c r="EM107" i="1" s="1"/>
  <c r="FT107" i="1"/>
  <c r="FR107" i="1" s="1"/>
  <c r="FG107" i="1"/>
  <c r="FE107" i="1" s="1"/>
  <c r="FA107" i="1"/>
  <c r="EY107" i="1" s="1"/>
  <c r="DO107" i="1"/>
  <c r="DM107" i="1" s="1"/>
  <c r="EB121" i="1"/>
  <c r="FO108" i="1"/>
  <c r="EQ108" i="1"/>
  <c r="FW108" i="1"/>
  <c r="FJ108" i="1"/>
  <c r="EV108" i="1"/>
  <c r="ER108" i="1"/>
  <c r="ED108" i="1"/>
  <c r="DP108" i="1"/>
  <c r="FV108" i="1"/>
  <c r="FI108" i="1"/>
  <c r="DQ108" i="1"/>
  <c r="DS108" i="1"/>
  <c r="FP108" i="1"/>
  <c r="EP108" i="1"/>
  <c r="FC108" i="1"/>
  <c r="EK108" i="1"/>
  <c r="EL108" i="1"/>
  <c r="EF108" i="1"/>
  <c r="FU108" i="1"/>
  <c r="FB108" i="1"/>
  <c r="DR108" i="1"/>
  <c r="EW108" i="1"/>
  <c r="EX108" i="1"/>
  <c r="CY108" i="1"/>
  <c r="CV108" i="1" s="1"/>
  <c r="EE108" i="1"/>
  <c r="EJ108" i="1"/>
  <c r="FQ108" i="1"/>
  <c r="FD108" i="1"/>
  <c r="CO108" i="1"/>
  <c r="M108" i="1" s="1"/>
  <c r="FN108" i="1"/>
  <c r="FH108" i="1"/>
  <c r="DT108" i="1"/>
  <c r="FA121" i="1"/>
  <c r="EY121" i="1" s="1"/>
  <c r="CU106" i="1"/>
  <c r="CT106" i="1" s="1"/>
  <c r="H106" i="1" s="1"/>
  <c r="EV202" i="1"/>
  <c r="EU121" i="1"/>
  <c r="DO121" i="1"/>
  <c r="DM121" i="1" s="1"/>
  <c r="FM121" i="1"/>
  <c r="FK121" i="1" s="1"/>
  <c r="FG121" i="1"/>
  <c r="FE121" i="1" s="1"/>
  <c r="FT121" i="1"/>
  <c r="FR121" i="1" s="1"/>
  <c r="CQ109" i="1"/>
  <c r="CP109" i="1"/>
  <c r="K109" i="1"/>
  <c r="CN109" i="1"/>
  <c r="L109" i="1"/>
  <c r="CR109" i="1"/>
  <c r="EP202" i="1"/>
  <c r="EO121" i="1"/>
  <c r="DW121" i="1"/>
  <c r="CU121" i="1"/>
  <c r="CT121" i="1" s="1"/>
  <c r="H121" i="1" s="1"/>
  <c r="CU208" i="1"/>
  <c r="CT208" i="1" s="1"/>
  <c r="H208" i="1" s="1"/>
  <c r="EJ202" i="1"/>
  <c r="EH121" i="1"/>
  <c r="DJ212" i="1"/>
  <c r="DK212" i="1" s="1"/>
  <c r="DI212" i="1"/>
  <c r="DU212" i="1"/>
  <c r="DU214" i="1" s="1"/>
  <c r="EB107" i="1"/>
  <c r="EH107" i="1"/>
  <c r="FV247" i="1"/>
  <c r="FT246" i="1"/>
  <c r="FR246" i="1" s="1"/>
  <c r="BK212" i="1"/>
  <c r="BN212" i="1" s="1"/>
  <c r="BN209" i="1"/>
  <c r="DX208" i="1"/>
  <c r="DZ208" i="1"/>
  <c r="DW208" i="1"/>
  <c r="EM208" i="1"/>
  <c r="EB208" i="1"/>
  <c r="EH208" i="1"/>
  <c r="DM208" i="1"/>
  <c r="ES208" i="1"/>
  <c r="FK208" i="1"/>
  <c r="EY208" i="1"/>
  <c r="FE208" i="1"/>
  <c r="FR208" i="1"/>
  <c r="DO246" i="1"/>
  <c r="DM246" i="1" s="1"/>
  <c r="DP247" i="1"/>
  <c r="FB247" i="1"/>
  <c r="FA246" i="1"/>
  <c r="EY246" i="1" s="1"/>
  <c r="FH247" i="1"/>
  <c r="FG246" i="1"/>
  <c r="FE246" i="1" s="1"/>
  <c r="FM247" i="1"/>
  <c r="FK247" i="1" s="1"/>
  <c r="FN248" i="1"/>
  <c r="FM248" i="1" s="1"/>
  <c r="FE229" i="1"/>
  <c r="FK229" i="1"/>
  <c r="DM229" i="1"/>
  <c r="FR229" i="1"/>
  <c r="DW229" i="1"/>
  <c r="DX229" i="1"/>
  <c r="DZ229" i="1"/>
  <c r="EB229" i="1"/>
  <c r="EM229" i="1"/>
  <c r="EY229" i="1"/>
  <c r="ES229" i="1"/>
  <c r="EH229" i="1"/>
  <c r="DW242" i="1"/>
  <c r="FK242" i="1"/>
  <c r="EH242" i="1"/>
  <c r="DX242" i="1"/>
  <c r="DZ242" i="1"/>
  <c r="FE242" i="1"/>
  <c r="EB242" i="1"/>
  <c r="DM242" i="1"/>
  <c r="ES242" i="1"/>
  <c r="EY242" i="1"/>
  <c r="FR242" i="1"/>
  <c r="EM242" i="1"/>
  <c r="AS109" i="1"/>
  <c r="GA109" i="1" s="1"/>
  <c r="DJ108" i="1"/>
  <c r="DK108" i="1" s="1"/>
  <c r="DX108" i="1" s="1"/>
  <c r="DI108" i="1"/>
  <c r="DU108" i="1"/>
  <c r="DX107" i="1"/>
  <c r="FZ109" i="1" l="1"/>
  <c r="GA4" i="1"/>
  <c r="GA5" i="1"/>
  <c r="EO275" i="1"/>
  <c r="EM275" i="1" s="1"/>
  <c r="EM274" i="1"/>
  <c r="EU275" i="1"/>
  <c r="ES275" i="1" s="1"/>
  <c r="ES274" i="1"/>
  <c r="EM218" i="1"/>
  <c r="ES218" i="1"/>
  <c r="CW109" i="1"/>
  <c r="CX109" i="1"/>
  <c r="CU218" i="1"/>
  <c r="CT218" i="1" s="1"/>
  <c r="H218" i="1" s="1"/>
  <c r="FT274" i="1"/>
  <c r="FR274" i="1" s="1"/>
  <c r="FU275" i="1"/>
  <c r="FT275" i="1" s="1"/>
  <c r="FR275" i="1" s="1"/>
  <c r="DP275" i="1"/>
  <c r="DO275" i="1" s="1"/>
  <c r="DM275" i="1" s="1"/>
  <c r="DO274" i="1"/>
  <c r="DM274" i="1" s="1"/>
  <c r="FA274" i="1"/>
  <c r="EY274" i="1" s="1"/>
  <c r="FB275" i="1"/>
  <c r="FA275" i="1" s="1"/>
  <c r="EY275" i="1" s="1"/>
  <c r="FM274" i="1"/>
  <c r="FK274" i="1" s="1"/>
  <c r="FN275" i="1"/>
  <c r="FM275" i="1" s="1"/>
  <c r="FK275" i="1" s="1"/>
  <c r="FG274" i="1"/>
  <c r="FE274" i="1" s="1"/>
  <c r="FH275" i="1"/>
  <c r="FG275" i="1" s="1"/>
  <c r="FE275" i="1" s="1"/>
  <c r="DW210" i="1"/>
  <c r="DW211" i="1"/>
  <c r="CU211" i="1"/>
  <c r="CT211" i="1" s="1"/>
  <c r="H211" i="1" s="1"/>
  <c r="EO108" i="1"/>
  <c r="EM108" i="1" s="1"/>
  <c r="GB209" i="1"/>
  <c r="GB108" i="1"/>
  <c r="GB212" i="1"/>
  <c r="CU107" i="1"/>
  <c r="CT107" i="1" s="1"/>
  <c r="H107" i="1" s="1"/>
  <c r="EX109" i="1"/>
  <c r="EX15" i="1" s="1"/>
  <c r="EX20" i="1" s="1"/>
  <c r="CY109" i="1"/>
  <c r="CV109" i="1" s="1"/>
  <c r="EQ109" i="1"/>
  <c r="EQ15" i="1" s="1"/>
  <c r="FO109" i="1"/>
  <c r="FO15" i="1" s="1"/>
  <c r="FI109" i="1"/>
  <c r="FI15" i="1" s="1"/>
  <c r="EK109" i="1"/>
  <c r="EK15" i="1" s="1"/>
  <c r="DQ109" i="1"/>
  <c r="DQ236" i="1" s="1"/>
  <c r="EL109" i="1"/>
  <c r="EL15" i="1" s="1"/>
  <c r="FB109" i="1"/>
  <c r="FB15" i="1" s="1"/>
  <c r="FQ109" i="1"/>
  <c r="FQ15" i="1" s="1"/>
  <c r="DP109" i="1"/>
  <c r="DP236" i="1" s="1"/>
  <c r="DW107" i="1"/>
  <c r="FT108" i="1"/>
  <c r="FR108" i="1" s="1"/>
  <c r="EU108" i="1"/>
  <c r="ES108" i="1" s="1"/>
  <c r="EV109" i="1"/>
  <c r="EV15" i="1" s="1"/>
  <c r="EP109" i="1"/>
  <c r="EP15" i="1" s="1"/>
  <c r="FC109" i="1"/>
  <c r="FC15" i="1" s="1"/>
  <c r="ER109" i="1"/>
  <c r="ER15" i="1" s="1"/>
  <c r="FH109" i="1"/>
  <c r="FH15" i="1" s="1"/>
  <c r="FP109" i="1"/>
  <c r="FP15" i="1" s="1"/>
  <c r="FA108" i="1"/>
  <c r="EY108" i="1" s="1"/>
  <c r="DT109" i="1"/>
  <c r="DT236" i="1" s="1"/>
  <c r="EE109" i="1"/>
  <c r="EE15" i="1" s="1"/>
  <c r="EW109" i="1"/>
  <c r="EW15" i="1" s="1"/>
  <c r="DS109" i="1"/>
  <c r="DS236" i="1" s="1"/>
  <c r="DR109" i="1"/>
  <c r="DR236" i="1" s="1"/>
  <c r="FJ109" i="1"/>
  <c r="FJ15" i="1" s="1"/>
  <c r="FW109" i="1"/>
  <c r="FW15" i="1" s="1"/>
  <c r="ED109" i="1"/>
  <c r="ED15" i="1" s="1"/>
  <c r="FN109" i="1"/>
  <c r="FN15" i="1" s="1"/>
  <c r="CO109" i="1"/>
  <c r="M109" i="1" s="1"/>
  <c r="FD109" i="1"/>
  <c r="FD15" i="1" s="1"/>
  <c r="EJ109" i="1"/>
  <c r="EJ15" i="1" s="1"/>
  <c r="EF109" i="1"/>
  <c r="EF15" i="1" s="1"/>
  <c r="FU109" i="1"/>
  <c r="FV109" i="1"/>
  <c r="FV15" i="1" s="1"/>
  <c r="CU209" i="1"/>
  <c r="CT209" i="1" s="1"/>
  <c r="H209" i="1" s="1"/>
  <c r="CU108" i="1"/>
  <c r="CT108" i="1" s="1"/>
  <c r="H108" i="1" s="1"/>
  <c r="FG108" i="1"/>
  <c r="FE108" i="1" s="1"/>
  <c r="FM108" i="1"/>
  <c r="FK108" i="1" s="1"/>
  <c r="EO202" i="1"/>
  <c r="EM121" i="1"/>
  <c r="FN202" i="1"/>
  <c r="FM202" i="1" s="1"/>
  <c r="FH202" i="1"/>
  <c r="FG202" i="1" s="1"/>
  <c r="DO108" i="1"/>
  <c r="DM108" i="1" s="1"/>
  <c r="EU202" i="1"/>
  <c r="ES121" i="1"/>
  <c r="DW108" i="1"/>
  <c r="FB202" i="1"/>
  <c r="FA202" i="1" s="1"/>
  <c r="FU202" i="1"/>
  <c r="FT202" i="1" s="1"/>
  <c r="N108" i="1"/>
  <c r="CU212" i="1"/>
  <c r="CT212" i="1" s="1"/>
  <c r="H212" i="1" s="1"/>
  <c r="DZ108" i="1"/>
  <c r="FG247" i="1"/>
  <c r="FE247" i="1" s="1"/>
  <c r="FH248" i="1"/>
  <c r="FG248" i="1" s="1"/>
  <c r="FA247" i="1"/>
  <c r="EY247" i="1" s="1"/>
  <c r="FB248" i="1"/>
  <c r="FA248" i="1" s="1"/>
  <c r="DP248" i="1"/>
  <c r="DO248" i="1" s="1"/>
  <c r="DO247" i="1"/>
  <c r="DM247" i="1" s="1"/>
  <c r="DX209" i="1"/>
  <c r="DZ209" i="1"/>
  <c r="EM209" i="1"/>
  <c r="DW209" i="1"/>
  <c r="EH209" i="1"/>
  <c r="EB209" i="1"/>
  <c r="FR209" i="1"/>
  <c r="FK209" i="1"/>
  <c r="DM209" i="1"/>
  <c r="EY209" i="1"/>
  <c r="FE209" i="1"/>
  <c r="ES209" i="1"/>
  <c r="DX212" i="1"/>
  <c r="DZ212" i="1"/>
  <c r="DW212" i="1"/>
  <c r="EH212" i="1"/>
  <c r="EB212" i="1"/>
  <c r="EM212" i="1"/>
  <c r="FE212" i="1"/>
  <c r="FR212" i="1"/>
  <c r="ES212" i="1"/>
  <c r="DM212" i="1"/>
  <c r="EY212" i="1"/>
  <c r="FK212" i="1"/>
  <c r="FV248" i="1"/>
  <c r="FT248" i="1" s="1"/>
  <c r="FT247" i="1"/>
  <c r="FR247" i="1" s="1"/>
  <c r="DU109" i="1"/>
  <c r="DU236" i="1" s="1"/>
  <c r="DJ109" i="1"/>
  <c r="DK109" i="1" s="1"/>
  <c r="DI109" i="1"/>
  <c r="EB108" i="1"/>
  <c r="EH108" i="1"/>
  <c r="GB109" i="1" l="1"/>
  <c r="EX6" i="1"/>
  <c r="EX5" i="1"/>
  <c r="FV20" i="1"/>
  <c r="FV6" i="1" s="1"/>
  <c r="EF20" i="1"/>
  <c r="EF6" i="1" s="1"/>
  <c r="EE20" i="1"/>
  <c r="EE5" i="1" s="1"/>
  <c r="EJ20" i="1"/>
  <c r="EJ5" i="1" s="1"/>
  <c r="FQ20" i="1"/>
  <c r="FQ6" i="1" s="1"/>
  <c r="FD20" i="1"/>
  <c r="FD5" i="1" s="1"/>
  <c r="EL20" i="1"/>
  <c r="EL6" i="1" s="1"/>
  <c r="FP20" i="1"/>
  <c r="FP5" i="1" s="1"/>
  <c r="ER20" i="1"/>
  <c r="ER5" i="1" s="1"/>
  <c r="EK20" i="1"/>
  <c r="EK5" i="1" s="1"/>
  <c r="ED20" i="1"/>
  <c r="ED6" i="1" s="1"/>
  <c r="FC20" i="1"/>
  <c r="FC5" i="1" s="1"/>
  <c r="FI20" i="1"/>
  <c r="FI6" i="1" s="1"/>
  <c r="FW20" i="1"/>
  <c r="FW5" i="1" s="1"/>
  <c r="EP20" i="1"/>
  <c r="EP6" i="1" s="1"/>
  <c r="FO20" i="1"/>
  <c r="FO6" i="1" s="1"/>
  <c r="FJ20" i="1"/>
  <c r="FJ5" i="1" s="1"/>
  <c r="EV20" i="1"/>
  <c r="EV5" i="1" s="1"/>
  <c r="EQ20" i="1"/>
  <c r="EQ5" i="1" s="1"/>
  <c r="EW20" i="1"/>
  <c r="EW5" i="1" s="1"/>
  <c r="N109" i="1"/>
  <c r="CU109" i="1"/>
  <c r="CT109" i="1" s="1"/>
  <c r="H109" i="1" s="1"/>
  <c r="EO109" i="1"/>
  <c r="EO15" i="1" s="1"/>
  <c r="DO236" i="1"/>
  <c r="FT109" i="1"/>
  <c r="FR109" i="1" s="1"/>
  <c r="FM109" i="1"/>
  <c r="FK109" i="1" s="1"/>
  <c r="FG109" i="1"/>
  <c r="FE109" i="1" s="1"/>
  <c r="EU109" i="1"/>
  <c r="EU15" i="1" s="1"/>
  <c r="DO109" i="1"/>
  <c r="DM109" i="1" s="1"/>
  <c r="FU15" i="1"/>
  <c r="FA109" i="1"/>
  <c r="EY109" i="1" s="1"/>
  <c r="FA15" i="1"/>
  <c r="FB20" i="1"/>
  <c r="FB5" i="1" s="1"/>
  <c r="FN20" i="1"/>
  <c r="FN6" i="1" s="1"/>
  <c r="FM15" i="1"/>
  <c r="FH20" i="1"/>
  <c r="FH5" i="1" s="1"/>
  <c r="FG15" i="1"/>
  <c r="DX109" i="1"/>
  <c r="DZ109" i="1"/>
  <c r="EB109" i="1"/>
  <c r="DW109" i="1"/>
  <c r="EH109" i="1"/>
  <c r="FQ5" i="1" l="1"/>
  <c r="FQ4" i="1" s="1"/>
  <c r="FI5" i="1"/>
  <c r="FI4" i="1" s="1"/>
  <c r="ER6" i="1"/>
  <c r="ER4" i="1" s="1"/>
  <c r="EP5" i="1"/>
  <c r="EP4" i="1" s="1"/>
  <c r="EQ6" i="1"/>
  <c r="EQ4" i="1" s="1"/>
  <c r="EJ6" i="1"/>
  <c r="EJ4" i="1" s="1"/>
  <c r="EK6" i="1"/>
  <c r="EK4" i="1" s="1"/>
  <c r="EE6" i="1"/>
  <c r="EG6" i="1" s="1"/>
  <c r="FJ6" i="1"/>
  <c r="FJ4" i="1" s="1"/>
  <c r="FW6" i="1"/>
  <c r="FW4" i="1" s="1"/>
  <c r="EX4" i="1"/>
  <c r="ED5" i="1"/>
  <c r="ED4" i="1" s="1"/>
  <c r="FN5" i="1"/>
  <c r="FN4" i="1" s="1"/>
  <c r="EL5" i="1"/>
  <c r="EL4" i="1" s="1"/>
  <c r="EV6" i="1"/>
  <c r="EV4" i="1" s="1"/>
  <c r="FV5" i="1"/>
  <c r="FV4" i="1" s="1"/>
  <c r="FB6" i="1"/>
  <c r="FB4" i="1" s="1"/>
  <c r="EW6" i="1"/>
  <c r="EW4" i="1" s="1"/>
  <c r="FO5" i="1"/>
  <c r="FO4" i="1" s="1"/>
  <c r="FC6" i="1"/>
  <c r="FC4" i="1" s="1"/>
  <c r="FP6" i="1"/>
  <c r="FP4" i="1" s="1"/>
  <c r="FD6" i="1"/>
  <c r="FD4" i="1" s="1"/>
  <c r="EF5" i="1"/>
  <c r="FH6" i="1"/>
  <c r="FH4" i="1" s="1"/>
  <c r="FM20" i="1"/>
  <c r="FM5" i="1" s="1"/>
  <c r="FG20" i="1"/>
  <c r="FG6" i="1" s="1"/>
  <c r="EU20" i="1"/>
  <c r="EU6" i="1" s="1"/>
  <c r="EO20" i="1"/>
  <c r="EO5" i="1" s="1"/>
  <c r="FA20" i="1"/>
  <c r="FA6" i="1" s="1"/>
  <c r="FT15" i="1"/>
  <c r="FU20" i="1"/>
  <c r="FT20" i="1" s="1"/>
  <c r="EM109" i="1"/>
  <c r="ES109" i="1"/>
  <c r="EO6" i="1" l="1"/>
  <c r="EO4" i="1" s="1"/>
  <c r="EE4" i="1"/>
  <c r="FA5" i="1"/>
  <c r="FA4" i="1" s="1"/>
  <c r="EG5" i="1"/>
  <c r="EF4" i="1"/>
  <c r="FU5" i="1"/>
  <c r="FM6" i="1"/>
  <c r="FM4" i="1" s="1"/>
  <c r="FU6" i="1"/>
  <c r="FG5" i="1"/>
  <c r="FG4" i="1" s="1"/>
  <c r="EU5" i="1"/>
  <c r="EU4" i="1" s="1"/>
  <c r="FT6" i="1"/>
  <c r="FT5" i="1"/>
  <c r="FU4" i="1" l="1"/>
  <c r="FT4" i="1"/>
  <c r="BR120" i="1"/>
  <c r="CB120" i="1"/>
  <c r="CC120" i="1"/>
  <c r="BX120" i="1"/>
  <c r="CK120" i="1"/>
  <c r="BW120" i="1"/>
  <c r="CJ120" i="1"/>
  <c r="BV120" i="1"/>
  <c r="CI120" i="1"/>
  <c r="BU120" i="1"/>
  <c r="CH120" i="1"/>
  <c r="BY117" i="1"/>
  <c r="BT120" i="1"/>
  <c r="BY120" i="1"/>
  <c r="BW117" i="1"/>
  <c r="CG120" i="1"/>
  <c r="CF120" i="1"/>
  <c r="CE120" i="1"/>
  <c r="CD120" i="1"/>
  <c r="BS120" i="1"/>
  <c r="CA120" i="1"/>
  <c r="BZ120" i="1"/>
  <c r="CL117" i="1" l="1"/>
  <c r="CL120" i="1"/>
  <c r="DP120" i="1" l="1"/>
  <c r="DP153" i="1" s="1"/>
  <c r="FZ120" i="1"/>
  <c r="EX117" i="1"/>
  <c r="FZ117" i="1"/>
  <c r="EE117" i="1"/>
  <c r="DS117" i="1"/>
  <c r="CO117" i="1"/>
  <c r="M117" i="1" s="1"/>
  <c r="EF117" i="1"/>
  <c r="DI117" i="1"/>
  <c r="EK117" i="1"/>
  <c r="FP117" i="1"/>
  <c r="EV117" i="1"/>
  <c r="FU117" i="1"/>
  <c r="EW120" i="1"/>
  <c r="EW153" i="1" s="1"/>
  <c r="EW154" i="1" s="1"/>
  <c r="DU120" i="1"/>
  <c r="DU153" i="1" s="1"/>
  <c r="DU154" i="1" s="1"/>
  <c r="FB117" i="1"/>
  <c r="DZ117" i="1"/>
  <c r="FN117" i="1"/>
  <c r="FV117" i="1"/>
  <c r="FJ117" i="1"/>
  <c r="FQ117" i="1"/>
  <c r="CX117" i="1"/>
  <c r="FH120" i="1"/>
  <c r="FH153" i="1" s="1"/>
  <c r="DU117" i="1"/>
  <c r="FI117" i="1"/>
  <c r="ED120" i="1"/>
  <c r="ED153" i="1" s="1"/>
  <c r="ED154" i="1" s="1"/>
  <c r="DS120" i="1"/>
  <c r="DS153" i="1" s="1"/>
  <c r="DS154" i="1" s="1"/>
  <c r="CX120" i="1"/>
  <c r="DX117" i="1"/>
  <c r="ER117" i="1"/>
  <c r="EQ120" i="1"/>
  <c r="EQ153" i="1" s="1"/>
  <c r="EQ154" i="1" s="1"/>
  <c r="EL117" i="1"/>
  <c r="EJ117" i="1"/>
  <c r="FB120" i="1"/>
  <c r="FB153" i="1" s="1"/>
  <c r="EP120" i="1"/>
  <c r="EP153" i="1" s="1"/>
  <c r="EP154" i="1" s="1"/>
  <c r="FV120" i="1"/>
  <c r="FV153" i="1" s="1"/>
  <c r="FV154" i="1" s="1"/>
  <c r="FC117" i="1"/>
  <c r="ED117" i="1"/>
  <c r="EP117" i="1"/>
  <c r="CW120" i="1"/>
  <c r="EF120" i="1"/>
  <c r="EF153" i="1" s="1"/>
  <c r="EF154" i="1" s="1"/>
  <c r="EW117" i="1"/>
  <c r="FW117" i="1"/>
  <c r="DT117" i="1"/>
  <c r="CO120" i="1"/>
  <c r="M120" i="1" s="1"/>
  <c r="DQ120" i="1"/>
  <c r="DQ153" i="1" s="1"/>
  <c r="DQ154" i="1" s="1"/>
  <c r="EL120" i="1"/>
  <c r="EL153" i="1" s="1"/>
  <c r="EL154" i="1" s="1"/>
  <c r="FQ120" i="1"/>
  <c r="FQ153" i="1" s="1"/>
  <c r="FQ154" i="1" s="1"/>
  <c r="EE120" i="1"/>
  <c r="EE153" i="1" s="1"/>
  <c r="EE154" i="1" s="1"/>
  <c r="FW120" i="1"/>
  <c r="FW153" i="1" s="1"/>
  <c r="FW154" i="1" s="1"/>
  <c r="DR117" i="1"/>
  <c r="FD117" i="1"/>
  <c r="FH117" i="1"/>
  <c r="FN120" i="1"/>
  <c r="FN153" i="1" s="1"/>
  <c r="FO120" i="1"/>
  <c r="FO153" i="1" s="1"/>
  <c r="FO154" i="1" s="1"/>
  <c r="FU120" i="1"/>
  <c r="FU153" i="1" s="1"/>
  <c r="ER120" i="1"/>
  <c r="ER153" i="1" s="1"/>
  <c r="ER154" i="1" s="1"/>
  <c r="FP120" i="1"/>
  <c r="FP153" i="1" s="1"/>
  <c r="FP154" i="1" s="1"/>
  <c r="EQ117" i="1"/>
  <c r="FC120" i="1"/>
  <c r="FC153" i="1" s="1"/>
  <c r="FC154" i="1" s="1"/>
  <c r="DT120" i="1"/>
  <c r="DT153" i="1" s="1"/>
  <c r="DT154" i="1" s="1"/>
  <c r="EV120" i="1"/>
  <c r="EV153" i="1" s="1"/>
  <c r="EV154" i="1" s="1"/>
  <c r="CY117" i="1"/>
  <c r="CV117" i="1" s="1"/>
  <c r="DQ117" i="1"/>
  <c r="CW117" i="1"/>
  <c r="EK120" i="1"/>
  <c r="EK153" i="1" s="1"/>
  <c r="EK154" i="1" s="1"/>
  <c r="DZ120" i="1"/>
  <c r="CY120" i="1"/>
  <c r="N120" i="1" s="1"/>
  <c r="DP117" i="1"/>
  <c r="FO117" i="1"/>
  <c r="DR120" i="1"/>
  <c r="DR153" i="1" s="1"/>
  <c r="DR154" i="1" s="1"/>
  <c r="EX120" i="1"/>
  <c r="EX153" i="1" s="1"/>
  <c r="EX154" i="1" s="1"/>
  <c r="FI120" i="1"/>
  <c r="FI153" i="1" s="1"/>
  <c r="FI154" i="1" s="1"/>
  <c r="DI120" i="1"/>
  <c r="DX120" i="1"/>
  <c r="FD120" i="1"/>
  <c r="FD153" i="1" s="1"/>
  <c r="FD154" i="1" s="1"/>
  <c r="EJ120" i="1"/>
  <c r="EJ153" i="1" s="1"/>
  <c r="EJ154" i="1" s="1"/>
  <c r="FJ120" i="1"/>
  <c r="FJ153" i="1" s="1"/>
  <c r="FJ154" i="1" s="1"/>
  <c r="EB154" i="1" l="1"/>
  <c r="EH154" i="1"/>
  <c r="DO153" i="1"/>
  <c r="DP154" i="1"/>
  <c r="DO154" i="1" s="1"/>
  <c r="DM154" i="1" s="1"/>
  <c r="FT153" i="1"/>
  <c r="FU154" i="1"/>
  <c r="FT154" i="1" s="1"/>
  <c r="FR154" i="1" s="1"/>
  <c r="FG153" i="1"/>
  <c r="FH154" i="1"/>
  <c r="FG154" i="1" s="1"/>
  <c r="FE154" i="1" s="1"/>
  <c r="FM153" i="1"/>
  <c r="FN154" i="1"/>
  <c r="FM154" i="1" s="1"/>
  <c r="FK154" i="1" s="1"/>
  <c r="FA153" i="1"/>
  <c r="FB154" i="1"/>
  <c r="FA154" i="1" s="1"/>
  <c r="EY154" i="1" s="1"/>
  <c r="EB117" i="1"/>
  <c r="CX4" i="1"/>
  <c r="CX2" i="1" s="1"/>
  <c r="FG120" i="1"/>
  <c r="FE120" i="1" s="1"/>
  <c r="CW4" i="1"/>
  <c r="CW2" i="1" s="1"/>
  <c r="EU117" i="1"/>
  <c r="ES117" i="1" s="1"/>
  <c r="N117" i="1"/>
  <c r="FM117" i="1"/>
  <c r="FK117" i="1" s="1"/>
  <c r="GB117" i="1"/>
  <c r="EH117" i="1"/>
  <c r="EU120" i="1"/>
  <c r="FA117" i="1"/>
  <c r="EY117" i="1" s="1"/>
  <c r="DO117" i="1"/>
  <c r="DM117" i="1" s="1"/>
  <c r="FT117" i="1"/>
  <c r="FR117" i="1" s="1"/>
  <c r="FT120" i="1"/>
  <c r="FR120" i="1" s="1"/>
  <c r="FA120" i="1"/>
  <c r="EY120" i="1" s="1"/>
  <c r="FG117" i="1"/>
  <c r="FE117" i="1" s="1"/>
  <c r="EB120" i="1"/>
  <c r="EH120" i="1"/>
  <c r="DO120" i="1"/>
  <c r="DM120" i="1" s="1"/>
  <c r="EO120" i="1"/>
  <c r="FM120" i="1"/>
  <c r="FK120" i="1" s="1"/>
  <c r="CY4" i="1"/>
  <c r="CY2" i="1" s="1"/>
  <c r="CV120" i="1"/>
  <c r="CU120" i="1" s="1"/>
  <c r="CT120" i="1" s="1"/>
  <c r="H120" i="1" s="1"/>
  <c r="EO117" i="1"/>
  <c r="EM117" i="1" s="1"/>
  <c r="GB120" i="1"/>
  <c r="CU117" i="1"/>
  <c r="CT117" i="1" s="1"/>
  <c r="H117" i="1" s="1"/>
  <c r="DW117" i="1"/>
  <c r="DY117" i="1" s="1"/>
  <c r="EM120" i="1" l="1"/>
  <c r="EO153" i="1"/>
  <c r="EO154" i="1" s="1"/>
  <c r="EM154" i="1" s="1"/>
  <c r="ES120" i="1"/>
  <c r="EU153" i="1"/>
  <c r="EU154" i="1" s="1"/>
  <c r="ES154" i="1" s="1"/>
  <c r="DN117" i="1"/>
  <c r="CV4" i="1"/>
  <c r="CV2" i="1" s="1"/>
  <c r="DW120" i="1"/>
  <c r="FL117" i="1"/>
  <c r="EA117" i="1"/>
  <c r="EC117" i="1"/>
  <c r="FS117" i="1"/>
  <c r="FF117" i="1"/>
</calcChain>
</file>

<file path=xl/sharedStrings.xml><?xml version="1.0" encoding="utf-8"?>
<sst xmlns="http://schemas.openxmlformats.org/spreadsheetml/2006/main" count="3852" uniqueCount="1039">
  <si>
    <t>Skrogmål</t>
  </si>
  <si>
    <t>Propell</t>
  </si>
  <si>
    <t>Skipper</t>
  </si>
  <si>
    <t>Skjules</t>
  </si>
  <si>
    <t>Dyp formel</t>
  </si>
  <si>
    <t>Faktor</t>
  </si>
  <si>
    <t>på/av</t>
  </si>
  <si>
    <t>Fot</t>
  </si>
  <si>
    <t>Gaffel/
Berm.</t>
  </si>
  <si>
    <t>Jager</t>
  </si>
  <si>
    <t>Toppseil</t>
  </si>
  <si>
    <t>LOA
m</t>
  </si>
  <si>
    <t>LWL 
m</t>
  </si>
  <si>
    <t>Brd.
Netto
m</t>
  </si>
  <si>
    <t>Propell
type</t>
  </si>
  <si>
    <t>Mobil</t>
  </si>
  <si>
    <t>Epost</t>
  </si>
  <si>
    <t>Dyp faktor</t>
  </si>
  <si>
    <t>LYS
JJN
2011</t>
  </si>
  <si>
    <t>Gaffel</t>
  </si>
  <si>
    <t>C</t>
  </si>
  <si>
    <t>Seilrett</t>
  </si>
  <si>
    <t>RS 30 Risør II</t>
  </si>
  <si>
    <t>TBF</t>
  </si>
  <si>
    <t>S+F+M+K+T</t>
  </si>
  <si>
    <t>S+F+M+K</t>
  </si>
  <si>
    <t>RS 1 Colin Archer</t>
  </si>
  <si>
    <t>B</t>
  </si>
  <si>
    <t>S+F+K+T</t>
  </si>
  <si>
    <t>S+F+K</t>
  </si>
  <si>
    <t>S+F+k</t>
  </si>
  <si>
    <t>Kathleen II</t>
  </si>
  <si>
    <t>A</t>
  </si>
  <si>
    <t>S+F</t>
  </si>
  <si>
    <t>S1+F+k</t>
  </si>
  <si>
    <t>S1+F</t>
  </si>
  <si>
    <t>S2+F</t>
  </si>
  <si>
    <t>Pinta</t>
  </si>
  <si>
    <t>Bermuda</t>
  </si>
  <si>
    <t>Fast</t>
  </si>
  <si>
    <t>Nils Mathiesen</t>
  </si>
  <si>
    <t>ningeman@online.no</t>
  </si>
  <si>
    <t>Lavinia</t>
  </si>
  <si>
    <t>Jens Moestue</t>
  </si>
  <si>
    <t>jemoes@online.no</t>
  </si>
  <si>
    <t>S+G+F+M</t>
  </si>
  <si>
    <t>S+G+M</t>
  </si>
  <si>
    <t>Norion</t>
  </si>
  <si>
    <t>Harald Sundbye</t>
  </si>
  <si>
    <t>storesk@online.no</t>
  </si>
  <si>
    <t>Mohawk II</t>
  </si>
  <si>
    <t>Eileen II</t>
  </si>
  <si>
    <t>Else</t>
  </si>
  <si>
    <t>Karuna</t>
  </si>
  <si>
    <t>Marieto</t>
  </si>
  <si>
    <t>Marita</t>
  </si>
  <si>
    <t>RS 5 Liv</t>
  </si>
  <si>
    <t>Terje Smith</t>
  </si>
  <si>
    <t>Venus</t>
  </si>
  <si>
    <t>SSCA Klasse</t>
  </si>
  <si>
    <t>Erling Augland</t>
  </si>
  <si>
    <t>erling.augland@larvik.kommune.no</t>
  </si>
  <si>
    <t>Jomfruen</t>
  </si>
  <si>
    <t>Knut Nordstaa</t>
  </si>
  <si>
    <t>S+F+K+M</t>
  </si>
  <si>
    <t>S+F+K+T+M</t>
  </si>
  <si>
    <t>Karen Sophie II</t>
  </si>
  <si>
    <t>RAAK</t>
  </si>
  <si>
    <t>S+G</t>
  </si>
  <si>
    <t>S+g</t>
  </si>
  <si>
    <t>Havfrua</t>
  </si>
  <si>
    <t>Trygve Aanjesen</t>
  </si>
  <si>
    <t>taanjese@start.no</t>
  </si>
  <si>
    <t>Vanadis</t>
  </si>
  <si>
    <t>Forseil</t>
  </si>
  <si>
    <t>Knut Sørensen</t>
  </si>
  <si>
    <t>SA % Lwl</t>
  </si>
  <si>
    <t>Ballast</t>
  </si>
  <si>
    <t>Strikk</t>
  </si>
  <si>
    <t>CARMEN IV</t>
  </si>
  <si>
    <t>Stein Victor Svendsen</t>
  </si>
  <si>
    <t>FILIBUSTER</t>
  </si>
  <si>
    <t>Folkebåt LYS=0,97</t>
  </si>
  <si>
    <t>FLICA II</t>
  </si>
  <si>
    <t>Charlie</t>
  </si>
  <si>
    <t>SA/depl</t>
  </si>
  <si>
    <t>Lwl</t>
  </si>
  <si>
    <t>Loa+Lwl
/b</t>
  </si>
  <si>
    <t>Formel verdi</t>
  </si>
  <si>
    <t>TBF +</t>
  </si>
  <si>
    <t>M/m &gt;</t>
  </si>
  <si>
    <t>min &gt;</t>
  </si>
  <si>
    <t>Maks &gt;</t>
  </si>
  <si>
    <t>SA/
depl</t>
  </si>
  <si>
    <t>Loa/b</t>
  </si>
  <si>
    <t>SA/
Lwl</t>
  </si>
  <si>
    <t>TBF 
2023 -2022</t>
  </si>
  <si>
    <t>Loa/
Depl</t>
  </si>
  <si>
    <t>Formel verdi
x</t>
  </si>
  <si>
    <t>Formel verdi
+</t>
  </si>
  <si>
    <t>TBF 
+</t>
  </si>
  <si>
    <t>TBF
x</t>
  </si>
  <si>
    <t>-</t>
  </si>
  <si>
    <t>Dyp/Loa</t>
  </si>
  <si>
    <t>1: På/av &amp; % &gt;</t>
  </si>
  <si>
    <t>2: Potens &gt;</t>
  </si>
  <si>
    <t>3: Brd % &amp; på/av &gt;</t>
  </si>
  <si>
    <t>4: Lwl pluss &gt;</t>
  </si>
  <si>
    <t>5: &gt;</t>
  </si>
  <si>
    <t>S+K+M</t>
  </si>
  <si>
    <t>S+F+k2</t>
  </si>
  <si>
    <t>S+F+k3</t>
  </si>
  <si>
    <t>S1+F+K</t>
  </si>
  <si>
    <t>S1+F+k3</t>
  </si>
  <si>
    <t>S1+F+k2</t>
  </si>
  <si>
    <t>S+F+k2+T</t>
  </si>
  <si>
    <t>Z =</t>
  </si>
  <si>
    <t>2022
0,90
y-0,5</t>
  </si>
  <si>
    <t>2022
y-0,5</t>
  </si>
  <si>
    <t>S+F+M+K+T+TM</t>
  </si>
  <si>
    <t>Z-5,00
Y+2,00</t>
  </si>
  <si>
    <t>SSCA
Y+2,00</t>
  </si>
  <si>
    <t>SSCA VET</t>
  </si>
  <si>
    <t>TBF 22</t>
  </si>
  <si>
    <t>Lengde faktor</t>
  </si>
  <si>
    <t>Erfarings-Faktor</t>
  </si>
  <si>
    <t>Jeppe Jul Nielsen</t>
  </si>
  <si>
    <t>Mobil: 9077 8929</t>
  </si>
  <si>
    <t>Dyp/Lwl SSCA</t>
  </si>
  <si>
    <t>Storseil rev formel &gt;</t>
  </si>
  <si>
    <t>Standardbåt - RS1
original tegning</t>
  </si>
  <si>
    <t>Seilarealer modifisert</t>
  </si>
  <si>
    <t>TBF av-rundet</t>
  </si>
  <si>
    <t>SA
Depl faktor</t>
  </si>
  <si>
    <t>x</t>
  </si>
  <si>
    <t>TBF hoved-formel</t>
  </si>
  <si>
    <t>Bredde faktor</t>
  </si>
  <si>
    <t>S+K</t>
  </si>
  <si>
    <t>S1+F+K+M</t>
  </si>
  <si>
    <t>JJN 2011
/TBF 2023</t>
  </si>
  <si>
    <t>Kathleen</t>
  </si>
  <si>
    <t>NANNA</t>
  </si>
  <si>
    <t>S+F+K+M+T</t>
  </si>
  <si>
    <t>S+F+K+M+T+Tm</t>
  </si>
  <si>
    <t>S+F+K+M+T+Tm+J</t>
  </si>
  <si>
    <t>Genoa med Fokk</t>
  </si>
  <si>
    <t>Genoa Uten fokk</t>
  </si>
  <si>
    <t>Genoa uten fokk</t>
  </si>
  <si>
    <t>S+F+M+k2</t>
  </si>
  <si>
    <t>Depl.
Lengde
vs.
RS1</t>
  </si>
  <si>
    <t>Netto vekt
vs.
RS1</t>
  </si>
  <si>
    <t>Depl.
L&amp;B
vs.
RS1</t>
  </si>
  <si>
    <t>Bredde
vs.
RS1</t>
  </si>
  <si>
    <t>Dypg
vs.
RS1</t>
  </si>
  <si>
    <t>Skaleringsfaktor &gt;</t>
  </si>
  <si>
    <t>Poeng
faktor</t>
  </si>
  <si>
    <t>. Storklyver - Genoa</t>
  </si>
  <si>
    <t>. Klyver standard</t>
  </si>
  <si>
    <t>. Mellom Klyver</t>
  </si>
  <si>
    <t>. Stormklyver</t>
  </si>
  <si>
    <t>. Fokk</t>
  </si>
  <si>
    <t>. Stor 1 rev</t>
  </si>
  <si>
    <t>. Stor 2 rev</t>
  </si>
  <si>
    <t>. Toppseil</t>
  </si>
  <si>
    <t>. Lite topp seil</t>
  </si>
  <si>
    <t>. Mesan topp</t>
  </si>
  <si>
    <t>. Bermuda - stor</t>
  </si>
  <si>
    <t>. Bm 1 rev</t>
  </si>
  <si>
    <t>. Klyver std</t>
  </si>
  <si>
    <t>. Liten Klyver</t>
  </si>
  <si>
    <t>. Storseil</t>
  </si>
  <si>
    <t>. Bm Mesan &amp; Sk</t>
  </si>
  <si>
    <t>. SA beregnet</t>
  </si>
  <si>
    <t>. Seilareal</t>
  </si>
  <si>
    <t>Brd.
vs
L.</t>
  </si>
  <si>
    <t>Kjøl &amp; Ball. 
%</t>
  </si>
  <si>
    <t>Propell faktor</t>
  </si>
  <si>
    <t>Depl</t>
  </si>
  <si>
    <t>. SA/Depl. vs. RS1</t>
  </si>
  <si>
    <t>. SA/Lwl vs. RS1</t>
  </si>
  <si>
    <t>SA vs</t>
  </si>
  <si>
    <t>IF folkebåt</t>
  </si>
  <si>
    <t>SA/
Depl. vs. RS1</t>
  </si>
  <si>
    <t>SA/ Lwl 
vs. 
RS1</t>
  </si>
  <si>
    <t xml:space="preserve">                                                                            </t>
  </si>
  <si>
    <t>Storseil høyde faktor</t>
  </si>
  <si>
    <t>. Storseilets høyde</t>
  </si>
  <si>
    <t>Bojar</t>
  </si>
  <si>
    <t>Glæden</t>
  </si>
  <si>
    <t>Sei-areal faktor</t>
  </si>
  <si>
    <t>RS 10 Chistiania</t>
  </si>
  <si>
    <t>olekri49@xxx</t>
  </si>
  <si>
    <t>. Rigghøyde-faktor</t>
  </si>
  <si>
    <t>Med 2 forseil trekkes av minste =</t>
  </si>
  <si>
    <t>Mail: jeppejul02@gmail.com</t>
  </si>
  <si>
    <t>Skaleringsfaktor</t>
  </si>
  <si>
    <t>Trebåtfestivalens måltall- TBF</t>
  </si>
  <si>
    <t>Motor.</t>
  </si>
  <si>
    <t>RS 14 Stavanger</t>
  </si>
  <si>
    <t>Antall blader</t>
  </si>
  <si>
    <t>Dia 
cm</t>
  </si>
  <si>
    <t>Los Flekkerøy</t>
  </si>
  <si>
    <t>Los West Wind</t>
  </si>
  <si>
    <t>Los</t>
  </si>
  <si>
    <t>SKROGTYPE</t>
  </si>
  <si>
    <t>Langkjølt, ekstra</t>
  </si>
  <si>
    <t>Bruksbåt</t>
  </si>
  <si>
    <t>Spissgatter</t>
  </si>
  <si>
    <t>Meterbåt</t>
  </si>
  <si>
    <t>Finne, moderat</t>
  </si>
  <si>
    <t>Finne mod</t>
  </si>
  <si>
    <t>Lystb</t>
  </si>
  <si>
    <t>Cruiser</t>
  </si>
  <si>
    <t>Spiss</t>
  </si>
  <si>
    <t>Meter</t>
  </si>
  <si>
    <t>Finne</t>
  </si>
  <si>
    <t>Skjær</t>
  </si>
  <si>
    <t>Kortkjølt</t>
  </si>
  <si>
    <t>Kutter</t>
  </si>
  <si>
    <t>Senk</t>
  </si>
  <si>
    <t>Senkekjøl</t>
  </si>
  <si>
    <t>los</t>
  </si>
  <si>
    <t>Folk</t>
  </si>
  <si>
    <t>Folkebåt</t>
  </si>
  <si>
    <t>Skrog.</t>
  </si>
  <si>
    <t>. Skrogfaktor</t>
  </si>
  <si>
    <t>VEMA III</t>
  </si>
  <si>
    <t>MOSK II</t>
  </si>
  <si>
    <t>ERNA HELENA</t>
  </si>
  <si>
    <t>S+F org kvm</t>
  </si>
  <si>
    <t>Klassiske meterbåter - sortert etter vannlinje lengde</t>
  </si>
  <si>
    <t>S+F (festivalen 2022)</t>
  </si>
  <si>
    <t>s+f  (festivalen 2022)</t>
  </si>
  <si>
    <t>RS</t>
  </si>
  <si>
    <t>Ekstra langkjølet, kuttere o.l.</t>
  </si>
  <si>
    <t>Los/RS/bruksbåt</t>
  </si>
  <si>
    <t>Lystbåt som Cruiser/Marie</t>
  </si>
  <si>
    <t>Underskåret baug som spissgattere, folkebåt o.l.</t>
  </si>
  <si>
    <t>Meterbåter</t>
  </si>
  <si>
    <t>Finnekjøl, smal</t>
  </si>
  <si>
    <t>Delt laterplan, medium</t>
  </si>
  <si>
    <t>Kortere vannlinje, meterbåt</t>
  </si>
  <si>
    <t>Meget kortkjølt, skjærgårdskrysser o.l.</t>
  </si>
  <si>
    <t>tillegg</t>
  </si>
  <si>
    <t>faktor</t>
  </si>
  <si>
    <t>Rot i bredde</t>
  </si>
  <si>
    <t>Rot i lengde</t>
  </si>
  <si>
    <t>Rot i StH</t>
  </si>
  <si>
    <t>Avrunding</t>
  </si>
  <si>
    <t>Gaffelseil</t>
  </si>
  <si>
    <t>Seilfaktorer &gt;</t>
  </si>
  <si>
    <t>Seilfaktorer</t>
  </si>
  <si>
    <t>Moderne</t>
  </si>
  <si>
    <t>. SA- faktor sum</t>
  </si>
  <si>
    <t>. Storklyver- Genoa</t>
  </si>
  <si>
    <t>Alu</t>
  </si>
  <si>
    <t>KLR rigg</t>
  </si>
  <si>
    <t>RS 28 Sandefjord</t>
  </si>
  <si>
    <t>Arkiv skøyter</t>
  </si>
  <si>
    <t>Vilde</t>
  </si>
  <si>
    <t>Meter- og turbåter festivalen 2023</t>
  </si>
  <si>
    <t>Anita</t>
  </si>
  <si>
    <t>Cintra</t>
  </si>
  <si>
    <t>Solgang IV</t>
  </si>
  <si>
    <t>Van Hout</t>
  </si>
  <si>
    <t>Victoria</t>
  </si>
  <si>
    <t>. Mast aluminium</t>
  </si>
  <si>
    <t>Finnekjøl, medium</t>
  </si>
  <si>
    <t>Risør Trebåtfestival 2023</t>
  </si>
  <si>
    <t xml:space="preserve">Risør Classic Regatta </t>
  </si>
  <si>
    <t>PÅMELDINGSSKJEMA</t>
  </si>
  <si>
    <r>
      <t>Båtens navn</t>
    </r>
    <r>
      <rPr>
        <sz val="12"/>
        <color theme="1"/>
        <rFont val="Times New Roman"/>
        <family val="1"/>
      </rPr>
      <t xml:space="preserve"> </t>
    </r>
  </si>
  <si>
    <t xml:space="preserve">Seilnummer </t>
  </si>
  <si>
    <t xml:space="preserve">Båttype / Klasse/ Skrogtype </t>
  </si>
  <si>
    <r>
      <t>Riggtype (</t>
    </r>
    <r>
      <rPr>
        <sz val="12"/>
        <color theme="1"/>
        <rFont val="Times New Roman"/>
        <family val="1"/>
      </rPr>
      <t xml:space="preserve">Gaffel, Bermuda, …) </t>
    </r>
  </si>
  <si>
    <t xml:space="preserve">Skrogfarge </t>
  </si>
  <si>
    <r>
      <t>Seilfarge</t>
    </r>
    <r>
      <rPr>
        <sz val="12"/>
        <color theme="1"/>
        <rFont val="Times New Roman"/>
        <family val="1"/>
      </rPr>
      <t xml:space="preserve"> </t>
    </r>
  </si>
  <si>
    <r>
      <t>Skipper</t>
    </r>
    <r>
      <rPr>
        <sz val="12"/>
        <color theme="1"/>
        <rFont val="Times New Roman"/>
        <family val="1"/>
      </rPr>
      <t xml:space="preserve"> </t>
    </r>
  </si>
  <si>
    <t xml:space="preserve">Postadresse </t>
  </si>
  <si>
    <r>
      <t xml:space="preserve">Postnummer </t>
    </r>
    <r>
      <rPr>
        <u/>
        <sz val="12"/>
        <color theme="1"/>
        <rFont val="Times New Roman"/>
        <family val="1"/>
      </rPr>
      <t xml:space="preserve">                  </t>
    </r>
    <r>
      <rPr>
        <sz val="12"/>
        <color theme="1"/>
        <rFont val="Times New Roman"/>
        <family val="1"/>
      </rPr>
      <t xml:space="preserve"> Sted </t>
    </r>
    <r>
      <rPr>
        <u/>
        <sz val="12"/>
        <color theme="1"/>
        <rFont val="Times New Roman"/>
        <family val="1"/>
      </rPr>
      <t xml:space="preserve"> </t>
    </r>
  </si>
  <si>
    <r>
      <t xml:space="preserve">Land </t>
    </r>
    <r>
      <rPr>
        <u/>
        <sz val="12"/>
        <color theme="1"/>
        <rFont val="Times New Roman"/>
        <family val="1"/>
      </rPr>
      <t xml:space="preserve">                                       </t>
    </r>
    <r>
      <rPr>
        <sz val="12"/>
        <color theme="1"/>
        <rFont val="Times New Roman"/>
        <family val="1"/>
      </rPr>
      <t xml:space="preserve"> Mobil </t>
    </r>
  </si>
  <si>
    <r>
      <t xml:space="preserve">E-post </t>
    </r>
    <r>
      <rPr>
        <u/>
        <sz val="12"/>
        <color theme="1"/>
        <rFont val="Times New Roman"/>
        <family val="1"/>
      </rPr>
      <t xml:space="preserve"> </t>
    </r>
  </si>
  <si>
    <t xml:space="preserve">Seilforening </t>
  </si>
  <si>
    <r>
      <t>Båtens eier</t>
    </r>
    <r>
      <rPr>
        <sz val="12"/>
        <color theme="1"/>
        <rFont val="Times New Roman"/>
        <family val="1"/>
      </rPr>
      <t xml:space="preserve"> </t>
    </r>
  </si>
  <si>
    <r>
      <t xml:space="preserve">Postnummer </t>
    </r>
    <r>
      <rPr>
        <u/>
        <sz val="12"/>
        <color theme="1"/>
        <rFont val="Times New Roman"/>
        <family val="1"/>
      </rPr>
      <t xml:space="preserve">                </t>
    </r>
    <r>
      <rPr>
        <sz val="12"/>
        <color theme="1"/>
        <rFont val="Times New Roman"/>
        <family val="1"/>
      </rPr>
      <t xml:space="preserve"> Sted </t>
    </r>
  </si>
  <si>
    <r>
      <t xml:space="preserve">Land </t>
    </r>
    <r>
      <rPr>
        <u/>
        <sz val="12"/>
        <color theme="1"/>
        <rFont val="Times New Roman"/>
        <family val="1"/>
      </rPr>
      <t xml:space="preserve">                                    </t>
    </r>
    <r>
      <rPr>
        <sz val="12"/>
        <color theme="1"/>
        <rFont val="Times New Roman"/>
        <family val="1"/>
      </rPr>
      <t xml:space="preserve"> Tlf. </t>
    </r>
  </si>
  <si>
    <t>Båtdata</t>
  </si>
  <si>
    <t>Hvis data, mål og seil</t>
  </si>
  <si>
    <t xml:space="preserve">vi allerede har på www.jul-nielsen.no/TBF.html, er korrekte, bekreft OK her: </t>
  </si>
  <si>
    <t xml:space="preserve">Konstruktør </t>
  </si>
  <si>
    <t xml:space="preserve">Båtbyggeri </t>
  </si>
  <si>
    <t xml:space="preserve">Byggeår </t>
  </si>
  <si>
    <r>
      <t>Lateralplan</t>
    </r>
    <r>
      <rPr>
        <sz val="12"/>
        <color theme="1"/>
        <rFont val="Times New Roman"/>
        <family val="1"/>
      </rPr>
      <t xml:space="preserve">; </t>
    </r>
  </si>
  <si>
    <t>Los/redningsskøyte - Lystbåt (Marie/Cruiser) – Kutter langkjølet – Spissgatter etter 1913 - Meterbåt - Plattgatter - Folkebåt - Skjærgårdskrysser kortkjølt - Finnekjøl m. separat ror – Senkekjøl. (Hvis usikker på kategori, legg ved bilde på land, ev. tegning, eller ta kontakt)</t>
  </si>
  <si>
    <r>
      <t>Båtens vitale mål</t>
    </r>
    <r>
      <rPr>
        <sz val="12"/>
        <color theme="1"/>
        <rFont val="Times New Roman"/>
        <family val="1"/>
      </rPr>
      <t xml:space="preserve"> (i meter)</t>
    </r>
  </si>
  <si>
    <r>
      <t>Lengde (</t>
    </r>
    <r>
      <rPr>
        <sz val="12"/>
        <color theme="1"/>
        <rFont val="Times New Roman"/>
        <family val="1"/>
      </rPr>
      <t xml:space="preserve">over dekk utv stevner): </t>
    </r>
  </si>
  <si>
    <r>
      <t>Lengde i vannlinjen;</t>
    </r>
    <r>
      <rPr>
        <sz val="12"/>
        <color theme="1"/>
        <rFont val="Times New Roman"/>
        <family val="1"/>
      </rPr>
      <t xml:space="preserve"> (uten ror) </t>
    </r>
  </si>
  <si>
    <r>
      <t>Bredde (</t>
    </r>
    <r>
      <rPr>
        <sz val="12"/>
        <color theme="1"/>
        <rFont val="Times New Roman"/>
        <family val="1"/>
      </rPr>
      <t xml:space="preserve">målt på hud under øverste bordgang) </t>
    </r>
  </si>
  <si>
    <r>
      <t>Dypgående (</t>
    </r>
    <r>
      <rPr>
        <sz val="12"/>
        <color theme="1"/>
        <rFont val="Times New Roman"/>
        <family val="1"/>
      </rPr>
      <t xml:space="preserve">Største dypgående) </t>
    </r>
  </si>
  <si>
    <r>
      <t xml:space="preserve">Vekt/deplasement </t>
    </r>
    <r>
      <rPr>
        <b/>
        <i/>
        <u/>
        <sz val="12"/>
        <color theme="1"/>
        <rFont val="Times New Roman"/>
        <family val="1"/>
      </rPr>
      <t>med tomme tanker</t>
    </r>
    <r>
      <rPr>
        <b/>
        <sz val="12"/>
        <color theme="1"/>
        <rFont val="Times New Roman"/>
        <family val="1"/>
      </rPr>
      <t>;</t>
    </r>
    <r>
      <rPr>
        <sz val="12"/>
        <color theme="1"/>
        <rFont val="Times New Roman"/>
        <family val="1"/>
      </rPr>
      <t xml:space="preserve"> (vet du ikke vekten, ta kontakt) </t>
    </r>
  </si>
  <si>
    <t xml:space="preserve">*Utvendig kjølvekt </t>
  </si>
  <si>
    <t xml:space="preserve">*Ballast vekt </t>
  </si>
  <si>
    <r>
      <t>*Motor vekt (</t>
    </r>
    <r>
      <rPr>
        <sz val="12"/>
        <color theme="1"/>
        <rFont val="Times New Roman"/>
        <family val="1"/>
      </rPr>
      <t xml:space="preserve">med propellanlegg, ca.) </t>
    </r>
  </si>
  <si>
    <t xml:space="preserve">*Andre vekter utenom vanlig </t>
  </si>
  <si>
    <t>… * Disse inngår ikke i formelen, men brukes for kontroll av deplasementet.</t>
  </si>
  <si>
    <r>
      <t>Seil</t>
    </r>
    <r>
      <rPr>
        <sz val="12"/>
        <color theme="1"/>
        <rFont val="Times New Roman"/>
        <family val="1"/>
      </rPr>
      <t xml:space="preserve"> (areal i kvm)</t>
    </r>
  </si>
  <si>
    <r>
      <t>Seilduk; (</t>
    </r>
    <r>
      <rPr>
        <sz val="12"/>
        <color theme="1"/>
        <rFont val="Times New Roman"/>
        <family val="1"/>
      </rPr>
      <t xml:space="preserve">Dacron – Classic – Clipper – Duradon - Bomull) </t>
    </r>
  </si>
  <si>
    <t xml:space="preserve"> </t>
  </si>
  <si>
    <t xml:space="preserve">Mesan </t>
  </si>
  <si>
    <t xml:space="preserve">Mesan Toppseil </t>
  </si>
  <si>
    <t xml:space="preserve">Storseil </t>
  </si>
  <si>
    <t xml:space="preserve">.. *Storseil med 1 rev </t>
  </si>
  <si>
    <t xml:space="preserve">.. *Storseil med 2 rev </t>
  </si>
  <si>
    <t>…. * Rev noteres bare for de som mener det kan bli aktuelt for dem.</t>
  </si>
  <si>
    <t xml:space="preserve">Storseilets høyde </t>
  </si>
  <si>
    <t xml:space="preserve">…. Loddrett mål fra piggbarm til hals. (Legg inn mål på seilene i regnearket du finner på hjemmesiden www.jul-nielsen.no/TBF.html og høyden regnes ut automatisk). </t>
  </si>
  <si>
    <t>….. På bermudarigg; mastelikets lengde.</t>
  </si>
  <si>
    <t xml:space="preserve">Toppseil </t>
  </si>
  <si>
    <t xml:space="preserve">Fokk </t>
  </si>
  <si>
    <t xml:space="preserve">Klyver </t>
  </si>
  <si>
    <t xml:space="preserve">Genoa/storklyver </t>
  </si>
  <si>
    <t xml:space="preserve">Mellomklyver </t>
  </si>
  <si>
    <t xml:space="preserve">Stormklyver </t>
  </si>
  <si>
    <t xml:space="preserve">Jager/flying jib </t>
  </si>
  <si>
    <t xml:space="preserve">Andre seil  </t>
  </si>
  <si>
    <r>
      <t xml:space="preserve">… Spinnaker, gennaker og lignende seil i lett duk, </t>
    </r>
    <r>
      <rPr>
        <b/>
        <u/>
        <sz val="12"/>
        <color theme="1"/>
        <rFont val="Times New Roman"/>
        <family val="1"/>
      </rPr>
      <t>er ikke tillatt</t>
    </r>
    <r>
      <rPr>
        <sz val="12"/>
        <color theme="1"/>
        <rFont val="Times New Roman"/>
        <family val="1"/>
      </rPr>
      <t>.</t>
    </r>
  </si>
  <si>
    <t xml:space="preserve">Motor HK </t>
  </si>
  <si>
    <r>
      <t>Propell diameter</t>
    </r>
    <r>
      <rPr>
        <sz val="12"/>
        <color theme="1"/>
        <rFont val="Times New Roman"/>
        <family val="1"/>
      </rPr>
      <t xml:space="preserve"> </t>
    </r>
  </si>
  <si>
    <r>
      <t>Propell type:</t>
    </r>
    <r>
      <rPr>
        <sz val="12"/>
        <color theme="1"/>
        <rFont val="Times New Roman"/>
        <family val="1"/>
      </rPr>
      <t xml:space="preserve"> (Fast/seilrett/folde &amp; antall blad) </t>
    </r>
  </si>
  <si>
    <r>
      <t>Spørsmål</t>
    </r>
    <r>
      <rPr>
        <b/>
        <sz val="12"/>
        <color theme="1"/>
        <rFont val="Times New Roman"/>
        <family val="1"/>
      </rPr>
      <t xml:space="preserve"> rettes til Jeppe Jul Nielsen 9077 8929.</t>
    </r>
  </si>
  <si>
    <t>TBF - MÅLTALL:</t>
  </si>
  <si>
    <t xml:space="preserve">Trebåtfestivalen bruker eget måltall - TBF. </t>
  </si>
  <si>
    <t xml:space="preserve">Dette er en enkel formel på linje med SSCAs VET og KTKs KLR, men med enkelte forbedringer i formel og regneark, bl.a. er ikke dypgående med i formelen. </t>
  </si>
  <si>
    <t>Regnearket er tilgjengelig på nettet og kan lastes ned.</t>
  </si>
  <si>
    <t>www.jul-nielsen.no/TBF.html</t>
  </si>
  <si>
    <t xml:space="preserve">og </t>
  </si>
  <si>
    <t>www.trebatfestivalen.no/seilregatta/</t>
  </si>
  <si>
    <t>Seil brukt i regattaen:</t>
  </si>
  <si>
    <r>
      <t xml:space="preserve">Trebåtfestivalen bruker </t>
    </r>
    <r>
      <rPr>
        <b/>
        <sz val="12"/>
        <color theme="1"/>
        <rFont val="Times New Roman"/>
        <family val="1"/>
      </rPr>
      <t>anvendt seilareal</t>
    </r>
    <r>
      <rPr>
        <sz val="12"/>
        <color theme="1"/>
        <rFont val="Times New Roman"/>
        <family val="1"/>
      </rPr>
      <t xml:space="preserve"> under seilasen. </t>
    </r>
  </si>
  <si>
    <r>
      <t xml:space="preserve">Hvis man ikke har seilt med maksimal seilføring, meldes dette på sms under seilasen eller </t>
    </r>
    <r>
      <rPr>
        <b/>
        <sz val="12"/>
        <color theme="1"/>
        <rFont val="Times New Roman"/>
        <family val="1"/>
      </rPr>
      <t>straks etter målpassering</t>
    </r>
    <r>
      <rPr>
        <sz val="12"/>
        <color theme="1"/>
        <rFont val="Times New Roman"/>
        <family val="1"/>
      </rPr>
      <t>, til 9077 8929, Jeppe Jul Nielsen.</t>
    </r>
  </si>
  <si>
    <t>Startkontingent</t>
  </si>
  <si>
    <t>Det er ingen startkontingent.</t>
  </si>
  <si>
    <t>Trebåtfestivalen betaler Risør Seilforening for oppdraget.</t>
  </si>
  <si>
    <t>Ansvar</t>
  </si>
  <si>
    <r>
      <t xml:space="preserve">Alle deltakende båter kappseiler </t>
    </r>
    <r>
      <rPr>
        <u/>
        <sz val="12"/>
        <color theme="1"/>
        <rFont val="Times New Roman"/>
        <family val="1"/>
      </rPr>
      <t>på eget ansvar og egen risiko</t>
    </r>
    <r>
      <rPr>
        <sz val="12"/>
        <color theme="1"/>
        <rFont val="Times New Roman"/>
        <family val="1"/>
      </rPr>
      <t>, og må selv avgjøre om båt og mannskap er utrustet til å starte og fullføre.</t>
    </r>
  </si>
  <si>
    <t>Ansvarsforsikring er obligatorisk</t>
  </si>
  <si>
    <r>
      <t xml:space="preserve">Alle deltakende båter </t>
    </r>
    <r>
      <rPr>
        <u/>
        <sz val="12"/>
        <color theme="1"/>
        <rFont val="Times New Roman"/>
        <family val="1"/>
      </rPr>
      <t>plikter å ha ansvarsforsikring</t>
    </r>
    <r>
      <rPr>
        <sz val="12"/>
        <color theme="1"/>
        <rFont val="Times New Roman"/>
        <family val="1"/>
      </rPr>
      <t xml:space="preserve"> som dekker eventuelle skader som påføres andre båter eller deres mannskap under kappseilasen.</t>
    </r>
  </si>
  <si>
    <t>Jeg bekrefter med dette at den påmeldte båten har gyldig forsikring i henhold til det ovenstående.</t>
  </si>
  <si>
    <t>Dato: _____________ Sign.:</t>
  </si>
  <si>
    <t>Seilnr :</t>
  </si>
  <si>
    <t>Mobil :</t>
  </si>
  <si>
    <t>Email :</t>
  </si>
  <si>
    <t>på måltallet</t>
  </si>
  <si>
    <t>Riggtype</t>
  </si>
  <si>
    <t>:</t>
  </si>
  <si>
    <t>Byggemetode</t>
  </si>
  <si>
    <t>Skrog ;</t>
  </si>
  <si>
    <t>Dekk ;</t>
  </si>
  <si>
    <t>Båtbyggeri</t>
  </si>
  <si>
    <t>Rigg  ;</t>
  </si>
  <si>
    <t>Konstruktør</t>
  </si>
  <si>
    <t>Design</t>
  </si>
  <si>
    <t>Motor  :</t>
  </si>
  <si>
    <t>hk</t>
  </si>
  <si>
    <t>&amp;</t>
  </si>
  <si>
    <t>kg</t>
  </si>
  <si>
    <t>Byggeår</t>
  </si>
  <si>
    <t>Propell  :</t>
  </si>
  <si>
    <t>cm</t>
  </si>
  <si>
    <t>"</t>
  </si>
  <si>
    <t>Skrogfarge</t>
  </si>
  <si>
    <t>Propellfaktor =</t>
  </si>
  <si>
    <t>Seilfarge</t>
  </si>
  <si>
    <t>Skrogfaktor/våt flate +/-  =</t>
  </si>
  <si>
    <t>Lengde over dekk utv stevn</t>
  </si>
  <si>
    <t>m</t>
  </si>
  <si>
    <t>(Lwl =</t>
  </si>
  <si>
    <t>av Loa. RS1 = 90%)</t>
  </si>
  <si>
    <t>Bredde</t>
  </si>
  <si>
    <t>(Bredde =</t>
  </si>
  <si>
    <t>av Loa. RS1 = 33%  =</t>
  </si>
  <si>
    <t>(Dypg=</t>
  </si>
  <si>
    <t>av Lwl. RS1=18%   =</t>
  </si>
  <si>
    <t>tonn</t>
  </si>
  <si>
    <t>(Kjøl+Ballast er</t>
  </si>
  <si>
    <t>av depl.  RS 1 = 36 % =</t>
  </si>
  <si>
    <t>tonn)</t>
  </si>
  <si>
    <t>[BKP=</t>
  </si>
  <si>
    <t>(0,94-1,00)]</t>
  </si>
  <si>
    <t>Depl./Lengde- faktor</t>
  </si>
  <si>
    <t>%</t>
  </si>
  <si>
    <t>(RS 1=100%)</t>
  </si>
  <si>
    <t>Depl./Bredde- faktor</t>
  </si>
  <si>
    <t xml:space="preserve">     "</t>
  </si>
  <si>
    <t>Materialdimensjons-faktor</t>
  </si>
  <si>
    <t>Depl./Lengde/bredde- faktor</t>
  </si>
  <si>
    <t>m2</t>
  </si>
  <si>
    <t>Fokk</t>
  </si>
  <si>
    <t>Klyver</t>
  </si>
  <si>
    <t>Største seilføring</t>
  </si>
  <si>
    <t>Storseilets høyde</t>
  </si>
  <si>
    <t>Seilareal-lengde forhold</t>
  </si>
  <si>
    <t>%   (RS1 =100%)</t>
  </si>
  <si>
    <t>Seilduk i hovedseilene</t>
  </si>
  <si>
    <t>Seilareal-vekt forhold</t>
  </si>
  <si>
    <t>Seilareal-bredde forhold</t>
  </si>
  <si>
    <t>Seilareal/L,D&amp;B</t>
  </si>
  <si>
    <t>Thor Erik Gustavsen</t>
  </si>
  <si>
    <t>Seilnr:</t>
  </si>
  <si>
    <t>Adresse</t>
  </si>
  <si>
    <t>teg@tegseil.no</t>
  </si>
  <si>
    <t>Signalveien 5</t>
  </si>
  <si>
    <t>Poststed</t>
  </si>
  <si>
    <t>Land</t>
  </si>
  <si>
    <t>Seilforening</t>
  </si>
  <si>
    <t>Tilja</t>
  </si>
  <si>
    <t>Norge</t>
  </si>
  <si>
    <t>3734 Skien</t>
  </si>
  <si>
    <t>Eier om ikke skipper</t>
  </si>
  <si>
    <t>Seilforening :</t>
  </si>
  <si>
    <t>91611982</t>
  </si>
  <si>
    <t>Seilfarge :</t>
  </si>
  <si>
    <t>Skrogfarge :</t>
  </si>
  <si>
    <t>Wulf Fiedler</t>
  </si>
  <si>
    <t>wulf.fiedler@yartberlin.de</t>
  </si>
  <si>
    <t>Tyskland</t>
  </si>
  <si>
    <t>S 546</t>
  </si>
  <si>
    <t>Båtbygger</t>
  </si>
  <si>
    <t>Kustkryssare</t>
  </si>
  <si>
    <t>Olle Enderlein</t>
  </si>
  <si>
    <t>Hyltegårds Båtbyggeri</t>
  </si>
  <si>
    <t>Hvite</t>
  </si>
  <si>
    <t>. Seilduk</t>
  </si>
  <si>
    <t>. Duk %</t>
  </si>
  <si>
    <t>12mR</t>
  </si>
  <si>
    <t>Dr. Berhard Frieling</t>
  </si>
  <si>
    <t>Bernard.Frieling@t-online.de</t>
  </si>
  <si>
    <t>Rasmussen</t>
  </si>
  <si>
    <t>Hvit</t>
  </si>
  <si>
    <t>Abeking &amp; Rasmussen</t>
  </si>
  <si>
    <t xml:space="preserve">SSCA -
KLR
/TBF </t>
  </si>
  <si>
    <t>RS 5</t>
  </si>
  <si>
    <t>RS 10</t>
  </si>
  <si>
    <t>RS 1</t>
  </si>
  <si>
    <t>RS 28</t>
  </si>
  <si>
    <t>RS 30</t>
  </si>
  <si>
    <t>ingen nr.</t>
  </si>
  <si>
    <t>F 35</t>
  </si>
  <si>
    <t>Einar Salvesen</t>
  </si>
  <si>
    <t>N 1531</t>
  </si>
  <si>
    <t>N 1690</t>
  </si>
  <si>
    <t>N 7749</t>
  </si>
  <si>
    <t>N 14219</t>
  </si>
  <si>
    <t>E 15</t>
  </si>
  <si>
    <t>K 61</t>
  </si>
  <si>
    <t>N 5066</t>
  </si>
  <si>
    <t>?</t>
  </si>
  <si>
    <t>NOR 3</t>
  </si>
  <si>
    <t>H 45</t>
  </si>
  <si>
    <t>F - G 21</t>
  </si>
  <si>
    <t>jeppejul02@gmail.com</t>
  </si>
  <si>
    <t>4956 Risør</t>
  </si>
  <si>
    <t>Risør SF</t>
  </si>
  <si>
    <t>Redningsskøyte</t>
  </si>
  <si>
    <t>Lystbåt</t>
  </si>
  <si>
    <t>Colin Archer</t>
  </si>
  <si>
    <t>Risør Trebåtbyggeri</t>
  </si>
  <si>
    <t>Hvitmalt</t>
  </si>
  <si>
    <t>Kremhvite</t>
  </si>
  <si>
    <t>Kremhvit</t>
  </si>
  <si>
    <t>Skøyte</t>
  </si>
  <si>
    <t>Jens Gran</t>
  </si>
  <si>
    <t>Gimle Terrasse 4</t>
  </si>
  <si>
    <t>0264 Oslo</t>
  </si>
  <si>
    <t>KNS</t>
  </si>
  <si>
    <t>Havseiler</t>
  </si>
  <si>
    <t>Arvid &amp; Peter Laurin</t>
  </si>
  <si>
    <t>Lakkert Mahogny</t>
  </si>
  <si>
    <t>.-</t>
  </si>
  <si>
    <t>Timo Lantzsch</t>
  </si>
  <si>
    <t>.+4915117436128</t>
  </si>
  <si>
    <t>.+49 15751613819</t>
  </si>
  <si>
    <t>.+49 1715390152</t>
  </si>
  <si>
    <t>timoholzbootsbau@lantzsch.de</t>
  </si>
  <si>
    <t>Huholzweg 56</t>
  </si>
  <si>
    <t>24376 Koppeln</t>
  </si>
  <si>
    <t>FKY</t>
  </si>
  <si>
    <t>12 - G 2</t>
  </si>
  <si>
    <t>Båttype/klasse</t>
  </si>
  <si>
    <t>Nordisk Folkebåt</t>
  </si>
  <si>
    <t>Martin Nielsen</t>
  </si>
  <si>
    <t>Rød</t>
  </si>
  <si>
    <t>Tor Erling Gransæther</t>
  </si>
  <si>
    <t>teg@eplegaarden.no</t>
  </si>
  <si>
    <t>Børsandveien 1</t>
  </si>
  <si>
    <t>3475 Sætre</t>
  </si>
  <si>
    <t>Tobias Revold</t>
  </si>
  <si>
    <t>92242500</t>
  </si>
  <si>
    <t>Finn Bjurvoll Hansen</t>
  </si>
  <si>
    <t>98840242</t>
  </si>
  <si>
    <t>post@finn-b.no</t>
  </si>
  <si>
    <t>Strandpromenaden 24</t>
  </si>
  <si>
    <t>3262 Larvik</t>
  </si>
  <si>
    <t>SSCA</t>
  </si>
  <si>
    <t>Lystbåt Cruiser</t>
  </si>
  <si>
    <t>Yngve Ottesen</t>
  </si>
  <si>
    <t>91659356</t>
  </si>
  <si>
    <t>Tomterveien 94</t>
  </si>
  <si>
    <t>Lystbåt 12mR</t>
  </si>
  <si>
    <t>Bjarne Aas, Fredrikstad</t>
  </si>
  <si>
    <t>Trond Stensvold</t>
  </si>
  <si>
    <t>Kloppkjærveien 34</t>
  </si>
  <si>
    <t>3766 Sannidal</t>
  </si>
  <si>
    <t>90948079</t>
  </si>
  <si>
    <t>trond.stensvold@hotmail.com</t>
  </si>
  <si>
    <t>Kragrø kystlag, Sannidal Speidergruppe</t>
  </si>
  <si>
    <t>Tollkrysser</t>
  </si>
  <si>
    <t>Båtbyggerskolen i Jondal</t>
  </si>
  <si>
    <t>90543838</t>
  </si>
  <si>
    <t>knuts.mail@tele8.no</t>
  </si>
  <si>
    <t>PB 113</t>
  </si>
  <si>
    <t>3163 Borgheim</t>
  </si>
  <si>
    <t>Kragerø Kystlag</t>
  </si>
  <si>
    <t>Lista Treskipsbyggeri / Nordstaa</t>
  </si>
  <si>
    <t>Krem</t>
  </si>
  <si>
    <t>Lakkert furu</t>
  </si>
  <si>
    <t>Tvedestrand</t>
  </si>
  <si>
    <t>12 - K 12</t>
  </si>
  <si>
    <t>Jan Erik Haavi</t>
  </si>
  <si>
    <t>Levreveien 16</t>
  </si>
  <si>
    <t>1346 Gjettum</t>
  </si>
  <si>
    <t>91124325</t>
  </si>
  <si>
    <t>j.haavi@online.no</t>
  </si>
  <si>
    <t>steinvictorsvendsen@outlook.com</t>
  </si>
  <si>
    <t>Arne &amp; Mona Røseth</t>
  </si>
  <si>
    <t>F 2580</t>
  </si>
  <si>
    <t>99010936</t>
  </si>
  <si>
    <t>arnegur@online.no</t>
  </si>
  <si>
    <t>Kolleveien 11a</t>
  </si>
  <si>
    <t>1397 Nesøya</t>
  </si>
  <si>
    <t>Djupevåg Båtbyggeri, Nordheimsund</t>
  </si>
  <si>
    <t>Røde</t>
  </si>
  <si>
    <t>Ørnen</t>
  </si>
  <si>
    <t>Larvik</t>
  </si>
  <si>
    <t>Jørn Torfinn Rød</t>
  </si>
  <si>
    <t>Fiskeskøyte</t>
  </si>
  <si>
    <t>Ukjent i Hardanger</t>
  </si>
  <si>
    <t>Svart</t>
  </si>
  <si>
    <t>Emanuel Moen &amp; Søn, moen pr Risør</t>
  </si>
  <si>
    <t>Christian Jensen, Asker</t>
  </si>
  <si>
    <t>Arkiv Bermuda skøyter og turbåter</t>
  </si>
  <si>
    <t>Dette dokument er utstedt den :</t>
  </si>
  <si>
    <t xml:space="preserve">For Risør Trebåtfestival : </t>
  </si>
  <si>
    <t>Turbåt</t>
  </si>
  <si>
    <t>Ex Navn</t>
  </si>
  <si>
    <t>Draug</t>
  </si>
  <si>
    <t>Caliope III</t>
  </si>
  <si>
    <t>Annemor</t>
  </si>
  <si>
    <t>Båttype/Klasse</t>
  </si>
  <si>
    <t>Seil</t>
  </si>
  <si>
    <t>Kvm</t>
  </si>
  <si>
    <t>Klyver mellom</t>
  </si>
  <si>
    <t>Klyver liten</t>
  </si>
  <si>
    <t>Storseil gaffel</t>
  </si>
  <si>
    <t>Halvdkker</t>
  </si>
  <si>
    <t>Mesan Toppseil</t>
  </si>
  <si>
    <t>Lite Toppseil</t>
  </si>
  <si>
    <t>Storklyver/Genoa</t>
  </si>
  <si>
    <t>Jager/flying jib</t>
  </si>
  <si>
    <t>Mobil 9077 8929</t>
  </si>
  <si>
    <t>Alle deltakende båter kappseiler på eget ansvar og egen risiko, og må selv avgjøre om båt og mannskap er utrustet til å starte og fullføre.</t>
  </si>
  <si>
    <t>Forsikring</t>
  </si>
  <si>
    <t xml:space="preserve">Alle deltakende båter plikter å ha ansvarsforsikring som dekker eventuelle skader som påføres andre båter eller deres mannskap under kappseilasen. </t>
  </si>
  <si>
    <t>Underskrift</t>
  </si>
  <si>
    <t>Propell dia</t>
  </si>
  <si>
    <t>Propell type</t>
  </si>
  <si>
    <t>Antall blad</t>
  </si>
  <si>
    <t>blader</t>
  </si>
  <si>
    <t>Delt</t>
  </si>
  <si>
    <t>Delt moderat</t>
  </si>
  <si>
    <t>95034537</t>
  </si>
  <si>
    <r>
      <t xml:space="preserve">Spørsmål </t>
    </r>
    <r>
      <rPr>
        <b/>
        <sz val="12"/>
        <color theme="1"/>
        <rFont val="Times New Roman"/>
        <family val="1"/>
      </rPr>
      <t>om utfylling av skjemaet rettes til Jeppe Jul Nielsen 9077 8929.</t>
    </r>
  </si>
  <si>
    <t>Risør den:</t>
  </si>
  <si>
    <r>
      <t xml:space="preserve">Trebåtfestivalen bruker </t>
    </r>
    <r>
      <rPr>
        <b/>
        <sz val="12"/>
        <color theme="1"/>
        <rFont val="Times New Roman"/>
        <family val="1"/>
      </rPr>
      <t>anvendt seilareal</t>
    </r>
    <r>
      <rPr>
        <sz val="12"/>
        <color theme="1"/>
        <rFont val="Times New Roman"/>
        <family val="1"/>
      </rPr>
      <t xml:space="preserve"> under seilasen. 
Hvis man ikke har seilt med maksimal seilføring, meldes dette på sms under seilasen 
eller </t>
    </r>
    <r>
      <rPr>
        <b/>
        <u/>
        <sz val="12"/>
        <color theme="1"/>
        <rFont val="Times New Roman"/>
        <family val="1"/>
      </rPr>
      <t>senest straks etter målpassering</t>
    </r>
    <r>
      <rPr>
        <sz val="12"/>
        <color theme="1"/>
        <rFont val="Times New Roman"/>
        <family val="1"/>
      </rPr>
      <t>, til 9077 8929, Jeppe Jul Nielsen.</t>
    </r>
  </si>
  <si>
    <t>Colin Archer / Lien</t>
  </si>
  <si>
    <t>Colin Archer / Jondal</t>
  </si>
  <si>
    <t>Colin Archer / Ellingsen</t>
  </si>
  <si>
    <t>Lakkert eik</t>
  </si>
  <si>
    <t>Lakkert Mahogani</t>
  </si>
  <si>
    <t>Frøya</t>
  </si>
  <si>
    <t>Lengde over dekk</t>
  </si>
  <si>
    <t>Colin Archer / Jeppe Jul Nielsen</t>
  </si>
  <si>
    <t>Colin Archer / K. Nordstaa</t>
  </si>
  <si>
    <t>Colin Archer / K. Djupevåg</t>
  </si>
  <si>
    <t>Skøyte Lystbåt</t>
  </si>
  <si>
    <t xml:space="preserve">Startkontingent betaltes til Vipps nr 701469. Skriv båtens navn og seilnr ved betaling.  </t>
  </si>
  <si>
    <r>
      <t>KLR tall</t>
    </r>
    <r>
      <rPr>
        <sz val="12"/>
        <color theme="1"/>
        <rFont val="Times New Roman"/>
        <family val="1"/>
      </rPr>
      <t xml:space="preserve"> oppgis her: </t>
    </r>
  </si>
  <si>
    <t>Nr</t>
  </si>
  <si>
    <t>Betalt</t>
  </si>
  <si>
    <t>Klasse</t>
  </si>
  <si>
    <t>Registerert</t>
  </si>
  <si>
    <t>*Vekt i kjølen</t>
  </si>
  <si>
    <t>*Innvendig ballast</t>
  </si>
  <si>
    <t>*Motor hk</t>
  </si>
  <si>
    <t>*Vekt motor m prop-utstyr</t>
  </si>
  <si>
    <t>*Andre vekter utenom vanlig</t>
  </si>
  <si>
    <t>Storseil Bermuda</t>
  </si>
  <si>
    <t>*Dypgående</t>
  </si>
  <si>
    <t>m*</t>
  </si>
  <si>
    <t>Hk*</t>
  </si>
  <si>
    <t>Kg*</t>
  </si>
  <si>
    <t>tonn*</t>
  </si>
  <si>
    <t>Kranveien 66</t>
  </si>
  <si>
    <t>Risør II Venner</t>
  </si>
  <si>
    <t>torf-ro@online.no</t>
  </si>
  <si>
    <t xml:space="preserve">Ex. navn: </t>
  </si>
  <si>
    <t>Sail no:</t>
  </si>
  <si>
    <t>mobile</t>
  </si>
  <si>
    <t>email</t>
  </si>
  <si>
    <t>Arddress</t>
  </si>
  <si>
    <t>Post no &amp; town</t>
  </si>
  <si>
    <t>Sail club</t>
  </si>
  <si>
    <t>Jeløen</t>
  </si>
  <si>
    <t>SPRI</t>
  </si>
  <si>
    <t>Gabriel Lund</t>
  </si>
  <si>
    <t>1516 Jeløy</t>
  </si>
  <si>
    <t>Halvdekker</t>
  </si>
  <si>
    <t>Wilhelm Schulz</t>
  </si>
  <si>
    <t>Genoa m/Fokk</t>
  </si>
  <si>
    <t>Mast materiale</t>
  </si>
  <si>
    <t>Lateralplan type</t>
  </si>
  <si>
    <t>911 46 767</t>
  </si>
  <si>
    <t>Fjordgløtt 19</t>
  </si>
  <si>
    <t>91560008</t>
  </si>
  <si>
    <t>yngve.ottesen@banenor.no</t>
  </si>
  <si>
    <t>98231827</t>
  </si>
  <si>
    <t>Fjellvikveien 4</t>
  </si>
  <si>
    <t>3280 TJODALYNG</t>
  </si>
  <si>
    <t>tobias.revold@gmail.com</t>
  </si>
  <si>
    <t>Dicks vei 15a</t>
  </si>
  <si>
    <t>1366 Lysaker</t>
  </si>
  <si>
    <t>4950 Risør</t>
  </si>
  <si>
    <t>jg@standard.no</t>
  </si>
  <si>
    <t>Address</t>
  </si>
  <si>
    <t>Hvis noen av ovenstående data er feil, rettes dette med blyant/kulepenn.</t>
  </si>
  <si>
    <t xml:space="preserve">Jeg bekrefter med dette at den påmeldte båten </t>
  </si>
  <si>
    <t>har gyldig forsikring i henhold til det ovenstående.</t>
  </si>
  <si>
    <t>*Det som er merket med stjerne(*),</t>
  </si>
  <si>
    <t>inngår ikke i måltallet, men brukes</t>
  </si>
  <si>
    <t>for kontroll av deplasementet.</t>
  </si>
  <si>
    <t>Clipper</t>
  </si>
  <si>
    <t>Norsk Maritimt Museum</t>
  </si>
  <si>
    <t>Bygdøy, Oslo</t>
  </si>
  <si>
    <t>Diesel i tanken i dag</t>
  </si>
  <si>
    <t>Vann i tanken i dag</t>
  </si>
  <si>
    <t>Liter</t>
  </si>
  <si>
    <t>Diesel
liter</t>
  </si>
  <si>
    <t>Vann
liter</t>
  </si>
  <si>
    <t>og gir lavere måltall</t>
  </si>
  <si>
    <t>Mesan Bermuda</t>
  </si>
  <si>
    <t>Colin Archer / Stephansen</t>
  </si>
  <si>
    <t>Båt data</t>
  </si>
  <si>
    <t>Teknisk</t>
  </si>
  <si>
    <t>Depl.
tonn
m
tom
tank</t>
  </si>
  <si>
    <t>adr</t>
  </si>
  <si>
    <t>epost</t>
  </si>
  <si>
    <t>99311530</t>
  </si>
  <si>
    <t>Taralden</t>
  </si>
  <si>
    <t>S+F+G</t>
  </si>
  <si>
    <t>N 498</t>
  </si>
  <si>
    <t>Jørn Andersen</t>
  </si>
  <si>
    <t>48267026</t>
  </si>
  <si>
    <t>jorn.steingrim.andersen@gmail.com</t>
  </si>
  <si>
    <t>Vestsolveien</t>
  </si>
  <si>
    <t>1555 Son</t>
  </si>
  <si>
    <t>Havseiiler</t>
  </si>
  <si>
    <t>Krysserhekk</t>
  </si>
  <si>
    <t>Brdr. Andersen, Son</t>
  </si>
  <si>
    <t>N 54</t>
  </si>
  <si>
    <t>90281474</t>
  </si>
  <si>
    <t>93216714</t>
  </si>
  <si>
    <t>Soon SF</t>
  </si>
  <si>
    <t>Bjarne Aas</t>
  </si>
  <si>
    <t>Lakkert mahogny</t>
  </si>
  <si>
    <t>KLR oppgitt av båtene</t>
  </si>
  <si>
    <t>E 1</t>
  </si>
  <si>
    <t>Andreas Krause</t>
  </si>
  <si>
    <t>.+49 172 4526 168</t>
  </si>
  <si>
    <t>krause@trivia.de</t>
  </si>
  <si>
    <t>Kiel</t>
  </si>
  <si>
    <t>WSG Sieseby</t>
  </si>
  <si>
    <t>William Fife</t>
  </si>
  <si>
    <t>Fife</t>
  </si>
  <si>
    <t>Nanna</t>
  </si>
  <si>
    <t>99462220</t>
  </si>
  <si>
    <t>Cara</t>
  </si>
  <si>
    <t>Nederland</t>
  </si>
  <si>
    <t>N 1</t>
  </si>
  <si>
    <t>Huk Aveny 63 B</t>
  </si>
  <si>
    <t>0287 Oslo</t>
  </si>
  <si>
    <t>Solgang Social club</t>
  </si>
  <si>
    <t>10m CR</t>
  </si>
  <si>
    <t>Mingary</t>
  </si>
  <si>
    <t>Christian Scheidtmann</t>
  </si>
  <si>
    <t>.+49 177 320 4677</t>
  </si>
  <si>
    <t>Chr.Scheidtmann@googlemail.com</t>
  </si>
  <si>
    <t>Bermuda Ketch</t>
  </si>
  <si>
    <t>Alfred Mylne</t>
  </si>
  <si>
    <t>G 15</t>
  </si>
  <si>
    <t>9- meter tur</t>
  </si>
  <si>
    <t>Jac M. Iversen, Son</t>
  </si>
  <si>
    <t>Moen, Risør</t>
  </si>
  <si>
    <t>hvit</t>
  </si>
  <si>
    <t>Brdr. Jacobsons Båtvarv, Sverige</t>
  </si>
  <si>
    <t>Bermuda Sloop</t>
  </si>
  <si>
    <t>2009 Nordby</t>
  </si>
  <si>
    <t>Habstad Båtbyggeri, Fevik</t>
  </si>
  <si>
    <t>M+S+F+K+T</t>
  </si>
  <si>
    <t>M+S+F+K</t>
  </si>
  <si>
    <t>Depl i regatta (diesel x0,84)</t>
  </si>
  <si>
    <t>.Ytre klyver</t>
  </si>
  <si>
    <t>. Ytre klyver</t>
  </si>
  <si>
    <t>. Gaffel Storseil</t>
  </si>
  <si>
    <t>. GF 1 rev</t>
  </si>
  <si>
    <t>Toppseil Gaffelfokk</t>
  </si>
  <si>
    <t>Gaffelfokk 1 rev</t>
  </si>
  <si>
    <t>Skonnert Gaffelfokk</t>
  </si>
  <si>
    <t>.-''- 1 rev</t>
  </si>
  <si>
    <t>Mesan m 1 rev</t>
  </si>
  <si>
    <t>tlf</t>
  </si>
  <si>
    <t>. Gaffel Mesan</t>
  </si>
  <si>
    <t>. -''- 1 rev</t>
  </si>
  <si>
    <t>. Mesan</t>
  </si>
  <si>
    <t>Klyver ytre</t>
  </si>
  <si>
    <t>Deplasement tomme tanker</t>
  </si>
  <si>
    <t>Risør Classic Regatta 2024</t>
  </si>
  <si>
    <t>&lt; Storseilts loddrette høyde fra piggbarm til halsbarm</t>
  </si>
  <si>
    <t>&lt; Vekt med tomme tanker.</t>
  </si>
  <si>
    <t>&lt; Diesel og vann tillegges deplasementet</t>
  </si>
  <si>
    <t>&lt; -''-</t>
  </si>
  <si>
    <t>Lengde i vl utv stevn</t>
  </si>
  <si>
    <t xml:space="preserve">Klassiske Trebåter med KLR tall regatta fredag og lørdag. Kr 300,- </t>
  </si>
  <si>
    <t>90778929</t>
  </si>
  <si>
    <t>&lt; Bredde på 2dre bordgang</t>
  </si>
  <si>
    <t>Deplasement i denne regatta</t>
  </si>
  <si>
    <t>.-''- m. 1 rev</t>
  </si>
  <si>
    <t>.-''- m. 2 rev</t>
  </si>
  <si>
    <t>Mesan</t>
  </si>
  <si>
    <t>PÅMELDINGSSKJEMA Bermudarigg</t>
  </si>
  <si>
    <t>navn</t>
  </si>
  <si>
    <t>poststed</t>
  </si>
  <si>
    <t>Båtnavn:</t>
  </si>
  <si>
    <t>&lt; fast, seilrett, folde, vribar</t>
  </si>
  <si>
    <t>&lt; Los, RS, Lystbåt, Kutter, Spissgatter, Meterbåt</t>
  </si>
  <si>
    <t>Eier om ikke skipper, eller medeier</t>
  </si>
  <si>
    <t>Selvbygget av Ellingsen, Østfold</t>
  </si>
  <si>
    <t>Klyver standard</t>
  </si>
  <si>
    <t>Selvbygget av Kai &amp; Geir Lien, Trondheim</t>
  </si>
  <si>
    <t>Tyriveien 1</t>
  </si>
  <si>
    <t>FÆRDER &amp; rød stripe</t>
  </si>
  <si>
    <t>Larvik 8 &amp; rød stripe</t>
  </si>
  <si>
    <t>ingen seilnr</t>
  </si>
  <si>
    <t>. Jager - flying jib</t>
  </si>
  <si>
    <t>Båt Navn </t>
  </si>
  <si>
    <t> KLR </t>
  </si>
  <si>
    <t> Anahita </t>
  </si>
  <si>
    <t>                     166</t>
  </si>
  <si>
    <t> Arabella </t>
  </si>
  <si>
    <t>                     142</t>
  </si>
  <si>
    <t> Bris </t>
  </si>
  <si>
    <t>                     126</t>
  </si>
  <si>
    <t> Carmen IV </t>
  </si>
  <si>
    <t>                     149</t>
  </si>
  <si>
    <t> Cory </t>
  </si>
  <si>
    <t>                     139</t>
  </si>
  <si>
    <t> Eileen II </t>
  </si>
  <si>
    <t>                     135</t>
  </si>
  <si>
    <t> Epoca </t>
  </si>
  <si>
    <t>                     132</t>
  </si>
  <si>
    <t> Erna Signe </t>
  </si>
  <si>
    <t>                     161</t>
  </si>
  <si>
    <t>                     163</t>
  </si>
  <si>
    <t> Fenris </t>
  </si>
  <si>
    <t>                     152</t>
  </si>
  <si>
    <t> Flirt IV </t>
  </si>
  <si>
    <t>                     150</t>
  </si>
  <si>
    <t> Glæden </t>
  </si>
  <si>
    <t>                     123</t>
  </si>
  <si>
    <t>                     136</t>
  </si>
  <si>
    <t> Gwen </t>
  </si>
  <si>
    <t>                     119</t>
  </si>
  <si>
    <t> IF 3 </t>
  </si>
  <si>
    <t>                     147</t>
  </si>
  <si>
    <t> ILMEN </t>
  </si>
  <si>
    <t> Kammome </t>
  </si>
  <si>
    <t>                     138</t>
  </si>
  <si>
    <t> Lady </t>
  </si>
  <si>
    <t>                     141</t>
  </si>
  <si>
    <t> Lavinia </t>
  </si>
  <si>
    <t> Lydia </t>
  </si>
  <si>
    <t>                     137</t>
  </si>
  <si>
    <t> Maribell </t>
  </si>
  <si>
    <t> Marina </t>
  </si>
  <si>
    <t> Mosk </t>
  </si>
  <si>
    <t> Nanna </t>
  </si>
  <si>
    <t> Nora </t>
  </si>
  <si>
    <t> Pandora </t>
  </si>
  <si>
    <t> PUS </t>
  </si>
  <si>
    <t> Rollo </t>
  </si>
  <si>
    <t>                     151</t>
  </si>
  <si>
    <t> Raak </t>
  </si>
  <si>
    <t> Solgang </t>
  </si>
  <si>
    <t> Solgang II </t>
  </si>
  <si>
    <t> Suzanne </t>
  </si>
  <si>
    <t> Tamara IX </t>
  </si>
  <si>
    <t> Tarpon </t>
  </si>
  <si>
    <t> Vanitie </t>
  </si>
  <si>
    <t> Vema III </t>
  </si>
  <si>
    <t> Vinga </t>
  </si>
  <si>
    <t>                     134</t>
  </si>
  <si>
    <t> Wanda </t>
  </si>
  <si>
    <t> Zafon </t>
  </si>
  <si>
    <t>JJN-LYS</t>
  </si>
  <si>
    <t>lwl</t>
  </si>
  <si>
    <t>formel</t>
  </si>
  <si>
    <t>Los Færder</t>
  </si>
  <si>
    <t>Los Frithjof II</t>
  </si>
  <si>
    <t>Med 2 forseil trekkes</t>
  </si>
  <si>
    <t>av minste</t>
  </si>
  <si>
    <t>. Gaffel-Fokk</t>
  </si>
  <si>
    <t>RS 32 Kragerø</t>
  </si>
  <si>
    <t>S+F+M+k2+T</t>
  </si>
  <si>
    <t>. Skonnert Gaffel fokk</t>
  </si>
  <si>
    <t>RS 32</t>
  </si>
  <si>
    <t>Kragerø</t>
  </si>
  <si>
    <t>Motor</t>
  </si>
  <si>
    <t>. Bm Mesan</t>
  </si>
  <si>
    <t>Genoa</t>
  </si>
  <si>
    <t>Kvm full duk</t>
  </si>
  <si>
    <t>Lystbåt Nanna 1898</t>
  </si>
  <si>
    <t>Christian Gude</t>
  </si>
  <si>
    <t>10 m S</t>
  </si>
  <si>
    <t>Johan Anker</t>
  </si>
  <si>
    <t>Anker &amp; Jensen, Vollen i Asker</t>
  </si>
  <si>
    <t>10 N2</t>
  </si>
  <si>
    <t>907 20 000</t>
  </si>
  <si>
    <t>Agita</t>
  </si>
  <si>
    <t>KR 791</t>
  </si>
  <si>
    <t>Gunnar Størksen</t>
  </si>
  <si>
    <t>ex WE ex Agita</t>
  </si>
  <si>
    <t>Folke Ericsson, Sødertälje</t>
  </si>
  <si>
    <t>Bergen Seilforening</t>
  </si>
  <si>
    <t>4801 9250</t>
  </si>
  <si>
    <t>6 m tur</t>
  </si>
  <si>
    <t>Tonn</t>
  </si>
  <si>
    <t>Bergen</t>
  </si>
  <si>
    <t>F 23</t>
  </si>
  <si>
    <t>10 m R</t>
  </si>
  <si>
    <t>Arabella IV</t>
  </si>
  <si>
    <t>H 41</t>
  </si>
  <si>
    <t>Losskøyte</t>
  </si>
  <si>
    <t>ca 1900</t>
  </si>
  <si>
    <t>Porsgrund Baadbyggeri</t>
  </si>
  <si>
    <t>Porsgrunn</t>
  </si>
  <si>
    <t>Oslo</t>
  </si>
  <si>
    <t>8 m R</t>
  </si>
  <si>
    <t>9946 2220</t>
  </si>
  <si>
    <t>Kragerø SF</t>
  </si>
  <si>
    <t>Kvm - full duk</t>
  </si>
  <si>
    <t>. Bermuda Storseil</t>
  </si>
  <si>
    <t>. 2 forseil trekk</t>
  </si>
  <si>
    <t>forseil trekk</t>
  </si>
  <si>
    <t>Risør Båtbyggeri, Jepsen &amp; Olsen, Holmen, Risør</t>
  </si>
  <si>
    <t>S+F+G+T</t>
  </si>
  <si>
    <t>*Kjøl tonn</t>
  </si>
  <si>
    <t>*Ball. tonn</t>
  </si>
  <si>
    <t>*Dyp 
m</t>
  </si>
  <si>
    <t>Måltall full duk</t>
  </si>
  <si>
    <t>Lindstøls Skip &amp; Båtbyggeri, Risør</t>
  </si>
  <si>
    <t>Div faktorer</t>
  </si>
  <si>
    <t>En del seil reduseres til den %-sats som ses på linjen under seiloverskriftene.</t>
  </si>
  <si>
    <t>Nausikaa</t>
  </si>
  <si>
    <t>co-Skipper Knut von Trepka</t>
  </si>
  <si>
    <t>Christian von Trepka</t>
  </si>
  <si>
    <t>Alvheimveien 2</t>
  </si>
  <si>
    <t>0198 oslo</t>
  </si>
  <si>
    <t>922 40 672</t>
  </si>
  <si>
    <t>918 01 577</t>
  </si>
  <si>
    <t>Hans Oey &amp; Karen Makee</t>
  </si>
  <si>
    <t>co-skipper Hans Oey jr.</t>
  </si>
  <si>
    <t>*Vekt annet kg</t>
  </si>
  <si>
    <t>Los Frithjof 1</t>
  </si>
  <si>
    <t>Los LEDA</t>
  </si>
  <si>
    <t>Eric Amundsen</t>
  </si>
  <si>
    <t>4815 Sandøya</t>
  </si>
  <si>
    <t>Ceres ex Leda ex Normal ex Hans</t>
  </si>
  <si>
    <t>Rød stripe</t>
  </si>
  <si>
    <t>Frithjof IIs venneforening</t>
  </si>
  <si>
    <t>Hvite m rød klyver</t>
  </si>
  <si>
    <t>co-skipper Linda</t>
  </si>
  <si>
    <t>Rød stripe L 56</t>
  </si>
  <si>
    <t>Lakkert</t>
  </si>
  <si>
    <t>RS kopi Fayance</t>
  </si>
  <si>
    <t>Anahita</t>
  </si>
  <si>
    <t>Fair Play</t>
  </si>
  <si>
    <t>Godbonden</t>
  </si>
  <si>
    <t>Lark</t>
  </si>
  <si>
    <t>Løpern</t>
  </si>
  <si>
    <t>Nanna, Tønsberg</t>
  </si>
  <si>
    <t>På en del seil reduseres areal til %-sats som ses på linjen under seiloverskriftene.</t>
  </si>
  <si>
    <t>Antatt depl.</t>
  </si>
  <si>
    <t>. Mastelik</t>
  </si>
  <si>
    <t>Depl. i forhold til RS 1</t>
  </si>
  <si>
    <t>Startkontingent betaltes til Vipps nr 701469.</t>
  </si>
  <si>
    <t xml:space="preserve">Skriv båtens navn og seilnr ved betaling.  </t>
  </si>
  <si>
    <t>*Motor &amp; propell vekt</t>
  </si>
  <si>
    <t>. Alu-mast tillegg %</t>
  </si>
  <si>
    <t>. Lateral-plan type</t>
  </si>
  <si>
    <t>1955 &amp; 2002</t>
  </si>
  <si>
    <t>Mastelik storseil</t>
  </si>
  <si>
    <t>RS kopi Concordia</t>
  </si>
  <si>
    <t>Hausberg båtbyggeri, Sotra</t>
  </si>
  <si>
    <t>TS NOR 553</t>
  </si>
  <si>
    <t>Porsgrund Baadbyggeri, Thor Martin Jenssen fra Lindstøl</t>
  </si>
  <si>
    <t>Skotta Kystlag, Tollerodden, Larvik</t>
  </si>
  <si>
    <t>Redningsskøyte nr 1</t>
  </si>
  <si>
    <t>Carl Arnold, Oslo</t>
  </si>
  <si>
    <t>Redningsskøyte nr 22</t>
  </si>
  <si>
    <t>Redningsskøyte nr 12</t>
  </si>
  <si>
    <t>Redningsskøyte kopi nr 22</t>
  </si>
  <si>
    <t>Dagny</t>
  </si>
  <si>
    <t>Tjæret</t>
  </si>
  <si>
    <t>co-skipper Tone Hasle</t>
  </si>
  <si>
    <t>co-skipper Sefrid Jacobsen</t>
  </si>
  <si>
    <t>S+F+k2+T (SA= VET)</t>
  </si>
  <si>
    <t>S+F+K (SA=VET)</t>
  </si>
  <si>
    <t>Kvm 
&amp; 
KLR/VET</t>
  </si>
  <si>
    <t>Ant. Seil 
&amp; 
TBF</t>
  </si>
  <si>
    <t>Era IOD</t>
  </si>
  <si>
    <t>S1+f</t>
  </si>
  <si>
    <t>M+S+F+K+J</t>
  </si>
  <si>
    <t>S+F+K (SA=KLR)</t>
  </si>
  <si>
    <t>*Maste-lik</t>
  </si>
  <si>
    <t>*Gaffel-lik</t>
  </si>
  <si>
    <t>*Seilduk i hovedseilene</t>
  </si>
  <si>
    <t>Båtnavn-</t>
  </si>
  <si>
    <t>&lt; Meterbåt, Spissgatter, delt lateralplan, osv</t>
  </si>
  <si>
    <t>12 m R</t>
  </si>
  <si>
    <t>dyp/lwl</t>
  </si>
  <si>
    <t>Max/min</t>
  </si>
  <si>
    <t>KLR formel 
m 
TBF "SA"</t>
  </si>
  <si>
    <t>Folkebåt +0,03</t>
  </si>
  <si>
    <t>Stren 2</t>
  </si>
  <si>
    <t>A 149</t>
  </si>
  <si>
    <t>19,5 kvm Spissgatter</t>
  </si>
  <si>
    <t>Inger-lise ex Stren 2</t>
  </si>
  <si>
    <t>Selvkonstruert Yngvar Ingebretsen, Drammen</t>
  </si>
  <si>
    <t>Selvbygget Yngvar Ingebretsen, Drammen</t>
  </si>
  <si>
    <t>Drammen</t>
  </si>
  <si>
    <t>TBF 2024-62a</t>
  </si>
  <si>
    <t>995 85 520</t>
  </si>
  <si>
    <t>Sætre</t>
  </si>
  <si>
    <t>Skøyte og turbåt kun lørdag kr 200,- Konkurrerer med festivalens TBF tall.</t>
  </si>
  <si>
    <r>
      <t xml:space="preserve">Les mer om TBF måltall på </t>
    </r>
    <r>
      <rPr>
        <b/>
        <u/>
        <sz val="14"/>
        <rFont val="Times New Roman"/>
        <family val="1"/>
      </rPr>
      <t>jul-nielsen.no</t>
    </r>
  </si>
  <si>
    <t>Risør Trebåtfestival regatta 2024</t>
  </si>
  <si>
    <t>Påmeldingsskjema Gaffelrigg</t>
  </si>
  <si>
    <t>Porsgrund Baadbyggeri, Thor Martin Jenssen fra Lindstøl, Risør</t>
  </si>
  <si>
    <t>RS 32 Venner og Skagerrakstiftelsen</t>
  </si>
  <si>
    <t>rolvmnilse@gmail.com</t>
  </si>
  <si>
    <t>Kapellveien 13</t>
  </si>
  <si>
    <t>Knut Chr. Halland</t>
  </si>
  <si>
    <t>Hollandveien 10</t>
  </si>
  <si>
    <t>IOD med innenbordsmotor</t>
  </si>
  <si>
    <t>Rolv Møll Nilsen</t>
  </si>
  <si>
    <t>Dragon Dream</t>
  </si>
  <si>
    <t>Dan Richard Isdahl-Engh</t>
  </si>
  <si>
    <t>Kjellerveien 1</t>
  </si>
  <si>
    <t>Drake</t>
  </si>
  <si>
    <t>Lakkert Oregon Pine</t>
  </si>
  <si>
    <t>Børge Børresen</t>
  </si>
  <si>
    <t>Fiin gammel af Oslo</t>
  </si>
  <si>
    <t>Selbygget</t>
  </si>
  <si>
    <t>D N 255</t>
  </si>
  <si>
    <t>Per Andresen</t>
  </si>
  <si>
    <t>920 64 852</t>
  </si>
  <si>
    <t>per@kingfisher-cruisers.com</t>
  </si>
  <si>
    <t>Smestadhagan 38</t>
  </si>
  <si>
    <t>0376 Oslo</t>
  </si>
  <si>
    <t>Southport Yacht Club</t>
  </si>
  <si>
    <t>Drake - turinnredet med innenbordsmotor</t>
  </si>
  <si>
    <t>Hera</t>
  </si>
  <si>
    <t>Bermuda Yawl</t>
  </si>
  <si>
    <t>GER 50</t>
  </si>
  <si>
    <t>Clas Lehmann</t>
  </si>
  <si>
    <t>Hamburg</t>
  </si>
  <si>
    <t>Blankense Segel club</t>
  </si>
  <si>
    <t>8 m tur</t>
  </si>
  <si>
    <t>Henry Rasmussen</t>
  </si>
  <si>
    <t>Turbåt kun lørdag kr 200,- Konkurrerer med festivalens TBF tall.</t>
  </si>
  <si>
    <t>KLR</t>
  </si>
  <si>
    <t>KLR måltall</t>
  </si>
  <si>
    <t>Vema III</t>
  </si>
  <si>
    <t>Jo Borkhus</t>
  </si>
  <si>
    <t>950 38 400</t>
  </si>
  <si>
    <t>3770 Kragerø</t>
  </si>
  <si>
    <t>Karen Aardal</t>
  </si>
  <si>
    <t>.+31 6418 74 885</t>
  </si>
  <si>
    <t>k.i.aardal@tudelft.nl</t>
  </si>
  <si>
    <t>Vardøya</t>
  </si>
  <si>
    <t>Risør</t>
  </si>
  <si>
    <t>Christian Jensen, Vollen i Asker</t>
  </si>
  <si>
    <t>12 N 11</t>
  </si>
  <si>
    <t>Eric Svenkerud</t>
  </si>
  <si>
    <t>959 29 512</t>
  </si>
  <si>
    <t>ericsvenkerud@gmail.com</t>
  </si>
  <si>
    <t>Aja</t>
  </si>
  <si>
    <t>SSCA
KTK</t>
  </si>
  <si>
    <t>OR N 609</t>
  </si>
  <si>
    <t>Otto Jervell</t>
  </si>
  <si>
    <t>920 41 732</t>
  </si>
  <si>
    <t>otto@lefhagencies.com</t>
  </si>
  <si>
    <t>1392 Vettre</t>
  </si>
  <si>
    <t>Sparkman Stephens</t>
  </si>
  <si>
    <t>Broderna Martinsson</t>
  </si>
  <si>
    <t>Lakkert mahongy</t>
  </si>
  <si>
    <t>S+F+M+K+t2</t>
  </si>
  <si>
    <t>Truls Antonsen</t>
  </si>
  <si>
    <t>N 257</t>
  </si>
  <si>
    <t>Tom Nysted</t>
  </si>
  <si>
    <t>5,5 m R</t>
  </si>
  <si>
    <t>Bingo 2</t>
  </si>
  <si>
    <t>N 33</t>
  </si>
  <si>
    <t>Bill Luders jr.</t>
  </si>
  <si>
    <t>Ontario Yacht Canada</t>
  </si>
  <si>
    <t>Eid av Kong Olav fra 1971</t>
  </si>
  <si>
    <t>Kong Olav fikk 3dje plaas i VM</t>
  </si>
  <si>
    <t>Restaurert av Leif Nilsen &amp; Risør Trebåtbyggeri</t>
  </si>
  <si>
    <t>S1+F+k2 - TBF 2024</t>
  </si>
  <si>
    <t>9199 4407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</si>
</sst>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164" formatCode="0.0"/>
    <numFmt numFmtId="165" formatCode="[&lt;=99999999]###_ ##_ ###;\(\+##\)_ ###_ ##_ ###"/>
    <numFmt numFmtId="166" formatCode="0.0000000"/>
    <numFmt numFmtId="167" formatCode="0.000"/>
    <numFmt numFmtId="168" formatCode="#,##0.0\ [$'-1C1A]"/>
    <numFmt numFmtId="169" formatCode="#,##0.0"/>
    <numFmt numFmtId="170" formatCode="#,##0\ [$kvm]"/>
    <numFmt numFmtId="171" formatCode="_ * #,##0.0_ ;_ * \-#,##0.0_ ;_ * &quot;-&quot;_ ;_ @_ "/>
    <numFmt numFmtId="172" formatCode="_ * #,##0.00_ ;_ * \-#,##0.00_ ;_ * &quot;-&quot;_ ;_ @_ "/>
    <numFmt numFmtId="173" formatCode="0\ [$seil]"/>
    <numFmt numFmtId="174" formatCode="#,##0\ [$Kvm]"/>
    <numFmt numFmtId="175" formatCode="#,##0\ [$Kg]"/>
    <numFmt numFmtId="176" formatCode="0.0000"/>
    <numFmt numFmtId="177" formatCode="d\.m\.yy"/>
    <numFmt numFmtId="178" formatCode="0.0\ %"/>
    <numFmt numFmtId="179" formatCode="#,##0.00\ [$KLR/VET]"/>
  </numFmts>
  <fonts count="10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b/>
      <sz val="8"/>
      <color rgb="FF000000"/>
      <name val="Arial"/>
      <family val="2"/>
    </font>
    <font>
      <b/>
      <sz val="20"/>
      <color rgb="FF1F497D"/>
      <name val="Arial"/>
      <family val="2"/>
    </font>
    <font>
      <b/>
      <sz val="9"/>
      <color rgb="FF1F497D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FFFF00"/>
      <name val="Arial"/>
      <family val="2"/>
    </font>
    <font>
      <b/>
      <i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1F497D"/>
      <name val="Arial"/>
      <family val="2"/>
    </font>
    <font>
      <sz val="8"/>
      <color rgb="FF000000"/>
      <name val="Times New Roman"/>
      <family val="1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1F497D"/>
      <name val="Arial"/>
      <family val="2"/>
    </font>
    <font>
      <b/>
      <i/>
      <sz val="12"/>
      <color rgb="FF1F497D"/>
      <name val="Arial"/>
      <family val="2"/>
    </font>
    <font>
      <sz val="9"/>
      <color theme="1"/>
      <name val="Arial"/>
      <family val="2"/>
    </font>
    <font>
      <b/>
      <sz val="10"/>
      <color rgb="FF1F497D"/>
      <name val="Arial"/>
      <family val="2"/>
    </font>
    <font>
      <b/>
      <i/>
      <sz val="8"/>
      <color rgb="FFFFFF00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1F497D"/>
      <name val="Arial"/>
      <family val="2"/>
    </font>
    <font>
      <sz val="16"/>
      <color rgb="FF000000"/>
      <name val="Arial"/>
      <family val="2"/>
    </font>
    <font>
      <sz val="20"/>
      <color rgb="FF000000"/>
      <name val="Arial Black"/>
      <family val="2"/>
    </font>
    <font>
      <sz val="12"/>
      <color rgb="FF000000"/>
      <name val="Arial Black"/>
      <family val="2"/>
    </font>
    <font>
      <sz val="8"/>
      <color rgb="FF000000"/>
      <name val="Arial Narrow"/>
      <family val="2"/>
    </font>
    <font>
      <i/>
      <sz val="8"/>
      <color rgb="FF000000"/>
      <name val="Arial"/>
      <family val="2"/>
    </font>
    <font>
      <b/>
      <sz val="14"/>
      <color rgb="FF000000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1F497D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1F497D"/>
      <name val="Arial"/>
      <family val="2"/>
    </font>
    <font>
      <b/>
      <sz val="8"/>
      <name val="Arial"/>
      <family val="2"/>
    </font>
    <font>
      <b/>
      <sz val="14"/>
      <color rgb="FF1F497D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4"/>
      <color rgb="FF000000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rgb="FF1F497D"/>
      <name val="Arial Narrow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4"/>
      <color rgb="FF000000"/>
      <name val="Arial"/>
      <family val="2"/>
    </font>
    <font>
      <b/>
      <u/>
      <sz val="10"/>
      <color rgb="FF000000"/>
      <name val="Arial Narrow"/>
      <family val="2"/>
    </font>
    <font>
      <b/>
      <i/>
      <sz val="12"/>
      <color theme="0"/>
      <name val="Arial"/>
      <family val="2"/>
    </font>
    <font>
      <i/>
      <sz val="9"/>
      <color rgb="FF000000"/>
      <name val="Arial"/>
      <family val="2"/>
    </font>
    <font>
      <b/>
      <sz val="10"/>
      <color theme="0"/>
      <name val="Arial Black"/>
      <family val="2"/>
    </font>
    <font>
      <b/>
      <sz val="11"/>
      <color theme="0" tint="-0.249977111117893"/>
      <name val="Calibri"/>
      <family val="2"/>
      <scheme val="minor"/>
    </font>
    <font>
      <sz val="8"/>
      <name val="Tms Rmn"/>
    </font>
    <font>
      <b/>
      <sz val="8"/>
      <name val="Tms Rmn"/>
    </font>
    <font>
      <b/>
      <sz val="12"/>
      <color rgb="FF000000"/>
      <name val="Arial Narrow"/>
      <family val="2"/>
    </font>
    <font>
      <b/>
      <u/>
      <sz val="9"/>
      <color rgb="FF000000"/>
      <name val="Arial"/>
      <family val="2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3"/>
      <color theme="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28"/>
      <name val="Times New Roman"/>
      <family val="1"/>
    </font>
    <font>
      <u/>
      <sz val="2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b/>
      <u/>
      <sz val="28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u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b/>
      <i/>
      <sz val="12"/>
      <name val="Times New Roman"/>
      <family val="1"/>
    </font>
    <font>
      <u/>
      <sz val="10"/>
      <name val="Times New Roman"/>
      <family val="1"/>
    </font>
    <font>
      <sz val="10"/>
      <name val="Helv"/>
    </font>
    <font>
      <b/>
      <u/>
      <sz val="24"/>
      <color rgb="FF000000"/>
      <name val="Times New Roman"/>
      <family val="1"/>
    </font>
    <font>
      <sz val="8"/>
      <color theme="1"/>
      <name val="Arial"/>
      <family val="2"/>
    </font>
    <font>
      <u/>
      <sz val="8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1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i/>
      <sz val="12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2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sz val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D7E4B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5A6BD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ont="0" applyFill="0" applyBorder="0" applyAlignment="0" applyProtection="0"/>
  </cellStyleXfs>
  <cellXfs count="6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2" borderId="0" xfId="0" applyNumberFormat="1" applyFont="1" applyFill="1"/>
    <xf numFmtId="49" fontId="5" fillId="6" borderId="0" xfId="0" applyNumberFormat="1" applyFont="1" applyFill="1" applyAlignment="1">
      <alignment vertical="center"/>
    </xf>
    <xf numFmtId="165" fontId="7" fillId="7" borderId="0" xfId="0" applyNumberFormat="1" applyFont="1" applyFill="1" applyAlignment="1">
      <alignment horizontal="center" vertical="center" wrapText="1"/>
    </xf>
    <xf numFmtId="0" fontId="8" fillId="7" borderId="0" xfId="0" applyFont="1" applyFill="1" applyAlignment="1">
      <alignment vertical="center" wrapText="1"/>
    </xf>
    <xf numFmtId="4" fontId="3" fillId="6" borderId="0" xfId="0" applyNumberFormat="1" applyFont="1" applyFill="1" applyAlignment="1">
      <alignment vertical="center" wrapText="1"/>
    </xf>
    <xf numFmtId="2" fontId="7" fillId="0" borderId="0" xfId="0" applyNumberFormat="1" applyFont="1" applyAlignment="1">
      <alignment horizontal="center" vertical="center"/>
    </xf>
    <xf numFmtId="166" fontId="9" fillId="8" borderId="0" xfId="0" applyNumberFormat="1" applyFont="1" applyFill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7" fillId="6" borderId="0" xfId="0" applyNumberFormat="1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4" fontId="7" fillId="6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2" fontId="10" fillId="0" borderId="0" xfId="0" applyNumberFormat="1" applyFont="1" applyAlignment="1">
      <alignment vertical="center" wrapText="1"/>
    </xf>
    <xf numFmtId="164" fontId="7" fillId="9" borderId="0" xfId="0" applyNumberFormat="1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166" fontId="9" fillId="8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2" fillId="11" borderId="0" xfId="0" applyNumberFormat="1" applyFont="1" applyFill="1" applyAlignment="1">
      <alignment horizontal="center" vertical="center" textRotation="90"/>
    </xf>
    <xf numFmtId="2" fontId="18" fillId="10" borderId="0" xfId="0" applyNumberFormat="1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left" textRotation="40" wrapText="1"/>
    </xf>
    <xf numFmtId="164" fontId="6" fillId="4" borderId="0" xfId="0" applyNumberFormat="1" applyFont="1" applyFill="1" applyAlignment="1">
      <alignment horizontal="left" textRotation="40" wrapText="1"/>
    </xf>
    <xf numFmtId="2" fontId="6" fillId="5" borderId="0" xfId="0" applyNumberFormat="1" applyFont="1" applyFill="1" applyAlignment="1">
      <alignment horizontal="center" wrapText="1"/>
    </xf>
    <xf numFmtId="49" fontId="12" fillId="6" borderId="0" xfId="0" applyNumberFormat="1" applyFont="1" applyFill="1" applyAlignment="1">
      <alignment horizontal="center" wrapText="1"/>
    </xf>
    <xf numFmtId="164" fontId="17" fillId="7" borderId="0" xfId="0" applyNumberFormat="1" applyFont="1" applyFill="1" applyAlignment="1">
      <alignment horizontal="center"/>
    </xf>
    <xf numFmtId="2" fontId="19" fillId="14" borderId="1" xfId="0" applyNumberFormat="1" applyFont="1" applyFill="1" applyBorder="1" applyAlignment="1">
      <alignment horizontal="center" vertical="center" textRotation="90" wrapText="1"/>
    </xf>
    <xf numFmtId="2" fontId="7" fillId="9" borderId="0" xfId="0" applyNumberFormat="1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left" textRotation="40" wrapText="1"/>
    </xf>
    <xf numFmtId="164" fontId="6" fillId="0" borderId="0" xfId="0" applyNumberFormat="1" applyFont="1" applyAlignment="1">
      <alignment horizontal="left" textRotation="45" wrapText="1"/>
    </xf>
    <xf numFmtId="0" fontId="4" fillId="0" borderId="0" xfId="0" applyFont="1" applyAlignment="1">
      <alignment horizontal="center" vertical="center" wrapText="1"/>
    </xf>
    <xf numFmtId="167" fontId="21" fillId="8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7" fillId="6" borderId="0" xfId="0" applyNumberFormat="1" applyFont="1" applyFill="1" applyAlignment="1">
      <alignment horizontal="center" vertical="center"/>
    </xf>
    <xf numFmtId="2" fontId="7" fillId="12" borderId="0" xfId="0" applyNumberFormat="1" applyFont="1" applyFill="1" applyAlignment="1">
      <alignment horizontal="center" vertical="center"/>
    </xf>
    <xf numFmtId="171" fontId="7" fillId="0" borderId="0" xfId="0" applyNumberFormat="1" applyFont="1" applyAlignment="1">
      <alignment horizontal="center" vertical="center"/>
    </xf>
    <xf numFmtId="172" fontId="7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9" fontId="7" fillId="13" borderId="0" xfId="1" applyFont="1" applyFill="1" applyAlignment="1">
      <alignment horizontal="center" vertical="center"/>
    </xf>
    <xf numFmtId="0" fontId="16" fillId="9" borderId="0" xfId="0" applyFont="1" applyFill="1" applyAlignment="1">
      <alignment vertical="center"/>
    </xf>
    <xf numFmtId="0" fontId="7" fillId="9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2" fontId="22" fillId="9" borderId="7" xfId="0" applyNumberFormat="1" applyFont="1" applyFill="1" applyBorder="1" applyAlignment="1">
      <alignment horizontal="right" vertical="center"/>
    </xf>
    <xf numFmtId="49" fontId="4" fillId="9" borderId="7" xfId="0" applyNumberFormat="1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vertical="center" wrapText="1"/>
    </xf>
    <xf numFmtId="2" fontId="7" fillId="1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168" fontId="7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173" fontId="7" fillId="13" borderId="0" xfId="0" applyNumberFormat="1" applyFont="1" applyFill="1" applyAlignment="1">
      <alignment horizontal="center" vertical="center"/>
    </xf>
    <xf numFmtId="2" fontId="7" fillId="5" borderId="0" xfId="0" applyNumberFormat="1" applyFont="1" applyFill="1" applyAlignment="1">
      <alignment horizontal="right" vertical="center"/>
    </xf>
    <xf numFmtId="49" fontId="7" fillId="6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right" vertical="center" wrapText="1" indent="1" readingOrder="2"/>
    </xf>
    <xf numFmtId="0" fontId="4" fillId="9" borderId="0" xfId="0" applyFont="1" applyFill="1" applyAlignment="1">
      <alignment horizontal="center" vertical="center" wrapText="1"/>
    </xf>
    <xf numFmtId="49" fontId="4" fillId="9" borderId="0" xfId="0" applyNumberFormat="1" applyFont="1" applyFill="1" applyAlignment="1">
      <alignment horizontal="center" vertical="center"/>
    </xf>
    <xf numFmtId="49" fontId="7" fillId="9" borderId="7" xfId="0" applyNumberFormat="1" applyFont="1" applyFill="1" applyBorder="1" applyAlignment="1">
      <alignment horizontal="center" vertical="center"/>
    </xf>
    <xf numFmtId="49" fontId="7" fillId="9" borderId="7" xfId="0" applyNumberFormat="1" applyFont="1" applyFill="1" applyBorder="1" applyAlignment="1">
      <alignment vertical="center"/>
    </xf>
    <xf numFmtId="2" fontId="10" fillId="9" borderId="0" xfId="0" applyNumberFormat="1" applyFont="1" applyFill="1" applyAlignment="1">
      <alignment horizontal="center" vertical="center"/>
    </xf>
    <xf numFmtId="167" fontId="10" fillId="9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 indent="1" readingOrder="2"/>
    </xf>
    <xf numFmtId="0" fontId="7" fillId="9" borderId="0" xfId="0" applyFont="1" applyFill="1" applyAlignment="1">
      <alignment vertical="center" wrapText="1"/>
    </xf>
    <xf numFmtId="164" fontId="6" fillId="2" borderId="0" xfId="0" applyNumberFormat="1" applyFont="1" applyFill="1" applyAlignment="1">
      <alignment horizontal="left" textRotation="40"/>
    </xf>
    <xf numFmtId="164" fontId="8" fillId="4" borderId="0" xfId="0" applyNumberFormat="1" applyFont="1" applyFill="1" applyAlignment="1">
      <alignment horizontal="left" vertical="center"/>
    </xf>
    <xf numFmtId="164" fontId="24" fillId="4" borderId="0" xfId="0" applyNumberFormat="1" applyFont="1" applyFill="1"/>
    <xf numFmtId="164" fontId="24" fillId="4" borderId="0" xfId="0" applyNumberFormat="1" applyFont="1" applyFill="1" applyAlignment="1">
      <alignment vertical="center"/>
    </xf>
    <xf numFmtId="164" fontId="24" fillId="2" borderId="0" xfId="0" applyNumberFormat="1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164" fontId="24" fillId="15" borderId="0" xfId="0" applyNumberFormat="1" applyFont="1" applyFill="1" applyAlignment="1">
      <alignment vertical="center"/>
    </xf>
    <xf numFmtId="164" fontId="6" fillId="15" borderId="0" xfId="0" applyNumberFormat="1" applyFont="1" applyFill="1" applyAlignment="1">
      <alignment horizontal="left" textRotation="40" wrapText="1"/>
    </xf>
    <xf numFmtId="0" fontId="25" fillId="15" borderId="0" xfId="0" applyFont="1" applyFill="1" applyAlignment="1">
      <alignment vertical="center" wrapText="1"/>
    </xf>
    <xf numFmtId="164" fontId="7" fillId="2" borderId="0" xfId="0" applyNumberFormat="1" applyFont="1" applyFill="1" applyAlignment="1">
      <alignment horizontal="center" vertical="center"/>
    </xf>
    <xf numFmtId="2" fontId="24" fillId="5" borderId="0" xfId="0" applyNumberFormat="1" applyFont="1" applyFill="1" applyAlignment="1">
      <alignment vertical="center"/>
    </xf>
    <xf numFmtId="49" fontId="24" fillId="6" borderId="0" xfId="0" applyNumberFormat="1" applyFont="1" applyFill="1" applyAlignment="1">
      <alignment vertical="center"/>
    </xf>
    <xf numFmtId="164" fontId="24" fillId="15" borderId="0" xfId="0" applyNumberFormat="1" applyFont="1" applyFill="1" applyAlignment="1">
      <alignment vertical="center" textRotation="90"/>
    </xf>
    <xf numFmtId="2" fontId="6" fillId="2" borderId="0" xfId="0" applyNumberFormat="1" applyFont="1" applyFill="1" applyAlignment="1">
      <alignment horizontal="left" textRotation="40" wrapText="1"/>
    </xf>
    <xf numFmtId="2" fontId="26" fillId="0" borderId="0" xfId="0" applyNumberFormat="1" applyFont="1" applyAlignment="1">
      <alignment vertical="center" wrapText="1"/>
    </xf>
    <xf numFmtId="2" fontId="27" fillId="0" borderId="0" xfId="0" applyNumberFormat="1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/>
    </xf>
    <xf numFmtId="2" fontId="12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center" vertical="center" wrapText="1"/>
    </xf>
    <xf numFmtId="9" fontId="7" fillId="0" borderId="0" xfId="1" applyFont="1" applyAlignment="1">
      <alignment horizontal="center" vertical="center" wrapText="1"/>
    </xf>
    <xf numFmtId="167" fontId="9" fillId="8" borderId="0" xfId="0" applyNumberFormat="1" applyFont="1" applyFill="1" applyAlignment="1">
      <alignment horizontal="center" vertical="center" wrapText="1"/>
    </xf>
    <xf numFmtId="0" fontId="4" fillId="16" borderId="0" xfId="0" applyFont="1" applyFill="1" applyAlignment="1">
      <alignment horizontal="left" vertical="center" indent="1"/>
    </xf>
    <xf numFmtId="0" fontId="10" fillId="0" borderId="0" xfId="0" applyFont="1" applyAlignment="1">
      <alignment horizontal="right" vertical="center"/>
    </xf>
    <xf numFmtId="2" fontId="14" fillId="0" borderId="0" xfId="0" applyNumberFormat="1" applyFont="1" applyAlignment="1">
      <alignment horizontal="center" vertical="center" wrapText="1"/>
    </xf>
    <xf numFmtId="170" fontId="7" fillId="0" borderId="0" xfId="0" applyNumberFormat="1" applyFont="1" applyAlignment="1">
      <alignment horizontal="right" vertical="center"/>
    </xf>
    <xf numFmtId="2" fontId="7" fillId="13" borderId="0" xfId="1" applyNumberFormat="1" applyFont="1" applyFill="1" applyAlignment="1">
      <alignment horizontal="center" vertical="center"/>
    </xf>
    <xf numFmtId="170" fontId="4" fillId="16" borderId="0" xfId="0" applyNumberFormat="1" applyFont="1" applyFill="1" applyAlignment="1">
      <alignment horizontal="right" vertical="center" indent="1"/>
    </xf>
    <xf numFmtId="2" fontId="4" fillId="16" borderId="0" xfId="0" applyNumberFormat="1" applyFont="1" applyFill="1" applyAlignment="1">
      <alignment horizontal="left" vertical="center" indent="1"/>
    </xf>
    <xf numFmtId="174" fontId="7" fillId="13" borderId="0" xfId="0" applyNumberFormat="1" applyFont="1" applyFill="1" applyAlignment="1">
      <alignment horizontal="right" vertical="center"/>
    </xf>
    <xf numFmtId="174" fontId="4" fillId="16" borderId="0" xfId="0" applyNumberFormat="1" applyFont="1" applyFill="1" applyAlignment="1">
      <alignment horizontal="left" vertical="center" indent="1"/>
    </xf>
    <xf numFmtId="174" fontId="7" fillId="13" borderId="0" xfId="0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4" fillId="17" borderId="0" xfId="0" applyFont="1" applyFill="1" applyAlignment="1">
      <alignment horizontal="left" vertical="center" indent="1"/>
    </xf>
    <xf numFmtId="17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74" fontId="7" fillId="0" borderId="0" xfId="0" applyNumberFormat="1" applyFont="1" applyAlignment="1">
      <alignment horizontal="right" vertical="center"/>
    </xf>
    <xf numFmtId="2" fontId="7" fillId="0" borderId="0" xfId="1" applyNumberFormat="1" applyFont="1" applyFill="1" applyAlignment="1">
      <alignment horizontal="center" vertical="center"/>
    </xf>
    <xf numFmtId="9" fontId="7" fillId="0" borderId="0" xfId="1" applyFont="1" applyFill="1" applyAlignment="1">
      <alignment horizontal="center" vertical="center"/>
    </xf>
    <xf numFmtId="0" fontId="30" fillId="16" borderId="0" xfId="0" applyFont="1" applyFill="1" applyAlignment="1">
      <alignment horizontal="left" vertical="center" indent="1"/>
    </xf>
    <xf numFmtId="9" fontId="28" fillId="0" borderId="0" xfId="1" applyFont="1" applyFill="1" applyAlignment="1">
      <alignment horizontal="center" vertical="center"/>
    </xf>
    <xf numFmtId="2" fontId="5" fillId="0" borderId="3" xfId="0" applyNumberFormat="1" applyFont="1" applyBorder="1" applyAlignment="1">
      <alignment vertical="center"/>
    </xf>
    <xf numFmtId="167" fontId="29" fillId="0" borderId="9" xfId="0" applyNumberFormat="1" applyFont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167" fontId="3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2" fontId="3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14" fillId="0" borderId="5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2" fontId="34" fillId="0" borderId="0" xfId="0" applyNumberFormat="1" applyFont="1" applyAlignment="1">
      <alignment horizontal="center"/>
    </xf>
    <xf numFmtId="167" fontId="34" fillId="0" borderId="0" xfId="0" applyNumberFormat="1" applyFont="1" applyAlignment="1">
      <alignment horizontal="center"/>
    </xf>
    <xf numFmtId="2" fontId="35" fillId="10" borderId="0" xfId="0" applyNumberFormat="1" applyFont="1" applyFill="1" applyAlignment="1">
      <alignment horizontal="center" vertical="center" wrapText="1"/>
    </xf>
    <xf numFmtId="167" fontId="36" fillId="0" borderId="0" xfId="0" applyNumberFormat="1" applyFont="1" applyAlignment="1">
      <alignment horizontal="center" vertical="center"/>
    </xf>
    <xf numFmtId="0" fontId="34" fillId="0" borderId="0" xfId="0" applyFont="1"/>
    <xf numFmtId="2" fontId="37" fillId="0" borderId="0" xfId="0" applyNumberFormat="1" applyFont="1" applyAlignment="1">
      <alignment horizontal="center"/>
    </xf>
    <xf numFmtId="167" fontId="10" fillId="18" borderId="0" xfId="0" applyNumberFormat="1" applyFont="1" applyFill="1" applyAlignment="1">
      <alignment horizontal="center" vertical="center"/>
    </xf>
    <xf numFmtId="164" fontId="33" fillId="17" borderId="0" xfId="0" applyNumberFormat="1" applyFont="1" applyFill="1" applyAlignment="1">
      <alignment horizontal="center"/>
    </xf>
    <xf numFmtId="1" fontId="31" fillId="0" borderId="0" xfId="0" applyNumberFormat="1" applyFont="1" applyAlignment="1">
      <alignment horizontal="center"/>
    </xf>
    <xf numFmtId="1" fontId="38" fillId="0" borderId="0" xfId="0" applyNumberFormat="1" applyFont="1" applyAlignment="1">
      <alignment horizontal="center" vertical="center" wrapText="1"/>
    </xf>
    <xf numFmtId="1" fontId="31" fillId="0" borderId="0" xfId="0" applyNumberFormat="1" applyFont="1"/>
    <xf numFmtId="1" fontId="32" fillId="0" borderId="0" xfId="0" applyNumberFormat="1" applyFont="1" applyAlignment="1">
      <alignment horizontal="center" vertical="center"/>
    </xf>
    <xf numFmtId="1" fontId="32" fillId="12" borderId="0" xfId="0" applyNumberFormat="1" applyFont="1" applyFill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164" fontId="22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8" fillId="1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18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39" fillId="0" borderId="2" xfId="0" applyFont="1" applyBorder="1" applyAlignment="1">
      <alignment horizontal="right" vertical="center"/>
    </xf>
    <xf numFmtId="2" fontId="40" fillId="10" borderId="0" xfId="0" applyNumberFormat="1" applyFont="1" applyFill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2" fontId="8" fillId="10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22" fillId="10" borderId="6" xfId="0" applyNumberFormat="1" applyFont="1" applyFill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2" fillId="16" borderId="0" xfId="0" applyFont="1" applyFill="1" applyAlignment="1">
      <alignment horizontal="left" vertical="center" indent="1"/>
    </xf>
    <xf numFmtId="0" fontId="31" fillId="0" borderId="0" xfId="0" applyFont="1" applyAlignment="1">
      <alignment vertical="center" wrapText="1"/>
    </xf>
    <xf numFmtId="2" fontId="22" fillId="0" borderId="0" xfId="0" applyNumberFormat="1" applyFont="1" applyAlignment="1">
      <alignment horizontal="right" vertical="center"/>
    </xf>
    <xf numFmtId="164" fontId="22" fillId="9" borderId="7" xfId="0" applyNumberFormat="1" applyFont="1" applyFill="1" applyBorder="1" applyAlignment="1">
      <alignment horizontal="center" vertical="center"/>
    </xf>
    <xf numFmtId="164" fontId="7" fillId="9" borderId="7" xfId="0" applyNumberFormat="1" applyFont="1" applyFill="1" applyBorder="1" applyAlignment="1">
      <alignment horizontal="center" vertical="center"/>
    </xf>
    <xf numFmtId="172" fontId="7" fillId="9" borderId="0" xfId="0" applyNumberFormat="1" applyFont="1" applyFill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41" fillId="0" borderId="0" xfId="0" applyNumberFormat="1" applyFont="1" applyAlignment="1">
      <alignment horizontal="center" wrapText="1"/>
    </xf>
    <xf numFmtId="2" fontId="22" fillId="12" borderId="7" xfId="0" applyNumberFormat="1" applyFont="1" applyFill="1" applyBorder="1" applyAlignment="1">
      <alignment horizontal="right" vertical="center"/>
    </xf>
    <xf numFmtId="0" fontId="43" fillId="2" borderId="0" xfId="0" applyFont="1" applyFill="1" applyAlignment="1">
      <alignment vertical="center" wrapText="1"/>
    </xf>
    <xf numFmtId="2" fontId="41" fillId="2" borderId="0" xfId="0" applyNumberFormat="1" applyFont="1" applyFill="1" applyAlignment="1">
      <alignment horizontal="center" wrapText="1"/>
    </xf>
    <xf numFmtId="9" fontId="7" fillId="2" borderId="0" xfId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right" vertical="center" wrapText="1" indent="1" readingOrder="2"/>
    </xf>
    <xf numFmtId="0" fontId="0" fillId="0" borderId="0" xfId="0" applyAlignment="1">
      <alignment horizontal="left"/>
    </xf>
    <xf numFmtId="164" fontId="22" fillId="12" borderId="7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/>
    </xf>
    <xf numFmtId="164" fontId="7" fillId="12" borderId="7" xfId="0" applyNumberFormat="1" applyFont="1" applyFill="1" applyBorder="1" applyAlignment="1">
      <alignment horizontal="center" vertical="center"/>
    </xf>
    <xf numFmtId="2" fontId="15" fillId="12" borderId="0" xfId="0" applyNumberFormat="1" applyFont="1" applyFill="1" applyAlignment="1">
      <alignment horizontal="center" vertical="center"/>
    </xf>
    <xf numFmtId="2" fontId="18" fillId="12" borderId="0" xfId="0" applyNumberFormat="1" applyFont="1" applyFill="1" applyAlignment="1">
      <alignment horizontal="center" vertical="center" wrapText="1"/>
    </xf>
    <xf numFmtId="9" fontId="0" fillId="0" borderId="0" xfId="1" applyFont="1" applyAlignment="1">
      <alignment horizontal="center"/>
    </xf>
    <xf numFmtId="2" fontId="3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" fontId="7" fillId="9" borderId="3" xfId="0" applyNumberFormat="1" applyFont="1" applyFill="1" applyBorder="1" applyAlignment="1">
      <alignment horizontal="center" vertical="center" wrapText="1"/>
    </xf>
    <xf numFmtId="169" fontId="4" fillId="9" borderId="5" xfId="0" applyNumberFormat="1" applyFont="1" applyFill="1" applyBorder="1" applyAlignment="1">
      <alignment horizontal="center" vertical="center" wrapText="1"/>
    </xf>
    <xf numFmtId="9" fontId="22" fillId="2" borderId="4" xfId="1" applyFont="1" applyFill="1" applyBorder="1" applyAlignment="1">
      <alignment horizontal="right" vertical="center"/>
    </xf>
    <xf numFmtId="0" fontId="15" fillId="12" borderId="0" xfId="0" applyFont="1" applyFill="1" applyAlignment="1">
      <alignment vertical="center" wrapText="1"/>
    </xf>
    <xf numFmtId="0" fontId="0" fillId="9" borderId="0" xfId="0" applyFill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5" fontId="0" fillId="0" borderId="5" xfId="0" applyNumberFormat="1" applyBorder="1" applyAlignment="1">
      <alignment horizontal="center" vertical="center"/>
    </xf>
    <xf numFmtId="0" fontId="39" fillId="0" borderId="0" xfId="0" applyFont="1" applyAlignment="1">
      <alignment horizontal="right"/>
    </xf>
    <xf numFmtId="0" fontId="39" fillId="0" borderId="2" xfId="0" applyFont="1" applyBorder="1" applyAlignment="1">
      <alignment horizontal="right"/>
    </xf>
    <xf numFmtId="164" fontId="7" fillId="2" borderId="1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2" fontId="12" fillId="13" borderId="0" xfId="0" applyNumberFormat="1" applyFont="1" applyFill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wrapText="1"/>
    </xf>
    <xf numFmtId="0" fontId="32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8" fillId="1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16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2" fontId="7" fillId="0" borderId="0" xfId="0" applyNumberFormat="1" applyFont="1" applyAlignment="1">
      <alignment horizontal="center" vertical="center" readingOrder="2"/>
    </xf>
    <xf numFmtId="0" fontId="46" fillId="0" borderId="0" xfId="0" applyFont="1" applyAlignment="1">
      <alignment vertical="center"/>
    </xf>
    <xf numFmtId="174" fontId="45" fillId="0" borderId="0" xfId="0" applyNumberFormat="1" applyFont="1" applyAlignment="1">
      <alignment horizontal="left" vertical="center"/>
    </xf>
    <xf numFmtId="0" fontId="32" fillId="0" borderId="12" xfId="0" applyFont="1" applyBorder="1" applyAlignment="1">
      <alignment horizontal="center" vertical="top" wrapText="1"/>
    </xf>
    <xf numFmtId="0" fontId="32" fillId="0" borderId="12" xfId="0" applyFont="1" applyBorder="1" applyAlignment="1">
      <alignment horizontal="center" wrapText="1"/>
    </xf>
    <xf numFmtId="9" fontId="47" fillId="0" borderId="0" xfId="1" applyFont="1" applyFill="1" applyAlignment="1">
      <alignment horizontal="center" vertical="center"/>
    </xf>
    <xf numFmtId="0" fontId="12" fillId="6" borderId="0" xfId="0" applyFont="1" applyFill="1" applyAlignment="1">
      <alignment horizontal="center" textRotation="90" wrapText="1"/>
    </xf>
    <xf numFmtId="0" fontId="48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2" fontId="49" fillId="0" borderId="0" xfId="0" applyNumberFormat="1" applyFont="1" applyAlignment="1">
      <alignment horizontal="center"/>
    </xf>
    <xf numFmtId="168" fontId="28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" fontId="8" fillId="0" borderId="0" xfId="0" applyNumberFormat="1" applyFont="1" applyAlignment="1">
      <alignment horizontal="right" vertical="center"/>
    </xf>
    <xf numFmtId="174" fontId="22" fillId="13" borderId="0" xfId="0" applyNumberFormat="1" applyFont="1" applyFill="1" applyAlignment="1">
      <alignment horizontal="right" vertical="center"/>
    </xf>
    <xf numFmtId="174" fontId="22" fillId="0" borderId="0" xfId="0" applyNumberFormat="1" applyFont="1" applyAlignment="1">
      <alignment horizontal="right" vertical="center"/>
    </xf>
    <xf numFmtId="174" fontId="22" fillId="16" borderId="0" xfId="0" applyNumberFormat="1" applyFont="1" applyFill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9" fontId="47" fillId="0" borderId="0" xfId="1" applyFont="1" applyFill="1" applyAlignment="1">
      <alignment horizontal="center"/>
    </xf>
    <xf numFmtId="2" fontId="44" fillId="12" borderId="0" xfId="0" applyNumberFormat="1" applyFont="1" applyFill="1" applyAlignment="1">
      <alignment horizontal="left" vertical="center"/>
    </xf>
    <xf numFmtId="2" fontId="12" fillId="2" borderId="0" xfId="0" applyNumberFormat="1" applyFont="1" applyFill="1" applyAlignment="1">
      <alignment horizontal="center" wrapText="1"/>
    </xf>
    <xf numFmtId="167" fontId="9" fillId="19" borderId="0" xfId="0" applyNumberFormat="1" applyFont="1" applyFill="1" applyAlignment="1">
      <alignment horizontal="center" vertical="center" wrapText="1"/>
    </xf>
    <xf numFmtId="2" fontId="47" fillId="19" borderId="0" xfId="1" applyNumberFormat="1" applyFont="1" applyFill="1" applyAlignment="1">
      <alignment horizontal="center" vertical="center"/>
    </xf>
    <xf numFmtId="167" fontId="21" fillId="19" borderId="0" xfId="0" applyNumberFormat="1" applyFont="1" applyFill="1" applyAlignment="1">
      <alignment horizontal="center" vertical="center"/>
    </xf>
    <xf numFmtId="167" fontId="50" fillId="19" borderId="0" xfId="0" applyNumberFormat="1" applyFont="1" applyFill="1" applyAlignment="1">
      <alignment horizontal="center" vertical="center" wrapText="1"/>
    </xf>
    <xf numFmtId="167" fontId="51" fillId="19" borderId="0" xfId="0" applyNumberFormat="1" applyFont="1" applyFill="1" applyAlignment="1">
      <alignment horizontal="center" vertical="center"/>
    </xf>
    <xf numFmtId="176" fontId="50" fillId="19" borderId="0" xfId="0" applyNumberFormat="1" applyFont="1" applyFill="1" applyAlignment="1">
      <alignment horizontal="center" vertical="center" wrapText="1"/>
    </xf>
    <xf numFmtId="164" fontId="11" fillId="4" borderId="0" xfId="0" applyNumberFormat="1" applyFont="1" applyFill="1" applyAlignment="1">
      <alignment vertical="center"/>
    </xf>
    <xf numFmtId="1" fontId="0" fillId="0" borderId="5" xfId="0" applyNumberForma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/>
    </xf>
    <xf numFmtId="2" fontId="24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2" fontId="22" fillId="12" borderId="7" xfId="0" applyNumberFormat="1" applyFont="1" applyFill="1" applyBorder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167" fontId="22" fillId="16" borderId="0" xfId="0" applyNumberFormat="1" applyFont="1" applyFill="1" applyAlignment="1">
      <alignment horizontal="left" vertical="center"/>
    </xf>
    <xf numFmtId="2" fontId="22" fillId="9" borderId="7" xfId="0" applyNumberFormat="1" applyFont="1" applyFill="1" applyBorder="1" applyAlignment="1">
      <alignment horizontal="center" vertical="center"/>
    </xf>
    <xf numFmtId="0" fontId="11" fillId="16" borderId="0" xfId="0" applyFont="1" applyFill="1" applyAlignment="1">
      <alignment vertical="center"/>
    </xf>
    <xf numFmtId="0" fontId="11" fillId="16" borderId="0" xfId="0" applyFont="1" applyFill="1" applyAlignment="1">
      <alignment vertical="center" wrapText="1"/>
    </xf>
    <xf numFmtId="167" fontId="22" fillId="20" borderId="6" xfId="0" applyNumberFormat="1" applyFont="1" applyFill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2" fontId="55" fillId="0" borderId="0" xfId="0" applyNumberFormat="1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6" fillId="20" borderId="0" xfId="0" applyFont="1" applyFill="1" applyAlignment="1">
      <alignment horizontal="center" vertical="center"/>
    </xf>
    <xf numFmtId="0" fontId="57" fillId="0" borderId="0" xfId="0" applyFont="1" applyAlignment="1">
      <alignment horizontal="center" vertical="top" wrapText="1"/>
    </xf>
    <xf numFmtId="1" fontId="22" fillId="9" borderId="7" xfId="0" applyNumberFormat="1" applyFont="1" applyFill="1" applyBorder="1" applyAlignment="1">
      <alignment horizontal="center" vertical="center"/>
    </xf>
    <xf numFmtId="1" fontId="22" fillId="12" borderId="7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2" fontId="24" fillId="5" borderId="0" xfId="0" applyNumberFormat="1" applyFont="1" applyFill="1" applyAlignment="1">
      <alignment horizontal="center" vertical="center"/>
    </xf>
    <xf numFmtId="2" fontId="22" fillId="9" borderId="7" xfId="0" applyNumberFormat="1" applyFont="1" applyFill="1" applyBorder="1" applyAlignment="1">
      <alignment vertical="center"/>
    </xf>
    <xf numFmtId="0" fontId="4" fillId="5" borderId="0" xfId="0" applyFont="1" applyFill="1" applyAlignment="1">
      <alignment horizontal="center" vertical="center" wrapText="1"/>
    </xf>
    <xf numFmtId="9" fontId="4" fillId="2" borderId="0" xfId="1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right" vertical="center" wrapText="1" indent="1" readingOrder="2"/>
    </xf>
    <xf numFmtId="0" fontId="3" fillId="6" borderId="0" xfId="0" applyFont="1" applyFill="1" applyAlignment="1">
      <alignment vertical="center" wrapText="1"/>
    </xf>
    <xf numFmtId="0" fontId="7" fillId="6" borderId="0" xfId="0" applyFont="1" applyFill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22" fillId="16" borderId="0" xfId="0" applyFont="1" applyFill="1" applyAlignment="1">
      <alignment horizontal="left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vertical="center"/>
    </xf>
    <xf numFmtId="0" fontId="12" fillId="6" borderId="0" xfId="0" applyFont="1" applyFill="1" applyAlignment="1">
      <alignment horizontal="center" textRotation="90"/>
    </xf>
    <xf numFmtId="0" fontId="12" fillId="6" borderId="0" xfId="0" applyFont="1" applyFill="1" applyAlignment="1">
      <alignment horizontal="center" wrapText="1"/>
    </xf>
    <xf numFmtId="0" fontId="4" fillId="9" borderId="8" xfId="0" applyFont="1" applyFill="1" applyBorder="1" applyAlignment="1">
      <alignment horizontal="center" vertical="center"/>
    </xf>
    <xf numFmtId="0" fontId="58" fillId="0" borderId="17" xfId="0" applyFont="1" applyBorder="1"/>
    <xf numFmtId="0" fontId="59" fillId="0" borderId="18" xfId="0" applyFont="1" applyBorder="1"/>
    <xf numFmtId="0" fontId="58" fillId="0" borderId="19" xfId="0" applyFont="1" applyBorder="1"/>
    <xf numFmtId="0" fontId="58" fillId="0" borderId="20" xfId="0" applyFont="1" applyBorder="1" applyAlignment="1">
      <alignment horizontal="center"/>
    </xf>
    <xf numFmtId="0" fontId="58" fillId="0" borderId="0" xfId="0" applyFont="1" applyAlignment="1">
      <alignment horizontal="center"/>
    </xf>
    <xf numFmtId="2" fontId="58" fillId="0" borderId="21" xfId="0" applyNumberFormat="1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23" xfId="0" applyFont="1" applyBorder="1" applyAlignment="1">
      <alignment horizontal="center"/>
    </xf>
    <xf numFmtId="2" fontId="58" fillId="0" borderId="24" xfId="0" applyNumberFormat="1" applyFont="1" applyBorder="1" applyAlignment="1">
      <alignment horizontal="center"/>
    </xf>
    <xf numFmtId="49" fontId="24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textRotation="46" wrapText="1"/>
    </xf>
    <xf numFmtId="164" fontId="2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right" vertical="center" wrapText="1" indent="1" readingOrder="2"/>
    </xf>
    <xf numFmtId="2" fontId="22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center" vertical="center" wrapText="1"/>
    </xf>
    <xf numFmtId="2" fontId="7" fillId="6" borderId="15" xfId="0" applyNumberFormat="1" applyFont="1" applyFill="1" applyBorder="1" applyAlignment="1">
      <alignment horizontal="center" vertical="center" wrapText="1"/>
    </xf>
    <xf numFmtId="4" fontId="7" fillId="6" borderId="0" xfId="0" applyNumberFormat="1" applyFont="1" applyFill="1" applyAlignment="1">
      <alignment horizontal="left" vertical="center"/>
    </xf>
    <xf numFmtId="2" fontId="7" fillId="6" borderId="0" xfId="0" applyNumberFormat="1" applyFont="1" applyFill="1" applyAlignment="1">
      <alignment horizontal="center" vertical="center" wrapText="1"/>
    </xf>
    <xf numFmtId="2" fontId="7" fillId="6" borderId="25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left" vertical="center"/>
    </xf>
    <xf numFmtId="2" fontId="7" fillId="6" borderId="2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2" fontId="5" fillId="6" borderId="0" xfId="0" applyNumberFormat="1" applyFont="1" applyFill="1" applyAlignment="1">
      <alignment vertical="center"/>
    </xf>
    <xf numFmtId="2" fontId="12" fillId="6" borderId="0" xfId="0" applyNumberFormat="1" applyFont="1" applyFill="1" applyAlignment="1">
      <alignment vertical="center"/>
    </xf>
    <xf numFmtId="2" fontId="12" fillId="6" borderId="12" xfId="0" applyNumberFormat="1" applyFont="1" applyFill="1" applyBorder="1" applyAlignment="1">
      <alignment vertical="center"/>
    </xf>
    <xf numFmtId="0" fontId="8" fillId="6" borderId="0" xfId="0" applyFont="1" applyFill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17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" fontId="7" fillId="9" borderId="9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60" fillId="0" borderId="0" xfId="0" applyFont="1" applyAlignment="1">
      <alignment vertical="center"/>
    </xf>
    <xf numFmtId="0" fontId="7" fillId="3" borderId="0" xfId="0" applyFont="1" applyFill="1" applyAlignment="1">
      <alignment horizontal="right" wrapText="1"/>
    </xf>
    <xf numFmtId="164" fontId="24" fillId="2" borderId="0" xfId="0" applyNumberFormat="1" applyFont="1" applyFill="1"/>
    <xf numFmtId="164" fontId="42" fillId="2" borderId="0" xfId="0" applyNumberFormat="1" applyFont="1" applyFill="1"/>
    <xf numFmtId="164" fontId="42" fillId="2" borderId="0" xfId="0" applyNumberFormat="1" applyFont="1" applyFill="1" applyAlignment="1">
      <alignment horizontal="center"/>
    </xf>
    <xf numFmtId="164" fontId="42" fillId="2" borderId="0" xfId="0" applyNumberFormat="1" applyFont="1" applyFill="1" applyAlignment="1">
      <alignment vertical="center"/>
    </xf>
    <xf numFmtId="164" fontId="42" fillId="2" borderId="0" xfId="0" applyNumberFormat="1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 wrapText="1"/>
    </xf>
    <xf numFmtId="164" fontId="42" fillId="2" borderId="8" xfId="0" applyNumberFormat="1" applyFont="1" applyFill="1" applyBorder="1"/>
    <xf numFmtId="164" fontId="42" fillId="2" borderId="27" xfId="0" applyNumberFormat="1" applyFont="1" applyFill="1" applyBorder="1" applyAlignment="1">
      <alignment horizontal="center"/>
    </xf>
    <xf numFmtId="0" fontId="43" fillId="2" borderId="27" xfId="0" applyFont="1" applyFill="1" applyBorder="1" applyAlignment="1">
      <alignment vertical="center" wrapText="1"/>
    </xf>
    <xf numFmtId="164" fontId="42" fillId="2" borderId="28" xfId="0" applyNumberFormat="1" applyFont="1" applyFill="1" applyBorder="1" applyAlignment="1">
      <alignment horizontal="center"/>
    </xf>
    <xf numFmtId="164" fontId="42" fillId="2" borderId="8" xfId="0" applyNumberFormat="1" applyFont="1" applyFill="1" applyBorder="1" applyAlignment="1">
      <alignment vertical="center"/>
    </xf>
    <xf numFmtId="164" fontId="42" fillId="2" borderId="27" xfId="0" applyNumberFormat="1" applyFont="1" applyFill="1" applyBorder="1" applyAlignment="1">
      <alignment horizontal="center" vertical="center"/>
    </xf>
    <xf numFmtId="0" fontId="43" fillId="2" borderId="28" xfId="0" applyFont="1" applyFill="1" applyBorder="1" applyAlignment="1">
      <alignment vertical="center" wrapText="1"/>
    </xf>
    <xf numFmtId="164" fontId="42" fillId="2" borderId="27" xfId="0" applyNumberFormat="1" applyFont="1" applyFill="1" applyBorder="1"/>
    <xf numFmtId="164" fontId="20" fillId="2" borderId="8" xfId="0" applyNumberFormat="1" applyFont="1" applyFill="1" applyBorder="1" applyAlignment="1">
      <alignment horizontal="center" vertical="center" wrapText="1"/>
    </xf>
    <xf numFmtId="164" fontId="24" fillId="2" borderId="27" xfId="0" applyNumberFormat="1" applyFont="1" applyFill="1" applyBorder="1"/>
    <xf numFmtId="4" fontId="11" fillId="0" borderId="0" xfId="0" applyNumberFormat="1" applyFont="1" applyAlignment="1">
      <alignment horizontal="left" vertical="center"/>
    </xf>
    <xf numFmtId="2" fontId="0" fillId="0" borderId="0" xfId="0" applyNumberFormat="1"/>
    <xf numFmtId="41" fontId="7" fillId="6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9" fontId="7" fillId="2" borderId="0" xfId="1" applyFont="1" applyFill="1" applyAlignment="1">
      <alignment horizontal="center" vertical="center"/>
    </xf>
    <xf numFmtId="9" fontId="7" fillId="2" borderId="0" xfId="1" applyFont="1" applyFill="1" applyAlignment="1">
      <alignment horizontal="right" vertical="center"/>
    </xf>
    <xf numFmtId="9" fontId="4" fillId="2" borderId="0" xfId="1" applyFont="1" applyFill="1" applyAlignment="1">
      <alignment horizontal="left" vertical="center" indent="1"/>
    </xf>
    <xf numFmtId="2" fontId="6" fillId="2" borderId="0" xfId="0" applyNumberFormat="1" applyFont="1" applyFill="1" applyAlignment="1">
      <alignment horizontal="left" textRotation="42" wrapText="1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23" fillId="0" borderId="0" xfId="2" applyAlignment="1">
      <alignment vertical="center"/>
    </xf>
    <xf numFmtId="0" fontId="66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70" fillId="0" borderId="0" xfId="0" applyFont="1" applyAlignment="1">
      <alignment horizontal="left"/>
    </xf>
    <xf numFmtId="0" fontId="70" fillId="0" borderId="0" xfId="0" applyFont="1"/>
    <xf numFmtId="0" fontId="71" fillId="0" borderId="0" xfId="0" applyFont="1" applyAlignment="1">
      <alignment horizontal="right"/>
    </xf>
    <xf numFmtId="0" fontId="71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right"/>
    </xf>
    <xf numFmtId="0" fontId="74" fillId="0" borderId="0" xfId="0" applyFont="1" applyAlignment="1">
      <alignment horizontal="center"/>
    </xf>
    <xf numFmtId="1" fontId="71" fillId="0" borderId="0" xfId="0" applyNumberFormat="1" applyFont="1" applyAlignment="1">
      <alignment horizontal="left"/>
    </xf>
    <xf numFmtId="0" fontId="75" fillId="0" borderId="0" xfId="0" applyFont="1"/>
    <xf numFmtId="0" fontId="76" fillId="0" borderId="0" xfId="0" applyFont="1" applyAlignment="1">
      <alignment horizontal="right"/>
    </xf>
    <xf numFmtId="0" fontId="76" fillId="0" borderId="0" xfId="0" applyFont="1"/>
    <xf numFmtId="164" fontId="72" fillId="0" borderId="0" xfId="0" applyNumberFormat="1" applyFont="1" applyAlignment="1">
      <alignment horizontal="left"/>
    </xf>
    <xf numFmtId="0" fontId="71" fillId="0" borderId="0" xfId="0" applyFont="1"/>
    <xf numFmtId="0" fontId="79" fillId="0" borderId="0" xfId="0" applyFont="1"/>
    <xf numFmtId="0" fontId="80" fillId="0" borderId="32" xfId="0" applyFont="1" applyBorder="1"/>
    <xf numFmtId="0" fontId="70" fillId="0" borderId="0" xfId="0" applyFont="1" applyAlignment="1">
      <alignment vertical="center"/>
    </xf>
    <xf numFmtId="0" fontId="70" fillId="0" borderId="35" xfId="0" applyFont="1" applyBorder="1" applyAlignment="1">
      <alignment horizontal="right" vertical="center"/>
    </xf>
    <xf numFmtId="0" fontId="76" fillId="0" borderId="0" xfId="0" applyFont="1" applyAlignment="1">
      <alignment horizontal="left"/>
    </xf>
    <xf numFmtId="0" fontId="76" fillId="0" borderId="0" xfId="0" applyFont="1" applyAlignment="1">
      <alignment horizontal="center"/>
    </xf>
    <xf numFmtId="0" fontId="84" fillId="0" borderId="0" xfId="0" applyFont="1" applyAlignment="1">
      <alignment horizontal="right"/>
    </xf>
    <xf numFmtId="1" fontId="70" fillId="0" borderId="0" xfId="0" applyNumberFormat="1" applyFont="1" applyAlignment="1">
      <alignment vertical="center"/>
    </xf>
    <xf numFmtId="0" fontId="70" fillId="0" borderId="0" xfId="0" applyFont="1" applyAlignment="1">
      <alignment horizontal="right" vertical="center"/>
    </xf>
    <xf numFmtId="0" fontId="70" fillId="0" borderId="31" xfId="0" applyFont="1" applyBorder="1" applyAlignment="1">
      <alignment vertical="center"/>
    </xf>
    <xf numFmtId="0" fontId="70" fillId="0" borderId="32" xfId="0" applyFont="1" applyBorder="1" applyAlignment="1">
      <alignment horizontal="right" vertical="center"/>
    </xf>
    <xf numFmtId="0" fontId="70" fillId="0" borderId="33" xfId="0" applyFont="1" applyBorder="1" applyAlignment="1">
      <alignment vertical="center"/>
    </xf>
    <xf numFmtId="0" fontId="70" fillId="0" borderId="34" xfId="0" applyFont="1" applyBorder="1" applyAlignment="1">
      <alignment vertical="center"/>
    </xf>
    <xf numFmtId="0" fontId="70" fillId="0" borderId="36" xfId="0" applyFont="1" applyBorder="1" applyAlignment="1">
      <alignment vertical="center"/>
    </xf>
    <xf numFmtId="0" fontId="70" fillId="0" borderId="0" xfId="0" applyFont="1" applyAlignment="1">
      <alignment horizontal="right"/>
    </xf>
    <xf numFmtId="0" fontId="80" fillId="0" borderId="0" xfId="0" applyFont="1"/>
    <xf numFmtId="167" fontId="71" fillId="0" borderId="0" xfId="0" applyNumberFormat="1" applyFont="1" applyAlignment="1">
      <alignment horizontal="center"/>
    </xf>
    <xf numFmtId="0" fontId="81" fillId="0" borderId="0" xfId="0" applyFont="1" applyAlignment="1">
      <alignment horizontal="left"/>
    </xf>
    <xf numFmtId="0" fontId="70" fillId="0" borderId="35" xfId="0" applyFont="1" applyBorder="1"/>
    <xf numFmtId="164" fontId="76" fillId="0" borderId="0" xfId="0" applyNumberFormat="1" applyFont="1" applyAlignment="1">
      <alignment horizontal="right"/>
    </xf>
    <xf numFmtId="0" fontId="70" fillId="0" borderId="31" xfId="0" applyFont="1" applyBorder="1"/>
    <xf numFmtId="9" fontId="71" fillId="0" borderId="0" xfId="1" applyFont="1" applyBorder="1"/>
    <xf numFmtId="2" fontId="70" fillId="0" borderId="0" xfId="0" applyNumberFormat="1" applyFont="1"/>
    <xf numFmtId="0" fontId="76" fillId="0" borderId="35" xfId="0" applyFont="1" applyBorder="1"/>
    <xf numFmtId="0" fontId="76" fillId="0" borderId="35" xfId="0" applyFont="1" applyBorder="1" applyAlignment="1">
      <alignment horizontal="center"/>
    </xf>
    <xf numFmtId="0" fontId="85" fillId="0" borderId="8" xfId="0" applyFont="1" applyBorder="1"/>
    <xf numFmtId="0" fontId="84" fillId="0" borderId="0" xfId="0" applyFont="1"/>
    <xf numFmtId="164" fontId="85" fillId="0" borderId="0" xfId="0" applyNumberFormat="1" applyFont="1" applyAlignment="1">
      <alignment horizontal="right"/>
    </xf>
    <xf numFmtId="0" fontId="86" fillId="0" borderId="0" xfId="0" applyFont="1" applyAlignment="1">
      <alignment horizontal="left"/>
    </xf>
    <xf numFmtId="2" fontId="70" fillId="0" borderId="0" xfId="0" applyNumberFormat="1" applyFont="1" applyAlignment="1">
      <alignment horizontal="left"/>
    </xf>
    <xf numFmtId="0" fontId="76" fillId="0" borderId="32" xfId="0" applyFont="1" applyBorder="1"/>
    <xf numFmtId="0" fontId="76" fillId="0" borderId="32" xfId="0" applyFont="1" applyBorder="1" applyAlignment="1">
      <alignment horizontal="center"/>
    </xf>
    <xf numFmtId="1" fontId="70" fillId="0" borderId="32" xfId="1" applyNumberFormat="1" applyFont="1" applyBorder="1" applyAlignment="1">
      <alignment horizontal="right"/>
    </xf>
    <xf numFmtId="0" fontId="70" fillId="0" borderId="32" xfId="0" applyFont="1" applyBorder="1"/>
    <xf numFmtId="0" fontId="70" fillId="0" borderId="33" xfId="0" applyFont="1" applyBorder="1"/>
    <xf numFmtId="0" fontId="70" fillId="0" borderId="37" xfId="0" applyFont="1" applyBorder="1"/>
    <xf numFmtId="1" fontId="70" fillId="0" borderId="0" xfId="1" applyNumberFormat="1" applyFont="1" applyBorder="1" applyAlignment="1">
      <alignment horizontal="right"/>
    </xf>
    <xf numFmtId="0" fontId="70" fillId="0" borderId="0" xfId="0" applyFont="1" applyAlignment="1">
      <alignment horizontal="center"/>
    </xf>
    <xf numFmtId="0" fontId="70" fillId="0" borderId="11" xfId="0" applyFont="1" applyBorder="1"/>
    <xf numFmtId="0" fontId="70" fillId="0" borderId="35" xfId="0" applyFont="1" applyBorder="1" applyAlignment="1">
      <alignment horizontal="center"/>
    </xf>
    <xf numFmtId="0" fontId="70" fillId="0" borderId="36" xfId="0" applyFont="1" applyBorder="1"/>
    <xf numFmtId="1" fontId="70" fillId="0" borderId="35" xfId="1" applyNumberFormat="1" applyFont="1" applyBorder="1" applyAlignment="1">
      <alignment horizontal="right"/>
    </xf>
    <xf numFmtId="0" fontId="80" fillId="0" borderId="35" xfId="0" applyFont="1" applyBorder="1"/>
    <xf numFmtId="177" fontId="71" fillId="0" borderId="0" xfId="0" applyNumberFormat="1" applyFont="1" applyAlignment="1">
      <alignment horizontal="center"/>
    </xf>
    <xf numFmtId="0" fontId="87" fillId="0" borderId="0" xfId="0" applyFont="1"/>
    <xf numFmtId="0" fontId="71" fillId="0" borderId="0" xfId="0" applyFont="1" applyAlignment="1">
      <alignment horizontal="center"/>
    </xf>
    <xf numFmtId="167" fontId="70" fillId="0" borderId="0" xfId="0" applyNumberFormat="1" applyFont="1" applyAlignment="1">
      <alignment horizontal="center"/>
    </xf>
    <xf numFmtId="167" fontId="70" fillId="0" borderId="0" xfId="0" applyNumberFormat="1" applyFont="1" applyAlignment="1">
      <alignment horizontal="left"/>
    </xf>
    <xf numFmtId="167" fontId="70" fillId="0" borderId="0" xfId="0" applyNumberFormat="1" applyFont="1" applyAlignment="1">
      <alignment horizontal="right"/>
    </xf>
    <xf numFmtId="0" fontId="88" fillId="0" borderId="0" xfId="0" applyFont="1" applyAlignment="1">
      <alignment horizontal="left"/>
    </xf>
    <xf numFmtId="0" fontId="88" fillId="0" borderId="0" xfId="0" applyFont="1" applyAlignment="1">
      <alignment horizontal="right"/>
    </xf>
    <xf numFmtId="0" fontId="70" fillId="0" borderId="0" xfId="0" applyFont="1" applyAlignment="1">
      <alignment horizontal="center" vertical="center"/>
    </xf>
    <xf numFmtId="2" fontId="70" fillId="0" borderId="0" xfId="0" applyNumberFormat="1" applyFont="1" applyAlignment="1">
      <alignment horizontal="left" vertical="center"/>
    </xf>
    <xf numFmtId="1" fontId="70" fillId="0" borderId="0" xfId="0" applyNumberFormat="1" applyFont="1" applyAlignment="1">
      <alignment horizontal="right" vertical="center"/>
    </xf>
    <xf numFmtId="0" fontId="70" fillId="0" borderId="0" xfId="0" applyFont="1" applyAlignment="1">
      <alignment horizontal="left" vertical="center"/>
    </xf>
    <xf numFmtId="0" fontId="70" fillId="0" borderId="32" xfId="0" applyFont="1" applyBorder="1" applyAlignment="1">
      <alignment vertical="center"/>
    </xf>
    <xf numFmtId="167" fontId="70" fillId="0" borderId="32" xfId="0" applyNumberFormat="1" applyFont="1" applyBorder="1" applyAlignment="1">
      <alignment horizontal="right" vertical="center"/>
    </xf>
    <xf numFmtId="0" fontId="70" fillId="0" borderId="35" xfId="0" applyFont="1" applyBorder="1" applyAlignment="1">
      <alignment vertical="center"/>
    </xf>
    <xf numFmtId="167" fontId="70" fillId="0" borderId="35" xfId="0" applyNumberFormat="1" applyFont="1" applyBorder="1" applyAlignment="1">
      <alignment horizontal="right" vertical="center"/>
    </xf>
    <xf numFmtId="2" fontId="70" fillId="0" borderId="0" xfId="0" applyNumberFormat="1" applyFont="1" applyAlignment="1">
      <alignment horizontal="right"/>
    </xf>
    <xf numFmtId="0" fontId="89" fillId="0" borderId="0" xfId="0" applyFont="1"/>
    <xf numFmtId="9" fontId="70" fillId="0" borderId="0" xfId="1" applyFont="1" applyAlignment="1">
      <alignment horizontal="center"/>
    </xf>
    <xf numFmtId="9" fontId="70" fillId="0" borderId="0" xfId="0" applyNumberFormat="1" applyFont="1" applyAlignment="1">
      <alignment horizontal="center"/>
    </xf>
    <xf numFmtId="4" fontId="70" fillId="0" borderId="0" xfId="0" applyNumberFormat="1" applyFont="1" applyAlignment="1">
      <alignment horizontal="right"/>
    </xf>
    <xf numFmtId="164" fontId="70" fillId="0" borderId="0" xfId="0" applyNumberFormat="1" applyFont="1" applyAlignment="1">
      <alignment horizontal="center"/>
    </xf>
    <xf numFmtId="1" fontId="70" fillId="0" borderId="0" xfId="0" applyNumberFormat="1" applyFont="1" applyAlignment="1">
      <alignment horizontal="right"/>
    </xf>
    <xf numFmtId="2" fontId="19" fillId="14" borderId="0" xfId="0" applyNumberFormat="1" applyFont="1" applyFill="1" applyAlignment="1">
      <alignment horizontal="center" vertical="center" textRotation="90" wrapText="1"/>
    </xf>
    <xf numFmtId="0" fontId="91" fillId="0" borderId="0" xfId="0" applyFont="1" applyAlignment="1">
      <alignment horizontal="center" vertical="center" wrapText="1"/>
    </xf>
    <xf numFmtId="0" fontId="91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7" borderId="0" xfId="0" applyNumberFormat="1" applyFont="1" applyFill="1" applyAlignment="1">
      <alignment horizontal="center" wrapText="1"/>
    </xf>
    <xf numFmtId="49" fontId="7" fillId="9" borderId="0" xfId="0" applyNumberFormat="1" applyFont="1" applyFill="1" applyAlignment="1">
      <alignment horizontal="center" vertical="center" wrapText="1"/>
    </xf>
    <xf numFmtId="0" fontId="23" fillId="9" borderId="0" xfId="2" applyFill="1" applyAlignment="1">
      <alignment horizontal="center" vertical="center" wrapText="1"/>
    </xf>
    <xf numFmtId="0" fontId="4" fillId="16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9" borderId="0" xfId="0" applyFont="1" applyFill="1" applyAlignment="1">
      <alignment horizontal="center" vertical="center" wrapText="1"/>
    </xf>
    <xf numFmtId="49" fontId="7" fillId="7" borderId="0" xfId="0" applyNumberFormat="1" applyFont="1" applyFill="1" applyAlignment="1">
      <alignment horizontal="center" vertical="center" wrapText="1"/>
    </xf>
    <xf numFmtId="49" fontId="17" fillId="7" borderId="0" xfId="0" applyNumberFormat="1" applyFont="1" applyFill="1" applyAlignment="1">
      <alignment horizontal="center"/>
    </xf>
    <xf numFmtId="49" fontId="4" fillId="16" borderId="0" xfId="0" applyNumberFormat="1" applyFont="1" applyFill="1" applyAlignment="1">
      <alignment horizontal="left" vertical="center" indent="1"/>
    </xf>
    <xf numFmtId="0" fontId="79" fillId="0" borderId="0" xfId="0" applyFont="1" applyAlignment="1">
      <alignment horizontal="left"/>
    </xf>
    <xf numFmtId="49" fontId="90" fillId="0" borderId="0" xfId="0" applyNumberFormat="1" applyFont="1" applyAlignment="1">
      <alignment vertical="center"/>
    </xf>
    <xf numFmtId="49" fontId="77" fillId="0" borderId="0" xfId="0" applyNumberFormat="1" applyFont="1"/>
    <xf numFmtId="49" fontId="78" fillId="0" borderId="0" xfId="0" applyNumberFormat="1" applyFont="1" applyAlignment="1">
      <alignment horizontal="left"/>
    </xf>
    <xf numFmtId="49" fontId="70" fillId="0" borderId="0" xfId="0" applyNumberFormat="1" applyFont="1"/>
    <xf numFmtId="49" fontId="70" fillId="0" borderId="0" xfId="0" applyNumberFormat="1" applyFont="1" applyAlignment="1">
      <alignment vertical="center"/>
    </xf>
    <xf numFmtId="49" fontId="82" fillId="0" borderId="0" xfId="0" applyNumberFormat="1" applyFont="1" applyAlignment="1">
      <alignment horizontal="right" vertical="center"/>
    </xf>
    <xf numFmtId="49" fontId="82" fillId="0" borderId="0" xfId="0" applyNumberFormat="1" applyFont="1" applyAlignment="1">
      <alignment horizontal="left" vertical="center"/>
    </xf>
    <xf numFmtId="49" fontId="83" fillId="21" borderId="0" xfId="0" applyNumberFormat="1" applyFont="1" applyFill="1" applyAlignment="1">
      <alignment horizontal="center"/>
    </xf>
    <xf numFmtId="0" fontId="72" fillId="0" borderId="0" xfId="0" applyFont="1" applyAlignment="1">
      <alignment horizontal="left"/>
    </xf>
    <xf numFmtId="0" fontId="85" fillId="0" borderId="0" xfId="0" applyFont="1" applyAlignment="1">
      <alignment horizontal="left"/>
    </xf>
    <xf numFmtId="0" fontId="84" fillId="0" borderId="0" xfId="0" applyFont="1" applyAlignment="1">
      <alignment horizontal="left"/>
    </xf>
    <xf numFmtId="0" fontId="79" fillId="0" borderId="0" xfId="0" applyFont="1" applyAlignment="1">
      <alignment horizontal="right"/>
    </xf>
    <xf numFmtId="0" fontId="81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0" fontId="80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7" fillId="7" borderId="0" xfId="0" applyFont="1" applyFill="1" applyAlignment="1">
      <alignment vertical="center" wrapText="1"/>
    </xf>
    <xf numFmtId="164" fontId="12" fillId="7" borderId="0" xfId="0" applyNumberFormat="1" applyFont="1" applyFill="1" applyAlignment="1">
      <alignment horizontal="center"/>
    </xf>
    <xf numFmtId="0" fontId="92" fillId="9" borderId="0" xfId="2" applyFont="1" applyFill="1" applyAlignment="1">
      <alignment vertical="center" wrapText="1"/>
    </xf>
    <xf numFmtId="0" fontId="92" fillId="9" borderId="0" xfId="2" applyFont="1" applyFill="1"/>
    <xf numFmtId="0" fontId="93" fillId="9" borderId="0" xfId="2" applyFont="1" applyFill="1" applyAlignment="1">
      <alignment vertical="center" wrapText="1"/>
    </xf>
    <xf numFmtId="0" fontId="83" fillId="0" borderId="0" xfId="0" applyFont="1" applyAlignment="1">
      <alignment horizontal="left"/>
    </xf>
    <xf numFmtId="0" fontId="94" fillId="0" borderId="0" xfId="0" applyFont="1" applyAlignment="1">
      <alignment horizontal="left"/>
    </xf>
    <xf numFmtId="169" fontId="70" fillId="0" borderId="0" xfId="0" applyNumberFormat="1" applyFont="1" applyAlignment="1">
      <alignment horizontal="right"/>
    </xf>
    <xf numFmtId="3" fontId="70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left"/>
    </xf>
    <xf numFmtId="0" fontId="67" fillId="0" borderId="0" xfId="0" applyFont="1"/>
    <xf numFmtId="169" fontId="71" fillId="0" borderId="0" xfId="0" applyNumberFormat="1" applyFont="1" applyAlignment="1">
      <alignment horizontal="right"/>
    </xf>
    <xf numFmtId="164" fontId="71" fillId="0" borderId="0" xfId="0" applyNumberFormat="1" applyFont="1" applyAlignment="1">
      <alignment horizontal="right"/>
    </xf>
    <xf numFmtId="0" fontId="76" fillId="0" borderId="35" xfId="0" applyFont="1" applyBorder="1" applyAlignment="1">
      <alignment horizontal="right"/>
    </xf>
    <xf numFmtId="0" fontId="80" fillId="0" borderId="0" xfId="0" applyFont="1" applyAlignment="1">
      <alignment horizontal="right"/>
    </xf>
    <xf numFmtId="0" fontId="75" fillId="0" borderId="0" xfId="0" applyFont="1" applyAlignment="1">
      <alignment horizontal="right"/>
    </xf>
    <xf numFmtId="0" fontId="75" fillId="0" borderId="0" xfId="0" applyFont="1" applyAlignment="1">
      <alignment horizontal="center"/>
    </xf>
    <xf numFmtId="1" fontId="75" fillId="0" borderId="0" xfId="0" applyNumberFormat="1" applyFont="1" applyAlignment="1">
      <alignment horizontal="left"/>
    </xf>
    <xf numFmtId="0" fontId="75" fillId="0" borderId="0" xfId="0" applyFont="1" applyAlignment="1">
      <alignment horizontal="center" wrapText="1"/>
    </xf>
    <xf numFmtId="0" fontId="75" fillId="0" borderId="19" xfId="0" applyFont="1" applyBorder="1"/>
    <xf numFmtId="0" fontId="77" fillId="0" borderId="0" xfId="0" applyFont="1" applyAlignment="1">
      <alignment horizontal="left"/>
    </xf>
    <xf numFmtId="0" fontId="77" fillId="0" borderId="0" xfId="0" applyFont="1"/>
    <xf numFmtId="0" fontId="77" fillId="0" borderId="8" xfId="0" applyFont="1" applyBorder="1" applyAlignment="1">
      <alignment horizontal="left"/>
    </xf>
    <xf numFmtId="0" fontId="77" fillId="0" borderId="27" xfId="0" applyFont="1" applyBorder="1" applyAlignment="1">
      <alignment horizontal="left"/>
    </xf>
    <xf numFmtId="0" fontId="77" fillId="0" borderId="28" xfId="0" applyFont="1" applyBorder="1" applyAlignment="1">
      <alignment horizontal="left"/>
    </xf>
    <xf numFmtId="0" fontId="77" fillId="0" borderId="8" xfId="0" applyFont="1" applyBorder="1"/>
    <xf numFmtId="0" fontId="77" fillId="0" borderId="27" xfId="0" applyFont="1" applyBorder="1"/>
    <xf numFmtId="0" fontId="77" fillId="0" borderId="28" xfId="0" applyFont="1" applyBorder="1"/>
    <xf numFmtId="0" fontId="70" fillId="0" borderId="31" xfId="0" applyFont="1" applyBorder="1" applyAlignment="1">
      <alignment horizontal="left"/>
    </xf>
    <xf numFmtId="0" fontId="89" fillId="0" borderId="32" xfId="0" applyFont="1" applyBorder="1"/>
    <xf numFmtId="0" fontId="89" fillId="0" borderId="33" xfId="0" applyFont="1" applyBorder="1"/>
    <xf numFmtId="164" fontId="70" fillId="0" borderId="34" xfId="0" applyNumberFormat="1" applyFont="1" applyBorder="1"/>
    <xf numFmtId="0" fontId="89" fillId="0" borderId="35" xfId="0" applyFont="1" applyBorder="1"/>
    <xf numFmtId="0" fontId="89" fillId="0" borderId="36" xfId="0" applyFont="1" applyBorder="1"/>
    <xf numFmtId="0" fontId="7" fillId="9" borderId="0" xfId="2" applyFont="1" applyFill="1" applyAlignment="1">
      <alignment vertical="center" wrapText="1"/>
    </xf>
    <xf numFmtId="49" fontId="76" fillId="0" borderId="0" xfId="0" applyNumberFormat="1" applyFont="1"/>
    <xf numFmtId="49" fontId="76" fillId="0" borderId="0" xfId="0" applyNumberFormat="1" applyFont="1" applyAlignment="1">
      <alignment horizontal="right"/>
    </xf>
    <xf numFmtId="2" fontId="71" fillId="0" borderId="0" xfId="0" applyNumberFormat="1" applyFont="1" applyAlignment="1">
      <alignment horizontal="right"/>
    </xf>
    <xf numFmtId="2" fontId="71" fillId="0" borderId="0" xfId="0" applyNumberFormat="1" applyFont="1"/>
    <xf numFmtId="0" fontId="65" fillId="0" borderId="0" xfId="0" applyFont="1" applyAlignment="1">
      <alignment vertical="center" wrapText="1"/>
    </xf>
    <xf numFmtId="49" fontId="77" fillId="0" borderId="0" xfId="0" applyNumberFormat="1" applyFont="1" applyAlignment="1">
      <alignment vertical="center"/>
    </xf>
    <xf numFmtId="49" fontId="77" fillId="0" borderId="0" xfId="0" applyNumberFormat="1" applyFont="1" applyAlignment="1">
      <alignment horizontal="right" vertical="center"/>
    </xf>
    <xf numFmtId="2" fontId="96" fillId="0" borderId="0" xfId="0" applyNumberFormat="1" applyFont="1" applyAlignment="1">
      <alignment horizontal="left" vertical="center"/>
    </xf>
    <xf numFmtId="0" fontId="70" fillId="0" borderId="37" xfId="0" applyFont="1" applyBorder="1" applyAlignment="1">
      <alignment horizontal="left"/>
    </xf>
    <xf numFmtId="0" fontId="89" fillId="0" borderId="11" xfId="0" applyFont="1" applyBorder="1"/>
    <xf numFmtId="0" fontId="97" fillId="0" borderId="0" xfId="0" applyFont="1" applyAlignment="1">
      <alignment horizontal="left"/>
    </xf>
    <xf numFmtId="0" fontId="85" fillId="0" borderId="0" xfId="0" applyFont="1" applyAlignment="1">
      <alignment horizontal="right"/>
    </xf>
    <xf numFmtId="0" fontId="85" fillId="0" borderId="0" xfId="0" applyFont="1" applyAlignment="1">
      <alignment horizontal="center"/>
    </xf>
    <xf numFmtId="4" fontId="7" fillId="2" borderId="0" xfId="0" applyNumberFormat="1" applyFont="1" applyFill="1" applyAlignment="1">
      <alignment horizontal="center" vertical="center" wrapText="1"/>
    </xf>
    <xf numFmtId="164" fontId="61" fillId="2" borderId="0" xfId="0" applyNumberFormat="1" applyFont="1" applyFill="1" applyAlignment="1">
      <alignment horizontal="right" vertical="center"/>
    </xf>
    <xf numFmtId="167" fontId="76" fillId="0" borderId="0" xfId="0" applyNumberFormat="1" applyFont="1" applyAlignment="1">
      <alignment horizontal="right"/>
    </xf>
    <xf numFmtId="1" fontId="76" fillId="0" borderId="0" xfId="1" applyNumberFormat="1" applyFont="1" applyAlignment="1">
      <alignment horizontal="right"/>
    </xf>
    <xf numFmtId="0" fontId="77" fillId="0" borderId="0" xfId="0" applyFont="1" applyAlignment="1">
      <alignment horizontal="right"/>
    </xf>
    <xf numFmtId="0" fontId="77" fillId="0" borderId="0" xfId="0" applyFont="1" applyAlignment="1">
      <alignment horizontal="center"/>
    </xf>
    <xf numFmtId="1" fontId="77" fillId="0" borderId="0" xfId="0" applyNumberFormat="1" applyFont="1" applyAlignment="1">
      <alignment horizontal="left"/>
    </xf>
    <xf numFmtId="0" fontId="71" fillId="0" borderId="0" xfId="0" applyFont="1" applyAlignment="1">
      <alignment horizontal="center" wrapText="1"/>
    </xf>
    <xf numFmtId="0" fontId="98" fillId="0" borderId="0" xfId="0" applyFont="1" applyAlignment="1">
      <alignment vertical="center"/>
    </xf>
    <xf numFmtId="0" fontId="99" fillId="0" borderId="0" xfId="0" applyFont="1"/>
    <xf numFmtId="2" fontId="100" fillId="0" borderId="0" xfId="0" applyNumberFormat="1" applyFont="1" applyAlignment="1">
      <alignment horizontal="center" wrapText="1"/>
    </xf>
    <xf numFmtId="2" fontId="22" fillId="16" borderId="0" xfId="0" applyNumberFormat="1" applyFont="1" applyFill="1" applyAlignment="1">
      <alignment horizontal="center" vertical="center"/>
    </xf>
    <xf numFmtId="2" fontId="0" fillId="9" borderId="0" xfId="0" applyNumberFormat="1" applyFill="1" applyAlignment="1">
      <alignment horizontal="center"/>
    </xf>
    <xf numFmtId="2" fontId="101" fillId="0" borderId="17" xfId="0" applyNumberFormat="1" applyFont="1" applyBorder="1" applyAlignment="1">
      <alignment horizontal="right"/>
    </xf>
    <xf numFmtId="0" fontId="65" fillId="0" borderId="13" xfId="0" applyFont="1" applyBorder="1" applyAlignment="1">
      <alignment vertical="center"/>
    </xf>
    <xf numFmtId="0" fontId="0" fillId="0" borderId="14" xfId="0" applyBorder="1"/>
    <xf numFmtId="0" fontId="76" fillId="0" borderId="14" xfId="0" applyFont="1" applyBorder="1"/>
    <xf numFmtId="0" fontId="76" fillId="0" borderId="14" xfId="0" applyFont="1" applyBorder="1" applyAlignment="1">
      <alignment horizontal="right"/>
    </xf>
    <xf numFmtId="0" fontId="76" fillId="0" borderId="16" xfId="0" applyFont="1" applyBorder="1"/>
    <xf numFmtId="0" fontId="77" fillId="0" borderId="15" xfId="0" applyFont="1" applyBorder="1" applyAlignment="1">
      <alignment horizontal="left" vertical="center"/>
    </xf>
    <xf numFmtId="49" fontId="95" fillId="0" borderId="0" xfId="0" applyNumberFormat="1" applyFont="1" applyAlignment="1">
      <alignment horizontal="left" vertical="center"/>
    </xf>
    <xf numFmtId="49" fontId="77" fillId="0" borderId="12" xfId="0" applyNumberFormat="1" applyFont="1" applyBorder="1" applyAlignment="1">
      <alignment vertical="center"/>
    </xf>
    <xf numFmtId="0" fontId="65" fillId="0" borderId="25" xfId="0" applyFont="1" applyBorder="1" applyAlignment="1">
      <alignment vertical="center"/>
    </xf>
    <xf numFmtId="0" fontId="65" fillId="0" borderId="2" xfId="0" applyFont="1" applyBorder="1" applyAlignment="1">
      <alignment vertical="center" wrapText="1"/>
    </xf>
    <xf numFmtId="0" fontId="65" fillId="0" borderId="26" xfId="0" applyFont="1" applyBorder="1" applyAlignment="1">
      <alignment vertical="center" wrapText="1"/>
    </xf>
    <xf numFmtId="9" fontId="7" fillId="2" borderId="7" xfId="1" applyFont="1" applyFill="1" applyBorder="1" applyAlignment="1">
      <alignment horizontal="center" vertical="center"/>
    </xf>
    <xf numFmtId="2" fontId="83" fillId="0" borderId="0" xfId="0" applyNumberFormat="1" applyFont="1" applyAlignment="1">
      <alignment horizontal="right"/>
    </xf>
    <xf numFmtId="0" fontId="102" fillId="0" borderId="0" xfId="0" applyFont="1" applyAlignment="1">
      <alignment horizontal="left"/>
    </xf>
    <xf numFmtId="4" fontId="72" fillId="0" borderId="0" xfId="0" applyNumberFormat="1" applyFont="1" applyAlignment="1">
      <alignment horizontal="left"/>
    </xf>
    <xf numFmtId="0" fontId="25" fillId="2" borderId="0" xfId="0" applyFont="1" applyFill="1" applyAlignment="1">
      <alignment horizontal="right" vertical="center"/>
    </xf>
    <xf numFmtId="164" fontId="42" fillId="15" borderId="0" xfId="0" applyNumberFormat="1" applyFont="1" applyFill="1" applyAlignment="1">
      <alignment vertical="center"/>
    </xf>
    <xf numFmtId="9" fontId="76" fillId="0" borderId="0" xfId="1" applyFont="1" applyBorder="1"/>
    <xf numFmtId="9" fontId="22" fillId="9" borderId="0" xfId="1" applyFont="1" applyFill="1" applyAlignment="1">
      <alignment horizontal="center" vertical="center" wrapText="1"/>
    </xf>
    <xf numFmtId="0" fontId="12" fillId="9" borderId="29" xfId="0" applyFont="1" applyFill="1" applyBorder="1" applyAlignment="1">
      <alignment horizontal="center"/>
    </xf>
    <xf numFmtId="164" fontId="53" fillId="9" borderId="0" xfId="0" applyNumberFormat="1" applyFont="1" applyFill="1" applyAlignment="1">
      <alignment horizontal="left" vertical="center"/>
    </xf>
    <xf numFmtId="164" fontId="8" fillId="9" borderId="0" xfId="0" applyNumberFormat="1" applyFont="1" applyFill="1" applyAlignment="1">
      <alignment horizontal="left" vertical="center"/>
    </xf>
    <xf numFmtId="164" fontId="15" fillId="9" borderId="0" xfId="0" applyNumberFormat="1" applyFont="1" applyFill="1" applyAlignment="1">
      <alignment horizontal="right" vertical="center"/>
    </xf>
    <xf numFmtId="164" fontId="20" fillId="9" borderId="1" xfId="0" applyNumberFormat="1" applyFont="1" applyFill="1" applyBorder="1" applyAlignment="1">
      <alignment horizontal="left" textRotation="40" wrapText="1"/>
    </xf>
    <xf numFmtId="9" fontId="22" fillId="9" borderId="10" xfId="1" applyFont="1" applyFill="1" applyBorder="1" applyAlignment="1">
      <alignment horizontal="right" vertical="center"/>
    </xf>
    <xf numFmtId="2" fontId="7" fillId="9" borderId="0" xfId="0" applyNumberFormat="1" applyFont="1" applyFill="1" applyAlignment="1">
      <alignment horizontal="right" vertical="center"/>
    </xf>
    <xf numFmtId="0" fontId="8" fillId="9" borderId="0" xfId="0" applyFont="1" applyFill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164" fontId="22" fillId="9" borderId="8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174" fontId="22" fillId="2" borderId="7" xfId="0" applyNumberFormat="1" applyFont="1" applyFill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center" vertical="center"/>
    </xf>
    <xf numFmtId="0" fontId="103" fillId="0" borderId="0" xfId="0" applyFont="1" applyAlignment="1">
      <alignment vertical="center"/>
    </xf>
    <xf numFmtId="164" fontId="22" fillId="4" borderId="7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center" vertical="center"/>
    </xf>
    <xf numFmtId="164" fontId="53" fillId="17" borderId="0" xfId="0" applyNumberFormat="1" applyFont="1" applyFill="1" applyAlignment="1">
      <alignment horizontal="left" vertical="center"/>
    </xf>
    <xf numFmtId="164" fontId="8" fillId="17" borderId="0" xfId="0" applyNumberFormat="1" applyFont="1" applyFill="1" applyAlignment="1">
      <alignment horizontal="left" vertical="center"/>
    </xf>
    <xf numFmtId="164" fontId="8" fillId="17" borderId="0" xfId="0" applyNumberFormat="1" applyFont="1" applyFill="1" applyAlignment="1">
      <alignment horizontal="center" vertical="center"/>
    </xf>
    <xf numFmtId="9" fontId="61" fillId="17" borderId="0" xfId="1" applyFont="1" applyFill="1" applyAlignment="1">
      <alignment horizontal="center" vertical="center"/>
    </xf>
    <xf numFmtId="0" fontId="76" fillId="0" borderId="13" xfId="0" applyFont="1" applyBorder="1" applyAlignment="1">
      <alignment horizontal="left"/>
    </xf>
    <xf numFmtId="0" fontId="71" fillId="0" borderId="14" xfId="0" applyFont="1" applyBorder="1"/>
    <xf numFmtId="0" fontId="76" fillId="0" borderId="14" xfId="0" applyFont="1" applyBorder="1" applyAlignment="1">
      <alignment horizontal="center"/>
    </xf>
    <xf numFmtId="0" fontId="71" fillId="0" borderId="16" xfId="0" applyFont="1" applyBorder="1" applyAlignment="1">
      <alignment horizontal="left"/>
    </xf>
    <xf numFmtId="0" fontId="76" fillId="0" borderId="25" xfId="0" applyFont="1" applyBorder="1" applyAlignment="1">
      <alignment horizontal="left"/>
    </xf>
    <xf numFmtId="0" fontId="76" fillId="0" borderId="2" xfId="0" applyFont="1" applyBorder="1"/>
    <xf numFmtId="0" fontId="71" fillId="0" borderId="2" xfId="0" applyFont="1" applyBorder="1"/>
    <xf numFmtId="0" fontId="76" fillId="0" borderId="2" xfId="0" applyFont="1" applyBorder="1" applyAlignment="1">
      <alignment horizontal="center"/>
    </xf>
    <xf numFmtId="0" fontId="71" fillId="0" borderId="26" xfId="0" applyFont="1" applyBorder="1" applyAlignment="1">
      <alignment horizontal="left"/>
    </xf>
    <xf numFmtId="0" fontId="71" fillId="0" borderId="14" xfId="0" applyFont="1" applyBorder="1" applyAlignment="1">
      <alignment horizontal="left"/>
    </xf>
    <xf numFmtId="0" fontId="76" fillId="0" borderId="14" xfId="0" applyFont="1" applyBorder="1" applyAlignment="1">
      <alignment horizontal="left"/>
    </xf>
    <xf numFmtId="164" fontId="76" fillId="0" borderId="16" xfId="0" applyNumberFormat="1" applyFont="1" applyBorder="1" applyAlignment="1">
      <alignment horizontal="right"/>
    </xf>
    <xf numFmtId="0" fontId="71" fillId="0" borderId="2" xfId="0" applyFont="1" applyBorder="1" applyAlignment="1">
      <alignment horizontal="left"/>
    </xf>
    <xf numFmtId="0" fontId="76" fillId="0" borderId="2" xfId="0" applyFont="1" applyBorder="1" applyAlignment="1">
      <alignment horizontal="left"/>
    </xf>
    <xf numFmtId="164" fontId="76" fillId="0" borderId="26" xfId="0" applyNumberFormat="1" applyFont="1" applyBorder="1" applyAlignment="1">
      <alignment horizontal="right"/>
    </xf>
    <xf numFmtId="9" fontId="76" fillId="0" borderId="25" xfId="1" applyFont="1" applyBorder="1"/>
    <xf numFmtId="0" fontId="72" fillId="0" borderId="17" xfId="0" applyFont="1" applyBorder="1" applyAlignment="1">
      <alignment horizontal="left"/>
    </xf>
    <xf numFmtId="0" fontId="76" fillId="0" borderId="18" xfId="0" applyFont="1" applyBorder="1"/>
    <xf numFmtId="0" fontId="71" fillId="0" borderId="18" xfId="0" applyFont="1" applyBorder="1"/>
    <xf numFmtId="0" fontId="76" fillId="0" borderId="18" xfId="0" applyFont="1" applyBorder="1" applyAlignment="1">
      <alignment horizontal="center"/>
    </xf>
    <xf numFmtId="2" fontId="83" fillId="0" borderId="18" xfId="0" applyNumberFormat="1" applyFont="1" applyBorder="1" applyAlignment="1">
      <alignment horizontal="right"/>
    </xf>
    <xf numFmtId="0" fontId="102" fillId="0" borderId="19" xfId="0" applyFont="1" applyBorder="1" applyAlignment="1">
      <alignment horizontal="left"/>
    </xf>
    <xf numFmtId="169" fontId="83" fillId="0" borderId="0" xfId="0" applyNumberFormat="1" applyFont="1" applyAlignment="1">
      <alignment horizontal="right"/>
    </xf>
    <xf numFmtId="0" fontId="72" fillId="0" borderId="0" xfId="0" applyFont="1"/>
    <xf numFmtId="1" fontId="72" fillId="0" borderId="17" xfId="0" applyNumberFormat="1" applyFont="1" applyBorder="1" applyAlignment="1">
      <alignment horizontal="right"/>
    </xf>
    <xf numFmtId="0" fontId="72" fillId="0" borderId="18" xfId="0" applyFont="1" applyBorder="1"/>
    <xf numFmtId="0" fontId="76" fillId="0" borderId="19" xfId="0" applyFont="1" applyBorder="1"/>
    <xf numFmtId="164" fontId="72" fillId="0" borderId="17" xfId="0" applyNumberFormat="1" applyFont="1" applyBorder="1" applyAlignment="1">
      <alignment horizontal="right"/>
    </xf>
    <xf numFmtId="0" fontId="72" fillId="0" borderId="19" xfId="0" applyFont="1" applyBorder="1"/>
    <xf numFmtId="0" fontId="72" fillId="0" borderId="19" xfId="0" applyFont="1" applyBorder="1" applyAlignment="1">
      <alignment horizontal="left"/>
    </xf>
    <xf numFmtId="0" fontId="72" fillId="0" borderId="19" xfId="0" applyFont="1" applyBorder="1" applyAlignment="1">
      <alignment horizontal="right"/>
    </xf>
    <xf numFmtId="3" fontId="70" fillId="0" borderId="13" xfId="0" applyNumberFormat="1" applyFont="1" applyBorder="1" applyAlignment="1">
      <alignment horizontal="right"/>
    </xf>
    <xf numFmtId="3" fontId="70" fillId="0" borderId="25" xfId="0" applyNumberFormat="1" applyFont="1" applyBorder="1" applyAlignment="1">
      <alignment horizontal="right"/>
    </xf>
    <xf numFmtId="0" fontId="12" fillId="9" borderId="30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left" vertical="center"/>
    </xf>
    <xf numFmtId="0" fontId="82" fillId="0" borderId="18" xfId="0" applyFont="1" applyBorder="1"/>
    <xf numFmtId="167" fontId="104" fillId="22" borderId="0" xfId="0" applyNumberFormat="1" applyFont="1" applyFill="1" applyAlignment="1">
      <alignment horizontal="center" vertical="center"/>
    </xf>
    <xf numFmtId="167" fontId="82" fillId="0" borderId="17" xfId="0" applyNumberFormat="1" applyFont="1" applyBorder="1" applyAlignment="1">
      <alignment horizontal="center"/>
    </xf>
    <xf numFmtId="164" fontId="5" fillId="0" borderId="0" xfId="0" applyNumberFormat="1" applyFont="1"/>
    <xf numFmtId="164" fontId="24" fillId="0" borderId="0" xfId="0" applyNumberFormat="1" applyFont="1"/>
    <xf numFmtId="0" fontId="25" fillId="0" borderId="0" xfId="0" applyFont="1" applyAlignment="1">
      <alignment vertical="center" wrapText="1"/>
    </xf>
    <xf numFmtId="164" fontId="24" fillId="0" borderId="0" xfId="0" applyNumberFormat="1" applyFont="1" applyAlignment="1">
      <alignment vertical="center"/>
    </xf>
    <xf numFmtId="164" fontId="2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164" fontId="8" fillId="2" borderId="0" xfId="0" applyNumberFormat="1" applyFont="1" applyFill="1" applyAlignment="1">
      <alignment horizontal="left" vertical="center"/>
    </xf>
    <xf numFmtId="9" fontId="47" fillId="0" borderId="0" xfId="1" applyFont="1" applyFill="1" applyBorder="1" applyAlignment="1">
      <alignment horizontal="center" vertical="center"/>
    </xf>
    <xf numFmtId="164" fontId="61" fillId="0" borderId="0" xfId="0" applyNumberFormat="1" applyFont="1" applyAlignment="1">
      <alignment horizontal="right" vertical="center"/>
    </xf>
    <xf numFmtId="164" fontId="8" fillId="0" borderId="13" xfId="0" applyNumberFormat="1" applyFont="1" applyBorder="1" applyAlignment="1">
      <alignment horizontal="left" vertical="center"/>
    </xf>
    <xf numFmtId="164" fontId="8" fillId="0" borderId="14" xfId="0" applyNumberFormat="1" applyFont="1" applyBorder="1" applyAlignment="1">
      <alignment horizontal="left" vertical="center"/>
    </xf>
    <xf numFmtId="164" fontId="8" fillId="0" borderId="14" xfId="0" applyNumberFormat="1" applyFont="1" applyBorder="1" applyAlignment="1">
      <alignment horizontal="center" vertical="center"/>
    </xf>
    <xf numFmtId="164" fontId="43" fillId="0" borderId="14" xfId="0" applyNumberFormat="1" applyFont="1" applyBorder="1" applyAlignment="1">
      <alignment horizontal="left" vertical="center"/>
    </xf>
    <xf numFmtId="164" fontId="11" fillId="0" borderId="14" xfId="0" applyNumberFormat="1" applyFont="1" applyBorder="1" applyAlignment="1">
      <alignment vertical="center"/>
    </xf>
    <xf numFmtId="4" fontId="7" fillId="0" borderId="16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164" fontId="53" fillId="0" borderId="0" xfId="0" applyNumberFormat="1" applyFont="1" applyAlignment="1">
      <alignment horizontal="left" vertical="center"/>
    </xf>
    <xf numFmtId="164" fontId="52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vertical="center"/>
    </xf>
    <xf numFmtId="9" fontId="7" fillId="0" borderId="12" xfId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164" fontId="11" fillId="17" borderId="0" xfId="0" applyNumberFormat="1" applyFont="1" applyFill="1" applyAlignment="1">
      <alignment vertical="center"/>
    </xf>
    <xf numFmtId="49" fontId="7" fillId="9" borderId="0" xfId="0" applyNumberFormat="1" applyFont="1" applyFill="1" applyAlignment="1">
      <alignment horizontal="left" vertical="center"/>
    </xf>
    <xf numFmtId="178" fontId="4" fillId="2" borderId="0" xfId="1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164" fontId="17" fillId="7" borderId="0" xfId="0" applyNumberFormat="1" applyFont="1" applyFill="1" applyAlignment="1">
      <alignment horizontal="left"/>
    </xf>
    <xf numFmtId="165" fontId="7" fillId="7" borderId="0" xfId="0" applyNumberFormat="1" applyFont="1" applyFill="1" applyAlignment="1">
      <alignment horizontal="left" vertical="center" wrapText="1"/>
    </xf>
    <xf numFmtId="0" fontId="8" fillId="9" borderId="0" xfId="0" applyFont="1" applyFill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23" fillId="9" borderId="0" xfId="2" applyFill="1" applyAlignment="1">
      <alignment horizontal="left" vertical="center" wrapText="1"/>
    </xf>
    <xf numFmtId="2" fontId="7" fillId="0" borderId="0" xfId="0" applyNumberFormat="1" applyFont="1" applyAlignment="1">
      <alignment horizontal="left" vertical="center"/>
    </xf>
    <xf numFmtId="2" fontId="6" fillId="5" borderId="0" xfId="0" applyNumberFormat="1" applyFont="1" applyFill="1" applyAlignment="1">
      <alignment horizontal="center" textRotation="90" wrapText="1"/>
    </xf>
    <xf numFmtId="2" fontId="7" fillId="9" borderId="7" xfId="0" applyNumberFormat="1" applyFont="1" applyFill="1" applyBorder="1" applyAlignment="1">
      <alignment horizontal="right" vertical="center"/>
    </xf>
    <xf numFmtId="2" fontId="6" fillId="2" borderId="35" xfId="0" applyNumberFormat="1" applyFont="1" applyFill="1" applyBorder="1" applyAlignment="1">
      <alignment horizontal="left" textRotation="40"/>
    </xf>
    <xf numFmtId="2" fontId="6" fillId="2" borderId="35" xfId="0" applyNumberFormat="1" applyFont="1" applyFill="1" applyBorder="1" applyAlignment="1">
      <alignment horizontal="left" textRotation="40" wrapText="1"/>
    </xf>
    <xf numFmtId="2" fontId="6" fillId="2" borderId="35" xfId="0" applyNumberFormat="1" applyFont="1" applyFill="1" applyBorder="1" applyAlignment="1">
      <alignment horizontal="left" textRotation="42" wrapText="1"/>
    </xf>
    <xf numFmtId="164" fontId="70" fillId="0" borderId="37" xfId="0" applyNumberFormat="1" applyFont="1" applyBorder="1"/>
    <xf numFmtId="0" fontId="76" fillId="0" borderId="15" xfId="0" applyFont="1" applyBorder="1" applyAlignment="1">
      <alignment horizontal="left"/>
    </xf>
    <xf numFmtId="9" fontId="70" fillId="0" borderId="8" xfId="1" applyFont="1" applyBorder="1" applyAlignment="1">
      <alignment horizontal="right"/>
    </xf>
    <xf numFmtId="0" fontId="70" fillId="0" borderId="27" xfId="0" applyFont="1" applyBorder="1"/>
    <xf numFmtId="0" fontId="70" fillId="0" borderId="27" xfId="0" applyFont="1" applyBorder="1" applyAlignment="1">
      <alignment horizontal="left"/>
    </xf>
    <xf numFmtId="0" fontId="70" fillId="0" borderId="28" xfId="0" applyFont="1" applyBorder="1"/>
    <xf numFmtId="0" fontId="65" fillId="0" borderId="0" xfId="0" applyFont="1" applyAlignment="1">
      <alignment horizontal="center" vertical="center"/>
    </xf>
    <xf numFmtId="0" fontId="6" fillId="6" borderId="35" xfId="0" applyFont="1" applyFill="1" applyBorder="1" applyAlignment="1">
      <alignment horizontal="left" textRotation="46"/>
    </xf>
    <xf numFmtId="2" fontId="6" fillId="2" borderId="35" xfId="0" applyNumberFormat="1" applyFont="1" applyFill="1" applyBorder="1" applyAlignment="1">
      <alignment horizontal="left" textRotation="42"/>
    </xf>
    <xf numFmtId="2" fontId="22" fillId="17" borderId="7" xfId="0" applyNumberFormat="1" applyFont="1" applyFill="1" applyBorder="1" applyAlignment="1">
      <alignment horizontal="right" vertical="center"/>
    </xf>
    <xf numFmtId="179" fontId="104" fillId="22" borderId="0" xfId="0" applyNumberFormat="1" applyFont="1" applyFill="1" applyAlignment="1">
      <alignment horizontal="center" vertical="center"/>
    </xf>
    <xf numFmtId="4" fontId="83" fillId="0" borderId="0" xfId="0" applyNumberFormat="1" applyFont="1" applyAlignment="1">
      <alignment horizontal="right"/>
    </xf>
    <xf numFmtId="2" fontId="22" fillId="0" borderId="7" xfId="0" applyNumberFormat="1" applyFont="1" applyBorder="1" applyAlignment="1">
      <alignment horizontal="right" vertical="center"/>
    </xf>
    <xf numFmtId="2" fontId="22" fillId="9" borderId="0" xfId="0" applyNumberFormat="1" applyFont="1" applyFill="1" applyAlignment="1">
      <alignment horizontal="right" vertical="center"/>
    </xf>
    <xf numFmtId="2" fontId="42" fillId="0" borderId="3" xfId="0" applyNumberFormat="1" applyFont="1" applyBorder="1" applyAlignment="1">
      <alignment horizontal="center"/>
    </xf>
    <xf numFmtId="0" fontId="7" fillId="9" borderId="0" xfId="0" applyFont="1" applyFill="1" applyAlignment="1">
      <alignment horizontal="left" vertical="center"/>
    </xf>
    <xf numFmtId="168" fontId="7" fillId="0" borderId="0" xfId="0" applyNumberFormat="1" applyFont="1" applyAlignment="1">
      <alignment horizontal="left" vertical="center"/>
    </xf>
    <xf numFmtId="2" fontId="82" fillId="0" borderId="17" xfId="0" applyNumberFormat="1" applyFont="1" applyBorder="1" applyAlignment="1">
      <alignment horizontal="center"/>
    </xf>
    <xf numFmtId="0" fontId="82" fillId="0" borderId="19" xfId="0" applyFont="1" applyBorder="1"/>
    <xf numFmtId="164" fontId="22" fillId="16" borderId="7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left" vertical="center" wrapText="1"/>
    </xf>
    <xf numFmtId="0" fontId="65" fillId="0" borderId="0" xfId="0" applyFont="1" applyAlignment="1">
      <alignment horizontal="left" vertical="center" wrapText="1"/>
    </xf>
  </cellXfs>
  <cellStyles count="3">
    <cellStyle name="Hyperkobling" xfId="2" builtinId="8" customBuiltin="1"/>
    <cellStyle name="Normal" xfId="0" builtinId="0"/>
    <cellStyle name="Prosent" xfId="1" builtinId="5"/>
  </cellStyles>
  <dxfs count="0"/>
  <tableStyles count="0" defaultTableStyle="TableStyleMedium2" defaultPivotStyle="PivotStyleLight16"/>
  <colors>
    <mruColors>
      <color rgb="FFD7E4BD"/>
      <color rgb="FFF8CBAD"/>
      <color rgb="FFE6B9B8"/>
      <color rgb="FFCCC1DA"/>
      <color rgb="FFB9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ost@finn-b.no" TargetMode="External"/><Relationship Id="rId13" Type="http://schemas.openxmlformats.org/officeDocument/2006/relationships/hyperlink" Target="mailto:arnegur@online.no" TargetMode="External"/><Relationship Id="rId18" Type="http://schemas.openxmlformats.org/officeDocument/2006/relationships/hyperlink" Target="mailto:krause@trivia.de" TargetMode="External"/><Relationship Id="rId26" Type="http://schemas.openxmlformats.org/officeDocument/2006/relationships/hyperlink" Target="mailto:ericsvenkerud@gmail.com" TargetMode="External"/><Relationship Id="rId3" Type="http://schemas.openxmlformats.org/officeDocument/2006/relationships/hyperlink" Target="mailto:teg@tegseil.no" TargetMode="External"/><Relationship Id="rId21" Type="http://schemas.openxmlformats.org/officeDocument/2006/relationships/hyperlink" Target="mailto:trond.stensvold@hotmail.com" TargetMode="External"/><Relationship Id="rId7" Type="http://schemas.openxmlformats.org/officeDocument/2006/relationships/hyperlink" Target="mailto:timoholzbootsbau@lantzsch.de" TargetMode="External"/><Relationship Id="rId12" Type="http://schemas.openxmlformats.org/officeDocument/2006/relationships/hyperlink" Target="mailto:steinvictorsvendsen@outlook.com" TargetMode="External"/><Relationship Id="rId17" Type="http://schemas.openxmlformats.org/officeDocument/2006/relationships/hyperlink" Target="mailto:jorn.steingrim.andersen@gmail.com" TargetMode="External"/><Relationship Id="rId25" Type="http://schemas.openxmlformats.org/officeDocument/2006/relationships/hyperlink" Target="mailto:k.i.aardal@tudelft.nl" TargetMode="External"/><Relationship Id="rId2" Type="http://schemas.openxmlformats.org/officeDocument/2006/relationships/hyperlink" Target="mailto:olekri49@xxx" TargetMode="External"/><Relationship Id="rId16" Type="http://schemas.openxmlformats.org/officeDocument/2006/relationships/hyperlink" Target="mailto:jg@standard.no" TargetMode="External"/><Relationship Id="rId20" Type="http://schemas.openxmlformats.org/officeDocument/2006/relationships/hyperlink" Target="mailto:torf-ro@online.no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taanjese@start.no" TargetMode="External"/><Relationship Id="rId6" Type="http://schemas.openxmlformats.org/officeDocument/2006/relationships/hyperlink" Target="mailto:jeppejul02@gmail.com" TargetMode="External"/><Relationship Id="rId11" Type="http://schemas.openxmlformats.org/officeDocument/2006/relationships/hyperlink" Target="mailto:j.haavi@online.no" TargetMode="External"/><Relationship Id="rId24" Type="http://schemas.openxmlformats.org/officeDocument/2006/relationships/hyperlink" Target="mailto:per@kingfisher-cruisers.com" TargetMode="External"/><Relationship Id="rId5" Type="http://schemas.openxmlformats.org/officeDocument/2006/relationships/hyperlink" Target="mailto:Bernard.Frieling@t-online.de" TargetMode="External"/><Relationship Id="rId15" Type="http://schemas.openxmlformats.org/officeDocument/2006/relationships/hyperlink" Target="mailto:tobias.revold@gmail.com" TargetMode="External"/><Relationship Id="rId23" Type="http://schemas.openxmlformats.org/officeDocument/2006/relationships/hyperlink" Target="mailto:torf-ro@online.no" TargetMode="External"/><Relationship Id="rId28" Type="http://schemas.openxmlformats.org/officeDocument/2006/relationships/hyperlink" Target="mailto:rolvmnilse@gmail.com" TargetMode="External"/><Relationship Id="rId10" Type="http://schemas.openxmlformats.org/officeDocument/2006/relationships/hyperlink" Target="mailto:knuts.mail@tele8.no" TargetMode="External"/><Relationship Id="rId19" Type="http://schemas.openxmlformats.org/officeDocument/2006/relationships/hyperlink" Target="mailto:Chr.Scheidtmann@googlemail.com" TargetMode="External"/><Relationship Id="rId4" Type="http://schemas.openxmlformats.org/officeDocument/2006/relationships/hyperlink" Target="mailto:wulf.fiedler@yartberlin.de" TargetMode="External"/><Relationship Id="rId9" Type="http://schemas.openxmlformats.org/officeDocument/2006/relationships/hyperlink" Target="mailto:trond.stensvold@hotmail.com" TargetMode="External"/><Relationship Id="rId14" Type="http://schemas.openxmlformats.org/officeDocument/2006/relationships/hyperlink" Target="mailto:yngve.ottesen@banenor.no" TargetMode="External"/><Relationship Id="rId22" Type="http://schemas.openxmlformats.org/officeDocument/2006/relationships/hyperlink" Target="mailto:teg@eplegaarden.no" TargetMode="External"/><Relationship Id="rId27" Type="http://schemas.openxmlformats.org/officeDocument/2006/relationships/hyperlink" Target="mailto:otto@lefhagencie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ul-nielsen.no/TBF.html" TargetMode="External"/><Relationship Id="rId2" Type="http://schemas.openxmlformats.org/officeDocument/2006/relationships/hyperlink" Target="http://www.jul-nielsen.no/TBF.html" TargetMode="External"/><Relationship Id="rId1" Type="http://schemas.openxmlformats.org/officeDocument/2006/relationships/hyperlink" Target="http://www.jul-nielsen.no/TBF.html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trebatfestivalen.no/seilregatt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C1407-4C71-4275-ACF6-C2632C7923D3}">
  <sheetPr>
    <pageSetUpPr fitToPage="1"/>
  </sheetPr>
  <dimension ref="A1:HA316"/>
  <sheetViews>
    <sheetView tabSelected="1" zoomScaleNormal="100" workbookViewId="0">
      <pane xSplit="8" ySplit="9" topLeftCell="I10" activePane="bottomRight" state="frozen"/>
      <selection pane="topRight" activeCell="F1" sqref="F1"/>
      <selection pane="bottomLeft" activeCell="A9" sqref="A9"/>
      <selection pane="bottomRight" activeCell="A11" sqref="A11"/>
    </sheetView>
  </sheetViews>
  <sheetFormatPr baseColWidth="10" defaultRowHeight="18.600000000000001" x14ac:dyDescent="0.3"/>
  <cols>
    <col min="1" max="1" width="19.88671875" style="13" customWidth="1"/>
    <col min="2" max="2" width="5" style="214" bestFit="1" customWidth="1"/>
    <col min="3" max="3" width="8.109375" style="14" customWidth="1"/>
    <col min="4" max="6" width="6.6640625" style="14" hidden="1" customWidth="1"/>
    <col min="7" max="7" width="4.33203125" style="4" hidden="1" customWidth="1"/>
    <col min="8" max="8" width="8" style="202" customWidth="1"/>
    <col min="9" max="9" width="5.6640625" style="14" customWidth="1"/>
    <col min="10" max="10" width="8.6640625" style="219" customWidth="1"/>
    <col min="11" max="12" width="5.33203125" style="91" bestFit="1" customWidth="1"/>
    <col min="13" max="13" width="4.6640625" style="91" customWidth="1"/>
    <col min="14" max="14" width="5.33203125" style="91" bestFit="1" customWidth="1"/>
    <col min="15" max="15" width="5.6640625" style="24" customWidth="1"/>
    <col min="16" max="16" width="5.6640625" style="24" hidden="1" customWidth="1"/>
    <col min="17" max="17" width="5.6640625" style="43" customWidth="1"/>
    <col min="18" max="18" width="5.6640625" style="24" customWidth="1"/>
    <col min="19" max="20" width="5.6640625" style="43" customWidth="1"/>
    <col min="21" max="22" width="5.6640625" style="24" customWidth="1"/>
    <col min="23" max="23" width="5.6640625" style="24" hidden="1" customWidth="1"/>
    <col min="24" max="24" width="5.6640625" style="24" customWidth="1"/>
    <col min="25" max="26" width="5.6640625" style="43" customWidth="1"/>
    <col min="27" max="27" width="5.6640625" style="24" customWidth="1"/>
    <col min="28" max="28" width="5.6640625" style="43" customWidth="1"/>
    <col min="29" max="31" width="5.6640625" style="24" customWidth="1"/>
    <col min="32" max="32" width="5.6640625" style="43" customWidth="1"/>
    <col min="33" max="33" width="5.6640625" style="24" customWidth="1"/>
    <col min="34" max="35" width="5.33203125" style="24" bestFit="1" customWidth="1"/>
    <col min="36" max="36" width="5.6640625" style="14" customWidth="1"/>
    <col min="37" max="37" width="4.6640625" style="14" customWidth="1"/>
    <col min="38" max="38" width="5.6640625" style="14" customWidth="1"/>
    <col min="39" max="39" width="4.6640625" style="14" customWidth="1"/>
    <col min="40" max="40" width="5.6640625" style="14" customWidth="1"/>
    <col min="41" max="41" width="4.6640625" style="14" customWidth="1"/>
    <col min="42" max="47" width="6" style="43" customWidth="1"/>
    <col min="48" max="49" width="5.33203125" style="43" customWidth="1"/>
    <col min="50" max="50" width="6.5546875" style="43" customWidth="1"/>
    <col min="51" max="52" width="6.88671875" style="43" customWidth="1"/>
    <col min="53" max="55" width="6.5546875" style="43" customWidth="1"/>
    <col min="56" max="56" width="4.6640625" style="14" bestFit="1" customWidth="1"/>
    <col min="57" max="57" width="5" style="14" bestFit="1" customWidth="1"/>
    <col min="58" max="58" width="6.33203125" style="39" bestFit="1" customWidth="1"/>
    <col min="59" max="59" width="6.109375" style="14" bestFit="1" customWidth="1"/>
    <col min="60" max="60" width="5.44140625" style="14" bestFit="1" customWidth="1"/>
    <col min="61" max="61" width="5.88671875" style="14" bestFit="1" customWidth="1"/>
    <col min="62" max="62" width="5.44140625" style="14" bestFit="1" customWidth="1"/>
    <col min="63" max="63" width="6.33203125" style="73" customWidth="1"/>
    <col min="64" max="64" width="2.5546875" style="14" bestFit="1" customWidth="1"/>
    <col min="65" max="65" width="3.109375" style="14" bestFit="1" customWidth="1"/>
    <col min="66" max="66" width="4" style="14" bestFit="1" customWidth="1"/>
    <col min="67" max="68" width="4.44140625" style="14" customWidth="1"/>
    <col min="69" max="69" width="2" style="43" customWidth="1"/>
    <col min="70" max="76" width="6.33203125" style="14" customWidth="1"/>
    <col min="77" max="77" width="7" style="14" customWidth="1"/>
    <col min="78" max="89" width="6.33203125" style="14" customWidth="1"/>
    <col min="90" max="90" width="6.88671875" style="14" customWidth="1"/>
    <col min="91" max="91" width="2.109375" style="14" hidden="1" customWidth="1"/>
    <col min="92" max="92" width="7" style="74" bestFit="1" customWidth="1"/>
    <col min="93" max="93" width="5.33203125" style="25" customWidth="1"/>
    <col min="94" max="94" width="5.33203125" style="25" hidden="1" customWidth="1"/>
    <col min="95" max="95" width="5.33203125" style="91" bestFit="1" customWidth="1"/>
    <col min="96" max="96" width="5.33203125" style="25" customWidth="1"/>
    <col min="97" max="97" width="2" style="202" customWidth="1"/>
    <col min="98" max="98" width="10.109375" style="202" customWidth="1"/>
    <col min="104" max="106" width="8" style="44" customWidth="1"/>
    <col min="107" max="107" width="9.109375" style="163" customWidth="1"/>
    <col min="108" max="108" width="11.5546875" hidden="1" customWidth="1"/>
    <col min="109" max="111" width="10.109375" style="22" hidden="1" customWidth="1"/>
    <col min="112" max="112" width="10.109375" style="15" hidden="1" customWidth="1"/>
    <col min="113" max="113" width="11.5546875" style="134" hidden="1" customWidth="1"/>
    <col min="114" max="115" width="5.44140625" style="14" hidden="1" customWidth="1"/>
    <col min="116" max="117" width="11.5546875" hidden="1" customWidth="1"/>
    <col min="118" max="118" width="11.5546875" style="140" hidden="1" customWidth="1"/>
    <col min="119" max="119" width="11.5546875" hidden="1" customWidth="1"/>
    <col min="120" max="123" width="11.5546875" style="134" hidden="1" customWidth="1"/>
    <col min="124" max="124" width="11.5546875" hidden="1" customWidth="1"/>
    <col min="125" max="125" width="11.5546875" style="134" hidden="1" customWidth="1"/>
    <col min="126" max="128" width="11.5546875" hidden="1" customWidth="1"/>
    <col min="129" max="129" width="11.5546875" style="121" hidden="1" customWidth="1"/>
    <col min="130" max="130" width="11.5546875" hidden="1" customWidth="1"/>
    <col min="131" max="131" width="11.5546875" style="121" hidden="1" customWidth="1"/>
    <col min="132" max="132" width="11.5546875" hidden="1" customWidth="1"/>
    <col min="133" max="133" width="11.5546875" style="121" hidden="1" customWidth="1"/>
    <col min="134" max="138" width="11.5546875" hidden="1" customWidth="1"/>
    <col min="139" max="139" width="11.5546875" style="121" hidden="1" customWidth="1"/>
    <col min="140" max="143" width="11.5546875" hidden="1" customWidth="1"/>
    <col min="144" max="144" width="11.5546875" style="121" hidden="1" customWidth="1"/>
    <col min="145" max="149" width="11.5546875" hidden="1" customWidth="1"/>
    <col min="150" max="150" width="11.5546875" style="121" hidden="1" customWidth="1"/>
    <col min="151" max="155" width="11.5546875" hidden="1" customWidth="1"/>
    <col min="156" max="156" width="11.5546875" style="121" hidden="1" customWidth="1"/>
    <col min="157" max="161" width="11.5546875" hidden="1" customWidth="1"/>
    <col min="162" max="162" width="11.5546875" style="140" hidden="1" customWidth="1"/>
    <col min="163" max="163" width="11.5546875" hidden="1" customWidth="1"/>
    <col min="164" max="165" width="11.5546875" style="134" hidden="1" customWidth="1"/>
    <col min="166" max="167" width="11.5546875" hidden="1" customWidth="1"/>
    <col min="168" max="168" width="11.5546875" style="140" hidden="1" customWidth="1"/>
    <col min="169" max="169" width="11.5546875" hidden="1" customWidth="1"/>
    <col min="170" max="172" width="11.5546875" style="134" hidden="1" customWidth="1"/>
    <col min="173" max="174" width="11.5546875" hidden="1" customWidth="1"/>
    <col min="175" max="175" width="11.5546875" style="140" hidden="1" customWidth="1"/>
    <col min="176" max="176" width="11.5546875" hidden="1" customWidth="1"/>
    <col min="177" max="178" width="11.5546875" style="134" hidden="1" customWidth="1"/>
    <col min="179" max="179" width="11.5546875" hidden="1" customWidth="1"/>
    <col min="180" max="180" width="11.5546875" style="126" customWidth="1"/>
    <col min="182" max="183" width="15.33203125" customWidth="1"/>
    <col min="185" max="185" width="19.6640625" style="439" customWidth="1"/>
    <col min="186" max="186" width="19.6640625" style="43" customWidth="1"/>
    <col min="187" max="187" width="20.109375" style="73" customWidth="1"/>
    <col min="188" max="188" width="28" style="461" customWidth="1"/>
    <col min="189" max="192" width="24.6640625" style="43" customWidth="1"/>
    <col min="193" max="193" width="3.33203125" customWidth="1"/>
    <col min="194" max="194" width="19.6640625" style="43" customWidth="1"/>
    <col min="195" max="195" width="12.5546875" style="73" customWidth="1"/>
    <col min="196" max="199" width="24.6640625" style="44" customWidth="1"/>
    <col min="200" max="200" width="3.33203125" customWidth="1"/>
    <col min="201" max="203" width="24.6640625" style="43" customWidth="1"/>
    <col min="204" max="204" width="25.88671875" style="628" bestFit="1" customWidth="1"/>
    <col min="205" max="208" width="24.6640625" style="43" customWidth="1"/>
  </cols>
  <sheetData>
    <row r="1" spans="1:208" s="433" customFormat="1" ht="10.8" thickBot="1" x14ac:dyDescent="0.25">
      <c r="A1" s="432">
        <v>1</v>
      </c>
      <c r="B1" s="432">
        <f>A1+1</f>
        <v>2</v>
      </c>
      <c r="C1" s="432">
        <f t="shared" ref="C1:BN1" si="0">B1+1</f>
        <v>3</v>
      </c>
      <c r="D1" s="432">
        <f t="shared" si="0"/>
        <v>4</v>
      </c>
      <c r="E1" s="432">
        <f t="shared" si="0"/>
        <v>5</v>
      </c>
      <c r="F1" s="432">
        <f t="shared" si="0"/>
        <v>6</v>
      </c>
      <c r="G1" s="432">
        <f t="shared" si="0"/>
        <v>7</v>
      </c>
      <c r="H1" s="432">
        <f t="shared" si="0"/>
        <v>8</v>
      </c>
      <c r="I1" s="432">
        <f t="shared" si="0"/>
        <v>9</v>
      </c>
      <c r="J1" s="432">
        <f t="shared" si="0"/>
        <v>10</v>
      </c>
      <c r="K1" s="432">
        <f t="shared" si="0"/>
        <v>11</v>
      </c>
      <c r="L1" s="432">
        <f t="shared" si="0"/>
        <v>12</v>
      </c>
      <c r="M1" s="432">
        <f t="shared" si="0"/>
        <v>13</v>
      </c>
      <c r="N1" s="432">
        <f t="shared" si="0"/>
        <v>14</v>
      </c>
      <c r="O1" s="432">
        <f t="shared" si="0"/>
        <v>15</v>
      </c>
      <c r="P1" s="432">
        <f t="shared" si="0"/>
        <v>16</v>
      </c>
      <c r="Q1" s="432">
        <f t="shared" si="0"/>
        <v>17</v>
      </c>
      <c r="R1" s="432">
        <f t="shared" si="0"/>
        <v>18</v>
      </c>
      <c r="S1" s="432">
        <f t="shared" si="0"/>
        <v>19</v>
      </c>
      <c r="T1" s="432">
        <f t="shared" si="0"/>
        <v>20</v>
      </c>
      <c r="U1" s="432">
        <f t="shared" si="0"/>
        <v>21</v>
      </c>
      <c r="V1" s="432">
        <f t="shared" si="0"/>
        <v>22</v>
      </c>
      <c r="W1" s="432">
        <f t="shared" si="0"/>
        <v>23</v>
      </c>
      <c r="X1" s="432">
        <f t="shared" si="0"/>
        <v>24</v>
      </c>
      <c r="Y1" s="432">
        <f t="shared" si="0"/>
        <v>25</v>
      </c>
      <c r="Z1" s="432">
        <f t="shared" si="0"/>
        <v>26</v>
      </c>
      <c r="AA1" s="432">
        <f t="shared" si="0"/>
        <v>27</v>
      </c>
      <c r="AB1" s="432">
        <f t="shared" si="0"/>
        <v>28</v>
      </c>
      <c r="AC1" s="432">
        <f t="shared" si="0"/>
        <v>29</v>
      </c>
      <c r="AD1" s="432">
        <f t="shared" si="0"/>
        <v>30</v>
      </c>
      <c r="AE1" s="432">
        <f t="shared" si="0"/>
        <v>31</v>
      </c>
      <c r="AF1" s="432">
        <f t="shared" si="0"/>
        <v>32</v>
      </c>
      <c r="AG1" s="432">
        <f t="shared" si="0"/>
        <v>33</v>
      </c>
      <c r="AH1" s="432">
        <f t="shared" si="0"/>
        <v>34</v>
      </c>
      <c r="AI1" s="432">
        <f t="shared" si="0"/>
        <v>35</v>
      </c>
      <c r="AJ1" s="432">
        <f t="shared" si="0"/>
        <v>36</v>
      </c>
      <c r="AK1" s="432">
        <f t="shared" si="0"/>
        <v>37</v>
      </c>
      <c r="AL1" s="432">
        <f t="shared" si="0"/>
        <v>38</v>
      </c>
      <c r="AM1" s="432">
        <f t="shared" si="0"/>
        <v>39</v>
      </c>
      <c r="AN1" s="432">
        <f t="shared" si="0"/>
        <v>40</v>
      </c>
      <c r="AO1" s="432">
        <f t="shared" si="0"/>
        <v>41</v>
      </c>
      <c r="AP1" s="432">
        <f t="shared" si="0"/>
        <v>42</v>
      </c>
      <c r="AQ1" s="432">
        <f t="shared" si="0"/>
        <v>43</v>
      </c>
      <c r="AR1" s="432">
        <f t="shared" si="0"/>
        <v>44</v>
      </c>
      <c r="AS1" s="432">
        <f t="shared" si="0"/>
        <v>45</v>
      </c>
      <c r="AT1" s="432">
        <f t="shared" si="0"/>
        <v>46</v>
      </c>
      <c r="AU1" s="432">
        <f t="shared" si="0"/>
        <v>47</v>
      </c>
      <c r="AV1" s="432">
        <f t="shared" si="0"/>
        <v>48</v>
      </c>
      <c r="AW1" s="432">
        <f t="shared" si="0"/>
        <v>49</v>
      </c>
      <c r="AX1" s="432">
        <f t="shared" si="0"/>
        <v>50</v>
      </c>
      <c r="AY1" s="432">
        <f t="shared" si="0"/>
        <v>51</v>
      </c>
      <c r="AZ1" s="432">
        <f t="shared" si="0"/>
        <v>52</v>
      </c>
      <c r="BA1" s="432">
        <f t="shared" si="0"/>
        <v>53</v>
      </c>
      <c r="BB1" s="432">
        <f t="shared" si="0"/>
        <v>54</v>
      </c>
      <c r="BC1" s="432">
        <f t="shared" si="0"/>
        <v>55</v>
      </c>
      <c r="BD1" s="432">
        <f t="shared" si="0"/>
        <v>56</v>
      </c>
      <c r="BE1" s="432">
        <f t="shared" si="0"/>
        <v>57</v>
      </c>
      <c r="BF1" s="432">
        <f t="shared" si="0"/>
        <v>58</v>
      </c>
      <c r="BG1" s="432">
        <f t="shared" si="0"/>
        <v>59</v>
      </c>
      <c r="BH1" s="432">
        <f t="shared" si="0"/>
        <v>60</v>
      </c>
      <c r="BI1" s="432">
        <f t="shared" si="0"/>
        <v>61</v>
      </c>
      <c r="BJ1" s="432">
        <f t="shared" si="0"/>
        <v>62</v>
      </c>
      <c r="BK1" s="432">
        <f t="shared" si="0"/>
        <v>63</v>
      </c>
      <c r="BL1" s="432">
        <f t="shared" si="0"/>
        <v>64</v>
      </c>
      <c r="BM1" s="432">
        <f t="shared" si="0"/>
        <v>65</v>
      </c>
      <c r="BN1" s="432">
        <f t="shared" si="0"/>
        <v>66</v>
      </c>
      <c r="BO1" s="432">
        <f t="shared" ref="BO1:DZ1" si="1">BN1+1</f>
        <v>67</v>
      </c>
      <c r="BP1" s="432">
        <f t="shared" si="1"/>
        <v>68</v>
      </c>
      <c r="BQ1" s="432">
        <f t="shared" si="1"/>
        <v>69</v>
      </c>
      <c r="BR1" s="432">
        <f t="shared" si="1"/>
        <v>70</v>
      </c>
      <c r="BS1" s="432">
        <f t="shared" si="1"/>
        <v>71</v>
      </c>
      <c r="BT1" s="432">
        <f t="shared" si="1"/>
        <v>72</v>
      </c>
      <c r="BU1" s="432">
        <f t="shared" si="1"/>
        <v>73</v>
      </c>
      <c r="BV1" s="432">
        <f t="shared" si="1"/>
        <v>74</v>
      </c>
      <c r="BW1" s="432">
        <f t="shared" si="1"/>
        <v>75</v>
      </c>
      <c r="BX1" s="432">
        <f t="shared" si="1"/>
        <v>76</v>
      </c>
      <c r="BY1" s="432">
        <f t="shared" si="1"/>
        <v>77</v>
      </c>
      <c r="BZ1" s="432">
        <f t="shared" si="1"/>
        <v>78</v>
      </c>
      <c r="CA1" s="432">
        <f t="shared" si="1"/>
        <v>79</v>
      </c>
      <c r="CB1" s="432">
        <f t="shared" si="1"/>
        <v>80</v>
      </c>
      <c r="CC1" s="432">
        <f t="shared" si="1"/>
        <v>81</v>
      </c>
      <c r="CD1" s="432">
        <f t="shared" si="1"/>
        <v>82</v>
      </c>
      <c r="CE1" s="432">
        <f t="shared" si="1"/>
        <v>83</v>
      </c>
      <c r="CF1" s="432">
        <f t="shared" si="1"/>
        <v>84</v>
      </c>
      <c r="CG1" s="432">
        <f t="shared" si="1"/>
        <v>85</v>
      </c>
      <c r="CH1" s="432">
        <f t="shared" si="1"/>
        <v>86</v>
      </c>
      <c r="CI1" s="432">
        <f t="shared" si="1"/>
        <v>87</v>
      </c>
      <c r="CJ1" s="432">
        <f t="shared" si="1"/>
        <v>88</v>
      </c>
      <c r="CK1" s="432">
        <f t="shared" si="1"/>
        <v>89</v>
      </c>
      <c r="CL1" s="432">
        <f t="shared" si="1"/>
        <v>90</v>
      </c>
      <c r="CM1" s="432">
        <f t="shared" si="1"/>
        <v>91</v>
      </c>
      <c r="CN1" s="432">
        <f t="shared" si="1"/>
        <v>92</v>
      </c>
      <c r="CO1" s="432">
        <f t="shared" si="1"/>
        <v>93</v>
      </c>
      <c r="CP1" s="432">
        <f t="shared" si="1"/>
        <v>94</v>
      </c>
      <c r="CQ1" s="432">
        <f t="shared" si="1"/>
        <v>95</v>
      </c>
      <c r="CR1" s="432">
        <f t="shared" si="1"/>
        <v>96</v>
      </c>
      <c r="CS1" s="432">
        <f t="shared" si="1"/>
        <v>97</v>
      </c>
      <c r="CT1" s="432">
        <f t="shared" si="1"/>
        <v>98</v>
      </c>
      <c r="CU1" s="432">
        <f t="shared" si="1"/>
        <v>99</v>
      </c>
      <c r="CV1" s="432">
        <f t="shared" si="1"/>
        <v>100</v>
      </c>
      <c r="CW1" s="432">
        <f t="shared" si="1"/>
        <v>101</v>
      </c>
      <c r="CX1" s="432">
        <f t="shared" si="1"/>
        <v>102</v>
      </c>
      <c r="CY1" s="432">
        <f t="shared" si="1"/>
        <v>103</v>
      </c>
      <c r="CZ1" s="432">
        <f t="shared" si="1"/>
        <v>104</v>
      </c>
      <c r="DA1" s="432">
        <f t="shared" si="1"/>
        <v>105</v>
      </c>
      <c r="DB1" s="432">
        <f t="shared" si="1"/>
        <v>106</v>
      </c>
      <c r="DC1" s="432">
        <f t="shared" si="1"/>
        <v>107</v>
      </c>
      <c r="DD1" s="432">
        <f t="shared" si="1"/>
        <v>108</v>
      </c>
      <c r="DE1" s="432">
        <f t="shared" si="1"/>
        <v>109</v>
      </c>
      <c r="DF1" s="432">
        <f t="shared" si="1"/>
        <v>110</v>
      </c>
      <c r="DG1" s="432">
        <f t="shared" si="1"/>
        <v>111</v>
      </c>
      <c r="DH1" s="432">
        <f t="shared" si="1"/>
        <v>112</v>
      </c>
      <c r="DI1" s="432">
        <f t="shared" si="1"/>
        <v>113</v>
      </c>
      <c r="DJ1" s="432">
        <f t="shared" si="1"/>
        <v>114</v>
      </c>
      <c r="DK1" s="432">
        <f t="shared" si="1"/>
        <v>115</v>
      </c>
      <c r="DL1" s="432">
        <f t="shared" si="1"/>
        <v>116</v>
      </c>
      <c r="DM1" s="432">
        <f t="shared" si="1"/>
        <v>117</v>
      </c>
      <c r="DN1" s="432">
        <f t="shared" si="1"/>
        <v>118</v>
      </c>
      <c r="DO1" s="432">
        <f t="shared" si="1"/>
        <v>119</v>
      </c>
      <c r="DP1" s="432">
        <f t="shared" si="1"/>
        <v>120</v>
      </c>
      <c r="DQ1" s="432">
        <f t="shared" si="1"/>
        <v>121</v>
      </c>
      <c r="DR1" s="432">
        <f t="shared" si="1"/>
        <v>122</v>
      </c>
      <c r="DS1" s="432">
        <f t="shared" si="1"/>
        <v>123</v>
      </c>
      <c r="DT1" s="432">
        <f t="shared" si="1"/>
        <v>124</v>
      </c>
      <c r="DU1" s="432">
        <f t="shared" si="1"/>
        <v>125</v>
      </c>
      <c r="DV1" s="432">
        <f t="shared" si="1"/>
        <v>126</v>
      </c>
      <c r="DW1" s="432">
        <f t="shared" si="1"/>
        <v>127</v>
      </c>
      <c r="DX1" s="432">
        <f t="shared" si="1"/>
        <v>128</v>
      </c>
      <c r="DY1" s="432">
        <f t="shared" si="1"/>
        <v>129</v>
      </c>
      <c r="DZ1" s="432">
        <f t="shared" si="1"/>
        <v>130</v>
      </c>
      <c r="EA1" s="432">
        <f t="shared" ref="EA1:GL1" si="2">DZ1+1</f>
        <v>131</v>
      </c>
      <c r="EB1" s="432">
        <f t="shared" si="2"/>
        <v>132</v>
      </c>
      <c r="EC1" s="432">
        <f t="shared" si="2"/>
        <v>133</v>
      </c>
      <c r="ED1" s="432">
        <f t="shared" si="2"/>
        <v>134</v>
      </c>
      <c r="EE1" s="432">
        <f t="shared" si="2"/>
        <v>135</v>
      </c>
      <c r="EF1" s="432">
        <f t="shared" si="2"/>
        <v>136</v>
      </c>
      <c r="EG1" s="432">
        <f t="shared" si="2"/>
        <v>137</v>
      </c>
      <c r="EH1" s="432">
        <f t="shared" si="2"/>
        <v>138</v>
      </c>
      <c r="EI1" s="432">
        <f t="shared" si="2"/>
        <v>139</v>
      </c>
      <c r="EJ1" s="432">
        <f t="shared" si="2"/>
        <v>140</v>
      </c>
      <c r="EK1" s="432">
        <f t="shared" si="2"/>
        <v>141</v>
      </c>
      <c r="EL1" s="432">
        <f t="shared" si="2"/>
        <v>142</v>
      </c>
      <c r="EM1" s="432">
        <f t="shared" si="2"/>
        <v>143</v>
      </c>
      <c r="EN1" s="432">
        <f t="shared" si="2"/>
        <v>144</v>
      </c>
      <c r="EO1" s="432">
        <f t="shared" si="2"/>
        <v>145</v>
      </c>
      <c r="EP1" s="432">
        <f t="shared" si="2"/>
        <v>146</v>
      </c>
      <c r="EQ1" s="432">
        <f t="shared" si="2"/>
        <v>147</v>
      </c>
      <c r="ER1" s="432">
        <f t="shared" si="2"/>
        <v>148</v>
      </c>
      <c r="ES1" s="432">
        <f t="shared" si="2"/>
        <v>149</v>
      </c>
      <c r="ET1" s="432">
        <f t="shared" si="2"/>
        <v>150</v>
      </c>
      <c r="EU1" s="432">
        <f t="shared" si="2"/>
        <v>151</v>
      </c>
      <c r="EV1" s="432">
        <f t="shared" si="2"/>
        <v>152</v>
      </c>
      <c r="EW1" s="432">
        <f t="shared" si="2"/>
        <v>153</v>
      </c>
      <c r="EX1" s="432">
        <f t="shared" si="2"/>
        <v>154</v>
      </c>
      <c r="EY1" s="432">
        <f t="shared" si="2"/>
        <v>155</v>
      </c>
      <c r="EZ1" s="432">
        <f t="shared" si="2"/>
        <v>156</v>
      </c>
      <c r="FA1" s="432">
        <f t="shared" si="2"/>
        <v>157</v>
      </c>
      <c r="FB1" s="432">
        <f t="shared" si="2"/>
        <v>158</v>
      </c>
      <c r="FC1" s="432">
        <f t="shared" si="2"/>
        <v>159</v>
      </c>
      <c r="FD1" s="432">
        <f t="shared" si="2"/>
        <v>160</v>
      </c>
      <c r="FE1" s="432">
        <f t="shared" si="2"/>
        <v>161</v>
      </c>
      <c r="FF1" s="432">
        <f t="shared" si="2"/>
        <v>162</v>
      </c>
      <c r="FG1" s="432">
        <f t="shared" si="2"/>
        <v>163</v>
      </c>
      <c r="FH1" s="432">
        <f t="shared" si="2"/>
        <v>164</v>
      </c>
      <c r="FI1" s="432">
        <f t="shared" si="2"/>
        <v>165</v>
      </c>
      <c r="FJ1" s="432">
        <f t="shared" si="2"/>
        <v>166</v>
      </c>
      <c r="FK1" s="432">
        <f t="shared" si="2"/>
        <v>167</v>
      </c>
      <c r="FL1" s="432">
        <f t="shared" si="2"/>
        <v>168</v>
      </c>
      <c r="FM1" s="432">
        <f t="shared" si="2"/>
        <v>169</v>
      </c>
      <c r="FN1" s="432">
        <f t="shared" si="2"/>
        <v>170</v>
      </c>
      <c r="FO1" s="432">
        <f t="shared" si="2"/>
        <v>171</v>
      </c>
      <c r="FP1" s="432">
        <f t="shared" si="2"/>
        <v>172</v>
      </c>
      <c r="FQ1" s="432">
        <f t="shared" si="2"/>
        <v>173</v>
      </c>
      <c r="FR1" s="432">
        <f t="shared" si="2"/>
        <v>174</v>
      </c>
      <c r="FS1" s="432">
        <f t="shared" si="2"/>
        <v>175</v>
      </c>
      <c r="FT1" s="432">
        <f t="shared" si="2"/>
        <v>176</v>
      </c>
      <c r="FU1" s="432">
        <f t="shared" si="2"/>
        <v>177</v>
      </c>
      <c r="FV1" s="432">
        <f t="shared" si="2"/>
        <v>178</v>
      </c>
      <c r="FW1" s="432">
        <f t="shared" si="2"/>
        <v>179</v>
      </c>
      <c r="FX1" s="432">
        <f t="shared" si="2"/>
        <v>180</v>
      </c>
      <c r="FY1" s="432">
        <f t="shared" si="2"/>
        <v>181</v>
      </c>
      <c r="FZ1" s="432">
        <f t="shared" si="2"/>
        <v>182</v>
      </c>
      <c r="GA1" s="432">
        <f t="shared" si="2"/>
        <v>183</v>
      </c>
      <c r="GB1" s="432">
        <f t="shared" si="2"/>
        <v>184</v>
      </c>
      <c r="GC1" s="432">
        <f t="shared" si="2"/>
        <v>185</v>
      </c>
      <c r="GD1" s="432">
        <f t="shared" si="2"/>
        <v>186</v>
      </c>
      <c r="GE1" s="432">
        <f t="shared" si="2"/>
        <v>187</v>
      </c>
      <c r="GF1" s="432">
        <f t="shared" si="2"/>
        <v>188</v>
      </c>
      <c r="GG1" s="432">
        <f t="shared" si="2"/>
        <v>189</v>
      </c>
      <c r="GH1" s="432">
        <f t="shared" si="2"/>
        <v>190</v>
      </c>
      <c r="GI1" s="432">
        <f t="shared" si="2"/>
        <v>191</v>
      </c>
      <c r="GJ1" s="432">
        <f t="shared" si="2"/>
        <v>192</v>
      </c>
      <c r="GK1" s="432">
        <f t="shared" si="2"/>
        <v>193</v>
      </c>
      <c r="GL1" s="432">
        <f t="shared" si="2"/>
        <v>194</v>
      </c>
      <c r="GM1" s="432">
        <f t="shared" ref="GM1:GZ1" si="3">GL1+1</f>
        <v>195</v>
      </c>
      <c r="GN1" s="432">
        <f t="shared" si="3"/>
        <v>196</v>
      </c>
      <c r="GO1" s="432">
        <f t="shared" si="3"/>
        <v>197</v>
      </c>
      <c r="GP1" s="432">
        <f t="shared" si="3"/>
        <v>198</v>
      </c>
      <c r="GQ1" s="432">
        <f t="shared" si="3"/>
        <v>199</v>
      </c>
      <c r="GR1" s="432">
        <f t="shared" si="3"/>
        <v>200</v>
      </c>
      <c r="GS1" s="432">
        <f t="shared" si="3"/>
        <v>201</v>
      </c>
      <c r="GT1" s="432">
        <f t="shared" si="3"/>
        <v>202</v>
      </c>
      <c r="GU1" s="432">
        <f t="shared" si="3"/>
        <v>203</v>
      </c>
      <c r="GV1" s="432">
        <f t="shared" si="3"/>
        <v>204</v>
      </c>
      <c r="GW1" s="432">
        <f t="shared" si="3"/>
        <v>205</v>
      </c>
      <c r="GX1" s="432">
        <f t="shared" si="3"/>
        <v>206</v>
      </c>
      <c r="GY1" s="432">
        <f t="shared" si="3"/>
        <v>207</v>
      </c>
      <c r="GZ1" s="432">
        <f t="shared" si="3"/>
        <v>208</v>
      </c>
    </row>
    <row r="2" spans="1:208" ht="25.2" thickBot="1" x14ac:dyDescent="0.35">
      <c r="A2" s="1" t="s">
        <v>196</v>
      </c>
      <c r="U2" s="43"/>
      <c r="V2" s="43"/>
      <c r="W2" s="43"/>
      <c r="X2" s="43"/>
      <c r="AH2" s="43"/>
      <c r="AI2" s="43"/>
      <c r="AJ2" s="43"/>
      <c r="AK2" s="43"/>
      <c r="AL2" s="43"/>
      <c r="AM2" s="43"/>
      <c r="AN2" s="291">
        <v>0.96</v>
      </c>
      <c r="AO2" s="292" t="s">
        <v>234</v>
      </c>
      <c r="AP2" s="300"/>
      <c r="AQ2" s="300"/>
      <c r="AR2" s="300"/>
      <c r="AS2" s="300"/>
      <c r="AT2" s="300"/>
      <c r="AU2" s="300"/>
      <c r="AV2" s="293">
        <v>1.01</v>
      </c>
      <c r="AW2" s="292" t="s">
        <v>241</v>
      </c>
      <c r="AX2" s="300"/>
      <c r="AY2" s="300"/>
      <c r="AZ2" s="300"/>
      <c r="BA2" s="300"/>
      <c r="BB2" s="300"/>
      <c r="BC2" s="300"/>
      <c r="BD2" s="293"/>
      <c r="BE2" s="301"/>
      <c r="CN2" s="14"/>
      <c r="CS2" s="199"/>
      <c r="CT2" s="199"/>
      <c r="CV2" s="248">
        <f>CV4/CV3</f>
        <v>1.8455686938267175</v>
      </c>
      <c r="CW2" s="248">
        <f t="shared" ref="CW2:CY2" si="4">CW4/CW3</f>
        <v>1.3122075200203605</v>
      </c>
      <c r="CX2" s="248">
        <f t="shared" si="4"/>
        <v>1.1122118634491716</v>
      </c>
      <c r="CY2" s="248">
        <f t="shared" si="4"/>
        <v>1.1148944492595034</v>
      </c>
    </row>
    <row r="3" spans="1:208" ht="30.6" thickBot="1" x14ac:dyDescent="0.45">
      <c r="A3" s="1" t="s">
        <v>959</v>
      </c>
      <c r="B3" s="215"/>
      <c r="C3" s="2"/>
      <c r="D3" s="2"/>
      <c r="E3" s="2"/>
      <c r="F3" s="2"/>
      <c r="G3" s="3"/>
      <c r="H3" s="206"/>
      <c r="I3" s="2"/>
      <c r="J3" s="220"/>
      <c r="K3" s="90"/>
      <c r="L3" s="90"/>
      <c r="M3" s="90"/>
      <c r="N3" s="90"/>
      <c r="O3" s="603"/>
      <c r="P3" s="603"/>
      <c r="Q3" s="604"/>
      <c r="R3" s="604"/>
      <c r="S3" s="604"/>
      <c r="T3" s="605"/>
      <c r="U3" s="606"/>
      <c r="V3" s="606"/>
      <c r="W3" s="606"/>
      <c r="X3" s="606"/>
      <c r="Y3" s="605"/>
      <c r="Z3" s="605"/>
      <c r="AA3" s="606"/>
      <c r="AB3" s="605"/>
      <c r="AC3" s="607"/>
      <c r="AD3" s="605"/>
      <c r="AE3" s="606"/>
      <c r="AF3" s="606"/>
      <c r="AG3" s="605"/>
      <c r="AH3" s="608"/>
      <c r="AI3" s="608"/>
      <c r="AJ3" s="608"/>
      <c r="AK3" s="608"/>
      <c r="AL3" s="608"/>
      <c r="AM3" s="608"/>
      <c r="AN3" s="294">
        <v>0.97</v>
      </c>
      <c r="AO3" s="295" t="s">
        <v>235</v>
      </c>
      <c r="AP3" s="302"/>
      <c r="AQ3" s="302"/>
      <c r="AR3" s="302"/>
      <c r="AS3" s="302"/>
      <c r="AT3" s="302"/>
      <c r="AU3" s="302"/>
      <c r="AV3" s="296">
        <v>1.02</v>
      </c>
      <c r="AW3" s="295" t="s">
        <v>242</v>
      </c>
      <c r="AX3" s="302"/>
      <c r="AY3" s="302"/>
      <c r="AZ3" s="302"/>
      <c r="BA3" s="302"/>
      <c r="BB3" s="302"/>
      <c r="BC3" s="302"/>
      <c r="BD3" s="303"/>
      <c r="BE3" s="304"/>
      <c r="BF3" s="93"/>
      <c r="BG3" s="93"/>
      <c r="BH3" s="93"/>
      <c r="BI3" s="93"/>
      <c r="BJ3" s="93"/>
      <c r="BK3" s="6"/>
      <c r="BL3" s="262"/>
      <c r="BM3" s="262"/>
      <c r="BN3" s="9"/>
      <c r="BO3" s="10"/>
      <c r="BP3" s="10"/>
      <c r="BQ3" s="434"/>
      <c r="BR3" s="5" t="s">
        <v>131</v>
      </c>
      <c r="BS3" s="5"/>
      <c r="BT3" s="5"/>
      <c r="BU3" s="5"/>
      <c r="BV3" s="5"/>
      <c r="BW3" s="5"/>
      <c r="BX3" s="5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P3" s="98"/>
      <c r="CQ3" s="90"/>
      <c r="CS3" s="211"/>
      <c r="CT3" s="200" t="s">
        <v>155</v>
      </c>
      <c r="CU3" s="117"/>
      <c r="CV3" s="159">
        <f>CV10</f>
        <v>2.7246617859584479</v>
      </c>
      <c r="CW3" s="159">
        <f>CW10</f>
        <v>1.6889902818083384</v>
      </c>
      <c r="CX3" s="159">
        <f>CX10</f>
        <v>1.8833028354976902</v>
      </c>
      <c r="CY3" s="159">
        <f>CY10</f>
        <v>0.97812643464998594</v>
      </c>
      <c r="CZ3" s="184"/>
      <c r="DA3" s="185"/>
      <c r="DB3" s="184"/>
      <c r="DC3" s="44"/>
      <c r="DD3" s="190" t="s">
        <v>141</v>
      </c>
      <c r="DE3" s="126">
        <f>DE224</f>
        <v>0.72</v>
      </c>
      <c r="DF3" s="184" t="s">
        <v>122</v>
      </c>
      <c r="DG3" s="184" t="s">
        <v>123</v>
      </c>
      <c r="DH3" s="148"/>
      <c r="DI3" s="129">
        <v>1</v>
      </c>
      <c r="DJ3" s="11" t="s">
        <v>3</v>
      </c>
      <c r="DK3" s="12"/>
      <c r="DL3" s="176" t="s">
        <v>104</v>
      </c>
      <c r="DM3" s="117" t="s">
        <v>78</v>
      </c>
      <c r="DN3" s="138"/>
      <c r="DO3" s="124">
        <v>1</v>
      </c>
      <c r="DP3" s="129">
        <v>1</v>
      </c>
      <c r="DQ3" s="129">
        <v>1</v>
      </c>
      <c r="DR3" s="129">
        <v>1</v>
      </c>
      <c r="DS3" s="129">
        <v>0.5</v>
      </c>
      <c r="DT3" s="124">
        <v>0.25</v>
      </c>
      <c r="DU3" s="129">
        <v>0.5</v>
      </c>
      <c r="DW3" s="117" t="s">
        <v>78</v>
      </c>
      <c r="DX3" s="117" t="s">
        <v>78</v>
      </c>
      <c r="DZ3" s="117" t="s">
        <v>78</v>
      </c>
      <c r="EB3" s="117" t="s">
        <v>78</v>
      </c>
      <c r="ED3" s="124"/>
      <c r="EE3" s="124"/>
      <c r="EF3" s="124">
        <v>0.25</v>
      </c>
      <c r="EH3" s="117" t="s">
        <v>78</v>
      </c>
      <c r="EJ3" s="124"/>
      <c r="EK3" s="124">
        <v>0.33333000000000002</v>
      </c>
      <c r="EL3" s="124">
        <v>0.33329999999999999</v>
      </c>
      <c r="EM3" s="117" t="s">
        <v>78</v>
      </c>
      <c r="EO3" s="124">
        <v>1</v>
      </c>
      <c r="EP3" s="124"/>
      <c r="EQ3" s="124">
        <v>0.25</v>
      </c>
      <c r="ER3" s="124">
        <v>0.25</v>
      </c>
      <c r="ES3" s="117" t="s">
        <v>78</v>
      </c>
      <c r="EU3" s="124">
        <v>0.5</v>
      </c>
      <c r="EV3" s="124"/>
      <c r="EW3" s="124">
        <v>0.25</v>
      </c>
      <c r="EX3" s="124">
        <v>0.25</v>
      </c>
      <c r="EY3" s="117" t="s">
        <v>78</v>
      </c>
      <c r="FA3" s="124">
        <v>0.5</v>
      </c>
      <c r="FB3" s="124"/>
      <c r="FC3" s="124">
        <v>0.25</v>
      </c>
      <c r="FD3" s="124">
        <v>0.25</v>
      </c>
      <c r="FE3" s="117" t="s">
        <v>78</v>
      </c>
      <c r="FF3" s="138"/>
      <c r="FG3" s="124">
        <v>1</v>
      </c>
      <c r="FH3" s="129">
        <v>1</v>
      </c>
      <c r="FI3" s="129">
        <v>0.5</v>
      </c>
      <c r="FJ3" s="124">
        <v>0.25</v>
      </c>
      <c r="FK3" s="117" t="s">
        <v>78</v>
      </c>
      <c r="FL3" s="138"/>
      <c r="FM3" s="124">
        <v>1</v>
      </c>
      <c r="FN3" s="129">
        <v>1</v>
      </c>
      <c r="FO3" s="129">
        <v>1</v>
      </c>
      <c r="FP3" s="129">
        <v>0.5</v>
      </c>
      <c r="FQ3" s="124">
        <v>0.25</v>
      </c>
      <c r="FR3" s="117" t="s">
        <v>78</v>
      </c>
      <c r="FS3" s="138"/>
      <c r="FT3" s="124">
        <v>1</v>
      </c>
      <c r="FU3" s="129">
        <v>1</v>
      </c>
      <c r="FV3" s="129">
        <v>0.5</v>
      </c>
      <c r="FW3" s="124">
        <v>0.25</v>
      </c>
      <c r="FZ3" s="117"/>
      <c r="GA3" s="655" t="s">
        <v>949</v>
      </c>
      <c r="GB3" s="117"/>
      <c r="GC3" s="34"/>
      <c r="GD3" s="34"/>
      <c r="GE3" s="442"/>
      <c r="GF3" s="462"/>
      <c r="GG3" s="17"/>
      <c r="GH3" s="17"/>
      <c r="GI3" s="17"/>
      <c r="GJ3" s="17"/>
      <c r="GL3" s="34"/>
      <c r="GM3" s="442"/>
      <c r="GN3" s="8"/>
      <c r="GO3" s="8"/>
      <c r="GP3" s="8"/>
      <c r="GQ3" s="8"/>
      <c r="GS3" s="17"/>
      <c r="GT3" s="17"/>
      <c r="GU3" s="17"/>
      <c r="GV3" s="629"/>
      <c r="GW3" s="17"/>
      <c r="GX3" s="17"/>
      <c r="GY3" s="17"/>
      <c r="GZ3" s="17"/>
    </row>
    <row r="4" spans="1:208" ht="19.2" thickBot="1" x14ac:dyDescent="0.35">
      <c r="A4" s="208" t="s">
        <v>126</v>
      </c>
      <c r="O4" s="612"/>
      <c r="P4" s="613"/>
      <c r="Q4" s="614"/>
      <c r="R4" s="613"/>
      <c r="S4" s="614"/>
      <c r="T4" s="615" t="s">
        <v>251</v>
      </c>
      <c r="U4" s="616"/>
      <c r="V4" s="616"/>
      <c r="W4" s="616"/>
      <c r="X4" s="616"/>
      <c r="Y4" s="614"/>
      <c r="Z4" s="616"/>
      <c r="AA4" s="616"/>
      <c r="AB4" s="616"/>
      <c r="AC4" s="614"/>
      <c r="AD4" s="614"/>
      <c r="AE4" s="614"/>
      <c r="AF4" s="614"/>
      <c r="AG4" s="616"/>
      <c r="AH4" s="616"/>
      <c r="AI4" s="616"/>
      <c r="AJ4" s="616"/>
      <c r="AK4" s="617"/>
      <c r="AL4" s="43"/>
      <c r="AM4" s="43"/>
      <c r="AN4" s="294">
        <v>0.98</v>
      </c>
      <c r="AO4" s="295" t="s">
        <v>236</v>
      </c>
      <c r="AP4" s="305"/>
      <c r="AQ4" s="305"/>
      <c r="AR4" s="305"/>
      <c r="AS4" s="305"/>
      <c r="AT4" s="305"/>
      <c r="AU4" s="305"/>
      <c r="AV4" s="296">
        <v>1.02</v>
      </c>
      <c r="AW4" s="295" t="s">
        <v>240</v>
      </c>
      <c r="AX4" s="305"/>
      <c r="AY4" s="305"/>
      <c r="AZ4" s="305"/>
      <c r="BA4" s="305"/>
      <c r="BB4" s="305"/>
      <c r="BC4" s="305"/>
      <c r="BD4" s="263"/>
      <c r="BE4" s="306"/>
      <c r="BF4" s="259"/>
      <c r="BG4" s="94"/>
      <c r="BH4" s="94"/>
      <c r="BI4" s="94"/>
      <c r="BJ4" s="94"/>
      <c r="BK4" s="16"/>
      <c r="BL4" s="263"/>
      <c r="BM4" s="263"/>
      <c r="BN4" s="18"/>
      <c r="BO4" s="10"/>
      <c r="BP4" s="10"/>
      <c r="BR4" s="335" t="s">
        <v>909</v>
      </c>
      <c r="BS4" s="335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N4" s="21"/>
      <c r="CP4" s="99"/>
      <c r="CS4" s="210"/>
      <c r="CT4" s="201">
        <v>100</v>
      </c>
      <c r="CU4" s="118"/>
      <c r="CV4" s="249">
        <f>MAXA(CV10:CV295)</f>
        <v>5.0285504934309042</v>
      </c>
      <c r="CW4" s="249">
        <f>MAXA(CW10:CW295)</f>
        <v>2.2163057490302096</v>
      </c>
      <c r="CX4" s="249">
        <f>MAXA(CX10:CX295)</f>
        <v>2.0946317561079946</v>
      </c>
      <c r="CY4" s="249">
        <f>MAXA(CY10:CY295)</f>
        <v>1.0905077326652577</v>
      </c>
      <c r="CZ4" s="126"/>
      <c r="DA4" s="126">
        <f>DA115</f>
        <v>0.91</v>
      </c>
      <c r="DB4" s="126">
        <f>DB115</f>
        <v>1.0878947368421052</v>
      </c>
      <c r="DC4" s="154"/>
      <c r="DD4" s="190" t="s">
        <v>140</v>
      </c>
      <c r="DE4" s="126">
        <f>DE115</f>
        <v>0.83</v>
      </c>
      <c r="DF4" s="126">
        <f>DF115</f>
        <v>0.83</v>
      </c>
      <c r="DG4" s="126">
        <f>DG115</f>
        <v>0.91</v>
      </c>
      <c r="DH4" s="126">
        <f>DH115</f>
        <v>0.94</v>
      </c>
      <c r="DI4" s="129">
        <v>2</v>
      </c>
      <c r="DJ4" s="19" t="s">
        <v>4</v>
      </c>
      <c r="DK4" s="20"/>
      <c r="DL4" s="176" t="s">
        <v>105</v>
      </c>
      <c r="DM4" s="118"/>
      <c r="DN4" s="138" t="s">
        <v>90</v>
      </c>
      <c r="DO4" s="125" t="e">
        <f>DO6/DO5</f>
        <v>#REF!</v>
      </c>
      <c r="DP4" s="135" t="e">
        <f>DP6-DP5</f>
        <v>#REF!</v>
      </c>
      <c r="DQ4" s="135" t="e">
        <f>DQ6-DQ5</f>
        <v>#REF!</v>
      </c>
      <c r="DR4" s="135" t="e">
        <f>DR6-DR5</f>
        <v>#REF!</v>
      </c>
      <c r="DS4" s="135" t="e">
        <f>DS6-DS5</f>
        <v>#REF!</v>
      </c>
      <c r="DT4" s="125" t="e">
        <f>DT6/DT5</f>
        <v>#REF!</v>
      </c>
      <c r="DU4" s="135" t="e">
        <f>DU6-DU5</f>
        <v>#REF!</v>
      </c>
      <c r="DW4" s="118">
        <v>1.02</v>
      </c>
      <c r="DX4" s="118">
        <v>1</v>
      </c>
      <c r="DZ4" s="118">
        <v>0.4</v>
      </c>
      <c r="EB4" s="118">
        <v>0.25</v>
      </c>
      <c r="ED4" s="125" t="e">
        <f>ED6/ED5</f>
        <v>#REF!</v>
      </c>
      <c r="EE4" s="125" t="e">
        <f>EE6/EE5</f>
        <v>#REF!</v>
      </c>
      <c r="EF4" s="125" t="e">
        <f>EF6/EF5</f>
        <v>#REF!</v>
      </c>
      <c r="EH4" s="118">
        <v>0.15</v>
      </c>
      <c r="EJ4" s="125" t="e">
        <f>EJ6/EJ5</f>
        <v>#REF!</v>
      </c>
      <c r="EK4" s="125" t="e">
        <f>EK6/EK5</f>
        <v>#REF!</v>
      </c>
      <c r="EL4" s="125" t="e">
        <f>EL6/EL5</f>
        <v>#REF!</v>
      </c>
      <c r="EM4" s="118">
        <v>0.5</v>
      </c>
      <c r="EO4" s="125" t="e">
        <f>EO6/EO5</f>
        <v>#REF!</v>
      </c>
      <c r="EP4" s="125" t="e">
        <f>EP6/EP5</f>
        <v>#REF!</v>
      </c>
      <c r="EQ4" s="125" t="e">
        <f>EQ6/EQ5</f>
        <v>#REF!</v>
      </c>
      <c r="ER4" s="125" t="e">
        <f>ER6/ER5</f>
        <v>#REF!</v>
      </c>
      <c r="ES4" s="118">
        <v>0.6</v>
      </c>
      <c r="EU4" s="125" t="e">
        <f>EU6/EU5</f>
        <v>#REF!</v>
      </c>
      <c r="EV4" s="125" t="e">
        <f>EV6/EV5</f>
        <v>#REF!</v>
      </c>
      <c r="EW4" s="125" t="e">
        <f>EW6/EW5</f>
        <v>#REF!</v>
      </c>
      <c r="EX4" s="125" t="e">
        <f>EX6/EX5</f>
        <v>#REF!</v>
      </c>
      <c r="EY4" s="118"/>
      <c r="FA4" s="125" t="e">
        <f>FA6/FA5</f>
        <v>#REF!</v>
      </c>
      <c r="FB4" s="125" t="e">
        <f>FB6/FB5</f>
        <v>#REF!</v>
      </c>
      <c r="FC4" s="125" t="e">
        <f>FC6/FC5</f>
        <v>#REF!</v>
      </c>
      <c r="FD4" s="125" t="e">
        <f>FD6/FD5</f>
        <v>#REF!</v>
      </c>
      <c r="FE4" s="118"/>
      <c r="FF4" s="138" t="s">
        <v>90</v>
      </c>
      <c r="FG4" s="125" t="e">
        <f>FG6/FG5</f>
        <v>#REF!</v>
      </c>
      <c r="FH4" s="135" t="e">
        <f>FH6/FH5</f>
        <v>#REF!</v>
      </c>
      <c r="FI4" s="135" t="e">
        <f>FI6/FI5</f>
        <v>#REF!</v>
      </c>
      <c r="FJ4" s="125" t="e">
        <f>FJ6/FJ5</f>
        <v>#REF!</v>
      </c>
      <c r="FK4" s="118"/>
      <c r="FL4" s="138" t="s">
        <v>90</v>
      </c>
      <c r="FM4" s="125" t="e">
        <f>FM6/FM5</f>
        <v>#REF!</v>
      </c>
      <c r="FN4" s="135" t="e">
        <f>FN6/FN5</f>
        <v>#REF!</v>
      </c>
      <c r="FO4" s="135" t="e">
        <f>FO6/FO5</f>
        <v>#REF!</v>
      </c>
      <c r="FP4" s="135" t="e">
        <f>FP6/FP5</f>
        <v>#REF!</v>
      </c>
      <c r="FQ4" s="125" t="e">
        <f>FQ6/FQ5</f>
        <v>#REF!</v>
      </c>
      <c r="FR4" s="118"/>
      <c r="FS4" s="138" t="s">
        <v>90</v>
      </c>
      <c r="FT4" s="125" t="e">
        <f>FT6/FT5</f>
        <v>#REF!</v>
      </c>
      <c r="FU4" s="135" t="e">
        <f>FU6/FU5</f>
        <v>#REF!</v>
      </c>
      <c r="FV4" s="135" t="e">
        <f>FV6/FV5</f>
        <v>#REF!</v>
      </c>
      <c r="FW4" s="125" t="e">
        <f>FW6/FW5</f>
        <v>#REF!</v>
      </c>
      <c r="FZ4" s="118" t="s">
        <v>823</v>
      </c>
      <c r="GA4" s="249">
        <f>MAXA(GA10:GA295)</f>
        <v>2.2968452802704382</v>
      </c>
      <c r="GB4" s="118">
        <v>4</v>
      </c>
      <c r="GC4" s="440"/>
      <c r="GD4" s="17"/>
      <c r="GE4" s="442"/>
      <c r="GF4" s="462"/>
      <c r="GG4" s="17"/>
      <c r="GH4" s="17"/>
      <c r="GI4" s="17"/>
      <c r="GJ4" s="17"/>
      <c r="GL4" s="17"/>
      <c r="GM4" s="442"/>
      <c r="GN4" s="8"/>
      <c r="GO4" s="8"/>
      <c r="GP4" s="8"/>
      <c r="GQ4" s="8"/>
      <c r="GS4" s="17"/>
      <c r="GT4" s="17"/>
      <c r="GU4" s="17"/>
      <c r="GV4" s="629"/>
      <c r="GW4" s="17"/>
      <c r="GX4" s="17"/>
      <c r="GY4" s="17"/>
      <c r="GZ4" s="17"/>
    </row>
    <row r="5" spans="1:208" ht="20.100000000000001" customHeight="1" thickBot="1" x14ac:dyDescent="0.35">
      <c r="A5" s="317" t="s">
        <v>127</v>
      </c>
      <c r="K5" s="226" t="s">
        <v>180</v>
      </c>
      <c r="L5" s="226" t="s">
        <v>180</v>
      </c>
      <c r="O5" s="618" t="s">
        <v>880</v>
      </c>
      <c r="P5" s="619"/>
      <c r="Q5" s="620"/>
      <c r="R5" s="619"/>
      <c r="S5" s="225"/>
      <c r="T5" s="621"/>
      <c r="U5" s="622"/>
      <c r="V5" s="622"/>
      <c r="W5" s="622"/>
      <c r="X5" s="622"/>
      <c r="Y5" s="225"/>
      <c r="Z5" s="622"/>
      <c r="AA5" s="622"/>
      <c r="AB5" s="622"/>
      <c r="AC5" s="225"/>
      <c r="AD5" s="225"/>
      <c r="AE5" s="225"/>
      <c r="AF5" s="225"/>
      <c r="AG5" s="622"/>
      <c r="AH5" s="622"/>
      <c r="AI5" s="622"/>
      <c r="AJ5" s="622"/>
      <c r="AK5" s="623"/>
      <c r="AL5" s="43"/>
      <c r="AM5" s="43"/>
      <c r="AN5" s="294">
        <v>0.99</v>
      </c>
      <c r="AO5" s="295" t="s">
        <v>237</v>
      </c>
      <c r="AP5" s="305"/>
      <c r="AQ5" s="305"/>
      <c r="AR5" s="305"/>
      <c r="AS5" s="305"/>
      <c r="AT5" s="305"/>
      <c r="AU5" s="305"/>
      <c r="AV5" s="296">
        <v>1.03</v>
      </c>
      <c r="AW5" s="295" t="s">
        <v>267</v>
      </c>
      <c r="AX5" s="305"/>
      <c r="AY5" s="305"/>
      <c r="AZ5" s="305"/>
      <c r="BA5" s="305"/>
      <c r="BB5" s="305"/>
      <c r="BC5" s="305"/>
      <c r="BD5" s="263"/>
      <c r="BE5" s="306"/>
      <c r="BF5" s="259"/>
      <c r="BG5" s="94"/>
      <c r="BH5" s="94"/>
      <c r="BI5" s="94"/>
      <c r="BJ5" s="94"/>
      <c r="BK5" s="16"/>
      <c r="BL5" s="263"/>
      <c r="BM5" s="263"/>
      <c r="BN5" s="18"/>
      <c r="BO5" s="10"/>
      <c r="BP5" s="10"/>
      <c r="BR5" s="318"/>
      <c r="BS5" s="318"/>
      <c r="BT5" s="544"/>
      <c r="BU5" s="545"/>
      <c r="BV5" s="545"/>
      <c r="BW5" s="545"/>
      <c r="BX5" s="546" t="s">
        <v>193</v>
      </c>
      <c r="BY5" s="542">
        <f>BY9</f>
        <v>-0.5</v>
      </c>
      <c r="BZ5" s="318"/>
      <c r="CA5" s="318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20"/>
      <c r="CN5" s="21"/>
      <c r="CQ5" s="25"/>
      <c r="CS5" s="211"/>
      <c r="CT5" s="316" t="s">
        <v>248</v>
      </c>
      <c r="CU5" s="119"/>
      <c r="CV5" s="191" t="s">
        <v>177</v>
      </c>
      <c r="CW5" s="191" t="s">
        <v>245</v>
      </c>
      <c r="CX5" s="191" t="s">
        <v>246</v>
      </c>
      <c r="CY5" s="191" t="s">
        <v>247</v>
      </c>
      <c r="CZ5" s="183"/>
      <c r="DA5" s="183">
        <f>DA6/DA4-1</f>
        <v>0.27472527472527464</v>
      </c>
      <c r="DB5" s="183">
        <f>DB6/DB4-1</f>
        <v>0.19658119658119655</v>
      </c>
      <c r="DC5" s="154"/>
      <c r="DD5" s="194" t="s">
        <v>116</v>
      </c>
      <c r="DE5" s="183">
        <f>DE6/DE4-1</f>
        <v>0.3855421686746987</v>
      </c>
      <c r="DF5" s="183">
        <f>DF6/DF4-1</f>
        <v>0.24096385542168686</v>
      </c>
      <c r="DG5" s="183">
        <f>DG6/DG4-1</f>
        <v>0.25274725274725252</v>
      </c>
      <c r="DH5" s="183">
        <f>DH6/DH4-1</f>
        <v>0.26595744680851063</v>
      </c>
      <c r="DI5" s="129">
        <v>0.33300000000000002</v>
      </c>
      <c r="DJ5" s="23">
        <v>8.6999999999999993</v>
      </c>
      <c r="DK5" s="20">
        <v>8.6999999999999993</v>
      </c>
      <c r="DL5" s="176" t="s">
        <v>106</v>
      </c>
      <c r="DM5" s="119"/>
      <c r="DN5" s="138" t="s">
        <v>91</v>
      </c>
      <c r="DO5" s="126" t="e">
        <f t="shared" ref="DO5:DU5" si="5">MINA(DO10:DO316)</f>
        <v>#REF!</v>
      </c>
      <c r="DP5" s="130" t="e">
        <f t="shared" si="5"/>
        <v>#REF!</v>
      </c>
      <c r="DQ5" s="130" t="e">
        <f t="shared" si="5"/>
        <v>#REF!</v>
      </c>
      <c r="DR5" s="130" t="e">
        <f t="shared" si="5"/>
        <v>#REF!</v>
      </c>
      <c r="DS5" s="130" t="e">
        <f t="shared" si="5"/>
        <v>#REF!</v>
      </c>
      <c r="DT5" s="126" t="e">
        <f t="shared" si="5"/>
        <v>#REF!</v>
      </c>
      <c r="DU5" s="130" t="e">
        <f t="shared" si="5"/>
        <v>#REF!</v>
      </c>
      <c r="DW5" s="119">
        <v>0</v>
      </c>
      <c r="DX5" s="119"/>
      <c r="DZ5" s="119"/>
      <c r="EB5" s="119"/>
      <c r="ED5" s="126" t="e">
        <f>MINA(ED10:ED316)</f>
        <v>#REF!</v>
      </c>
      <c r="EE5" s="126" t="e">
        <f>MINA(EE10:EE316)</f>
        <v>#REF!</v>
      </c>
      <c r="EF5" s="126" t="e">
        <f>MINA(EF10:EF316)</f>
        <v>#REF!</v>
      </c>
      <c r="EG5" t="e">
        <f>ED5*EE5*EF5</f>
        <v>#REF!</v>
      </c>
      <c r="EH5" s="119"/>
      <c r="EJ5" s="126" t="e">
        <f>MINA(EJ10:EJ316)</f>
        <v>#REF!</v>
      </c>
      <c r="EK5" s="126" t="e">
        <f>MINA(EK10:EK316)</f>
        <v>#REF!</v>
      </c>
      <c r="EL5" s="126" t="e">
        <f>MINA(EL10:EL316)</f>
        <v>#REF!</v>
      </c>
      <c r="EM5" s="119"/>
      <c r="EO5" s="126" t="e">
        <f>MINA(EO10:EO316)</f>
        <v>#REF!</v>
      </c>
      <c r="EP5" s="126" t="e">
        <f>MINA(EP10:EP316)</f>
        <v>#REF!</v>
      </c>
      <c r="EQ5" s="126" t="e">
        <f>MINA(EQ10:EQ316)</f>
        <v>#REF!</v>
      </c>
      <c r="ER5" s="126" t="e">
        <f>MINA(ER10:ER316)</f>
        <v>#REF!</v>
      </c>
      <c r="ES5" s="119"/>
      <c r="EU5" s="126" t="e">
        <f>MINA(EU10:EU316)</f>
        <v>#REF!</v>
      </c>
      <c r="EV5" s="126" t="e">
        <f>MINA(EV10:EV316)</f>
        <v>#REF!</v>
      </c>
      <c r="EW5" s="126" t="e">
        <f>MINA(EW10:EW316)</f>
        <v>#REF!</v>
      </c>
      <c r="EX5" s="126" t="e">
        <f>MINA(EX10:EX316)</f>
        <v>#REF!</v>
      </c>
      <c r="EY5" s="119"/>
      <c r="FA5" s="126" t="e">
        <f>MINA(FA10:FA316)</f>
        <v>#REF!</v>
      </c>
      <c r="FB5" s="126" t="e">
        <f>MINA(FB10:FB316)</f>
        <v>#REF!</v>
      </c>
      <c r="FC5" s="126" t="e">
        <f>MINA(FC10:FC316)</f>
        <v>#REF!</v>
      </c>
      <c r="FD5" s="126" t="e">
        <f>MINA(FD10:FD316)</f>
        <v>#REF!</v>
      </c>
      <c r="FE5" s="119"/>
      <c r="FF5" s="138" t="s">
        <v>91</v>
      </c>
      <c r="FG5" s="126" t="e">
        <f>MINA(FG10:FG316)</f>
        <v>#REF!</v>
      </c>
      <c r="FH5" s="130" t="e">
        <f>MINA(FH10:FH316)</f>
        <v>#REF!</v>
      </c>
      <c r="FI5" s="130" t="e">
        <f>MINA(FI10:FI316)</f>
        <v>#REF!</v>
      </c>
      <c r="FJ5" s="126" t="e">
        <f>MINA(FJ10:FJ316)</f>
        <v>#REF!</v>
      </c>
      <c r="FK5" s="119"/>
      <c r="FL5" s="138" t="s">
        <v>91</v>
      </c>
      <c r="FM5" s="126" t="e">
        <f>MINA(FM10:FM316)</f>
        <v>#REF!</v>
      </c>
      <c r="FN5" s="130" t="e">
        <f>MINA(FN10:FN316)</f>
        <v>#REF!</v>
      </c>
      <c r="FO5" s="130" t="e">
        <f>MINA(FO10:FO316)</f>
        <v>#REF!</v>
      </c>
      <c r="FP5" s="130" t="e">
        <f>MINA(FP10:FP316)</f>
        <v>#REF!</v>
      </c>
      <c r="FQ5" s="126" t="e">
        <f>MINA(FQ10:FQ316)</f>
        <v>#REF!</v>
      </c>
      <c r="FR5" s="119"/>
      <c r="FS5" s="138" t="s">
        <v>91</v>
      </c>
      <c r="FT5" s="126" t="e">
        <f>MINA(FT10:FT316)</f>
        <v>#REF!</v>
      </c>
      <c r="FU5" s="130" t="e">
        <f>MINA(FU10:FU316)</f>
        <v>#REF!</v>
      </c>
      <c r="FV5" s="130" t="e">
        <f>MINA(FV10:FV316)</f>
        <v>#REF!</v>
      </c>
      <c r="FW5" s="126" t="e">
        <f>MINA(FW10:FW316)</f>
        <v>#REF!</v>
      </c>
      <c r="FZ5" s="119" t="s">
        <v>824</v>
      </c>
      <c r="GA5" s="249">
        <f>MINA(GA11:GA145)</f>
        <v>1.7914964302111964</v>
      </c>
      <c r="GB5" s="119">
        <v>2</v>
      </c>
      <c r="GC5" s="440"/>
      <c r="GD5" s="17"/>
      <c r="GE5" s="442"/>
      <c r="GF5" s="462"/>
      <c r="GG5" s="17"/>
      <c r="GH5" s="17"/>
      <c r="GI5" s="17"/>
      <c r="GJ5" s="17"/>
      <c r="GL5" s="17"/>
      <c r="GM5" s="442"/>
      <c r="GN5" s="8"/>
      <c r="GO5" s="8"/>
      <c r="GP5" s="8"/>
      <c r="GQ5" s="8"/>
      <c r="GS5" s="17"/>
      <c r="GT5" s="17"/>
      <c r="GU5" s="17"/>
      <c r="GV5" s="629"/>
      <c r="GW5" s="17"/>
      <c r="GX5" s="17"/>
      <c r="GY5" s="17"/>
      <c r="GZ5" s="17"/>
    </row>
    <row r="6" spans="1:208" ht="21.6" thickBot="1" x14ac:dyDescent="0.45">
      <c r="A6" s="208" t="s">
        <v>194</v>
      </c>
      <c r="B6" s="216"/>
      <c r="K6" s="212" t="s">
        <v>177</v>
      </c>
      <c r="L6" s="212" t="s">
        <v>86</v>
      </c>
      <c r="O6" s="618"/>
      <c r="P6" s="77"/>
      <c r="Q6" s="561" t="s">
        <v>827</v>
      </c>
      <c r="R6" s="562"/>
      <c r="S6" s="563"/>
      <c r="T6" s="564">
        <f>-BY9</f>
        <v>0.5</v>
      </c>
      <c r="U6" s="561" t="s">
        <v>828</v>
      </c>
      <c r="V6" s="625"/>
      <c r="W6" s="235"/>
      <c r="X6" s="622"/>
      <c r="Y6" s="225"/>
      <c r="Z6" s="622"/>
      <c r="AA6" s="622"/>
      <c r="AB6" s="622"/>
      <c r="AC6" s="225"/>
      <c r="AD6" s="225"/>
      <c r="AE6" s="225"/>
      <c r="AF6" s="225"/>
      <c r="AG6" s="622"/>
      <c r="AH6" s="622"/>
      <c r="AI6" s="622"/>
      <c r="AJ6" s="622"/>
      <c r="AK6" s="623"/>
      <c r="AL6" s="43"/>
      <c r="AM6" s="43"/>
      <c r="AN6" s="297">
        <v>1</v>
      </c>
      <c r="AO6" s="298" t="s">
        <v>238</v>
      </c>
      <c r="AP6" s="307"/>
      <c r="AQ6" s="307"/>
      <c r="AR6" s="307"/>
      <c r="AS6" s="307"/>
      <c r="AT6" s="307"/>
      <c r="AU6" s="307"/>
      <c r="AV6" s="299">
        <v>1.05</v>
      </c>
      <c r="AW6" s="298" t="s">
        <v>239</v>
      </c>
      <c r="AX6" s="307"/>
      <c r="AY6" s="307"/>
      <c r="AZ6" s="307"/>
      <c r="BA6" s="307"/>
      <c r="BB6" s="307"/>
      <c r="BC6" s="307"/>
      <c r="BD6" s="308"/>
      <c r="BE6" s="309"/>
      <c r="BF6" s="259"/>
      <c r="BG6" s="94"/>
      <c r="BH6" s="94"/>
      <c r="BI6" s="94"/>
      <c r="BJ6" s="94"/>
      <c r="BK6" s="16"/>
      <c r="BL6" s="263"/>
      <c r="BM6" s="263"/>
      <c r="BN6" s="18"/>
      <c r="BO6" s="10"/>
      <c r="BP6" s="10"/>
      <c r="BR6" s="333"/>
      <c r="BS6" s="333"/>
      <c r="BT6" s="334"/>
      <c r="BU6" s="334" t="s">
        <v>74</v>
      </c>
      <c r="BV6" s="334"/>
      <c r="BW6" s="334"/>
      <c r="BX6" s="334"/>
      <c r="BY6" s="543">
        <v>2</v>
      </c>
      <c r="BZ6" s="326"/>
      <c r="CA6" s="326" t="s">
        <v>249</v>
      </c>
      <c r="CB6" s="332"/>
      <c r="CC6" s="326"/>
      <c r="CD6" s="327"/>
      <c r="CE6" s="328"/>
      <c r="CF6" s="329"/>
      <c r="CG6" s="330" t="s">
        <v>10</v>
      </c>
      <c r="CH6" s="331"/>
      <c r="CI6" s="325" t="s">
        <v>38</v>
      </c>
      <c r="CJ6" s="332"/>
      <c r="CK6" s="328"/>
      <c r="CL6" s="172"/>
      <c r="CM6" s="172"/>
      <c r="CN6" s="172"/>
      <c r="CQ6" s="25"/>
      <c r="CS6" s="210"/>
      <c r="CT6" s="201">
        <v>5</v>
      </c>
      <c r="CU6" s="119"/>
      <c r="CV6" s="124" t="s">
        <v>243</v>
      </c>
      <c r="CW6" s="124" t="s">
        <v>244</v>
      </c>
      <c r="CX6" s="124" t="s">
        <v>244</v>
      </c>
      <c r="CY6" s="124" t="s">
        <v>244</v>
      </c>
      <c r="CZ6" s="126"/>
      <c r="DA6" s="126">
        <f>DA102</f>
        <v>1.1599999999999999</v>
      </c>
      <c r="DB6" s="126">
        <f>DB102</f>
        <v>1.3017543859649123</v>
      </c>
      <c r="DC6" s="155"/>
      <c r="DD6" s="195" t="s">
        <v>67</v>
      </c>
      <c r="DE6" s="126">
        <f>DE102</f>
        <v>1.1499999999999999</v>
      </c>
      <c r="DF6" s="126">
        <f>DF102</f>
        <v>1.03</v>
      </c>
      <c r="DG6" s="126">
        <f>DG102</f>
        <v>1.1399999999999999</v>
      </c>
      <c r="DH6" s="126">
        <f>DH102</f>
        <v>1.19</v>
      </c>
      <c r="DI6" s="130"/>
      <c r="DJ6" s="186" t="s">
        <v>6</v>
      </c>
      <c r="DL6" s="176" t="s">
        <v>107</v>
      </c>
      <c r="DM6" s="128"/>
      <c r="DN6" s="138" t="s">
        <v>92</v>
      </c>
      <c r="DO6" s="127" t="e">
        <f t="shared" ref="DO6:DU6" si="6">MAXA(DO10:DO316)</f>
        <v>#REF!</v>
      </c>
      <c r="DP6" s="131" t="e">
        <f t="shared" si="6"/>
        <v>#REF!</v>
      </c>
      <c r="DQ6" s="131" t="e">
        <f t="shared" si="6"/>
        <v>#REF!</v>
      </c>
      <c r="DR6" s="131" t="e">
        <f t="shared" si="6"/>
        <v>#REF!</v>
      </c>
      <c r="DS6" s="130" t="e">
        <f t="shared" si="6"/>
        <v>#REF!</v>
      </c>
      <c r="DT6" s="126" t="e">
        <f t="shared" si="6"/>
        <v>#REF!</v>
      </c>
      <c r="DU6" s="130" t="e">
        <f t="shared" si="6"/>
        <v>#REF!</v>
      </c>
      <c r="DW6" s="120">
        <v>-0.5</v>
      </c>
      <c r="DX6" s="120">
        <v>0.5</v>
      </c>
      <c r="DZ6" s="120">
        <v>0.9</v>
      </c>
      <c r="EB6" s="120">
        <v>0.9</v>
      </c>
      <c r="ED6" s="127" t="e">
        <f>MAXA(ED10:ED316)</f>
        <v>#REF!</v>
      </c>
      <c r="EE6" s="126" t="e">
        <f>MAXA(EE10:EE316)</f>
        <v>#REF!</v>
      </c>
      <c r="EF6" s="126" t="e">
        <f>MAXA(EF10:EF316)</f>
        <v>#REF!</v>
      </c>
      <c r="EG6" t="e">
        <f>ED6*EE6*EF6</f>
        <v>#REF!</v>
      </c>
      <c r="EH6" s="120">
        <v>0.9</v>
      </c>
      <c r="EJ6" s="127" t="e">
        <f>MAXA(EJ10:EJ316)</f>
        <v>#REF!</v>
      </c>
      <c r="EK6" s="126" t="e">
        <f>MAXA(EK10:EK316)</f>
        <v>#REF!</v>
      </c>
      <c r="EL6" s="126" t="e">
        <f>MAXA(EL10:EL316)</f>
        <v>#REF!</v>
      </c>
      <c r="EM6" s="120">
        <v>1</v>
      </c>
      <c r="EO6" s="127" t="e">
        <f>MAXA(EO10:EO316)</f>
        <v>#REF!</v>
      </c>
      <c r="EP6" s="127" t="e">
        <f>MAXA(EP10:EP316)</f>
        <v>#REF!</v>
      </c>
      <c r="EQ6" s="126" t="e">
        <f>MAXA(EQ10:EQ316)</f>
        <v>#REF!</v>
      </c>
      <c r="ER6" s="126" t="e">
        <f>MAXA(ER10:ER316)</f>
        <v>#REF!</v>
      </c>
      <c r="ES6" s="120">
        <v>-0.3</v>
      </c>
      <c r="EU6" s="127" t="e">
        <f>MAXA(EU10:EU316)</f>
        <v>#REF!</v>
      </c>
      <c r="EV6" s="127" t="e">
        <f>MAXA(EV10:EV316)</f>
        <v>#REF!</v>
      </c>
      <c r="EW6" s="126" t="e">
        <f>MAXA(EW10:EW316)</f>
        <v>#REF!</v>
      </c>
      <c r="EX6" s="126" t="e">
        <f>MAXA(EX10:EX316)</f>
        <v>#REF!</v>
      </c>
      <c r="EY6" s="128"/>
      <c r="FA6" s="127" t="e">
        <f>MAXA(FA10:FA316)</f>
        <v>#REF!</v>
      </c>
      <c r="FB6" s="127" t="e">
        <f>MAXA(FB10:FB316)</f>
        <v>#REF!</v>
      </c>
      <c r="FC6" s="126" t="e">
        <f>MAXA(FC10:FC316)</f>
        <v>#REF!</v>
      </c>
      <c r="FD6" s="126" t="e">
        <f>MAXA(FD10:FD316)</f>
        <v>#REF!</v>
      </c>
      <c r="FE6" s="128">
        <v>2</v>
      </c>
      <c r="FF6" s="138" t="s">
        <v>92</v>
      </c>
      <c r="FG6" s="127" t="e">
        <f>MAXA(FG10:FG316)</f>
        <v>#REF!</v>
      </c>
      <c r="FH6" s="131" t="e">
        <f>MAXA(FH10:FH316)</f>
        <v>#REF!</v>
      </c>
      <c r="FI6" s="130" t="e">
        <f>MAXA(FI10:FI316)</f>
        <v>#REF!</v>
      </c>
      <c r="FJ6" s="126" t="e">
        <f>MAXA(FJ10:FJ316)</f>
        <v>#REF!</v>
      </c>
      <c r="FK6" s="128"/>
      <c r="FL6" s="138" t="s">
        <v>92</v>
      </c>
      <c r="FM6" s="127" t="e">
        <f>MAXA(FM10:FM316)</f>
        <v>#REF!</v>
      </c>
      <c r="FN6" s="131" t="e">
        <f>MAXA(FN10:FN316)</f>
        <v>#REF!</v>
      </c>
      <c r="FO6" s="131" t="e">
        <f>MAXA(FO10:FO316)</f>
        <v>#REF!</v>
      </c>
      <c r="FP6" s="130" t="e">
        <f>MAXA(FP10:FP316)</f>
        <v>#REF!</v>
      </c>
      <c r="FQ6" s="126" t="e">
        <f>MAXA(FQ10:FQ316)</f>
        <v>#REF!</v>
      </c>
      <c r="FR6" s="128">
        <v>4</v>
      </c>
      <c r="FS6" s="138" t="s">
        <v>92</v>
      </c>
      <c r="FT6" s="126" t="e">
        <f>MAXA(FT10:FT316)</f>
        <v>#REF!</v>
      </c>
      <c r="FU6" s="130" t="e">
        <f>MAXA(FU10:FU316)</f>
        <v>#REF!</v>
      </c>
      <c r="FV6" s="130" t="e">
        <f>MAXA(FV10:FV316)</f>
        <v>#REF!</v>
      </c>
      <c r="FW6" s="126" t="e">
        <f>MAXA(FW10:FW316)</f>
        <v>#REF!</v>
      </c>
      <c r="FZ6" s="119"/>
      <c r="GA6" s="119">
        <v>2</v>
      </c>
      <c r="GB6" s="119"/>
      <c r="GC6" s="440"/>
      <c r="GD6" s="17"/>
      <c r="GE6" s="442"/>
      <c r="GF6" s="462"/>
      <c r="GG6" s="17"/>
      <c r="GH6" s="17"/>
      <c r="GI6" s="17"/>
      <c r="GJ6" s="17"/>
      <c r="GL6" s="17"/>
      <c r="GM6" s="442"/>
      <c r="GN6" s="8"/>
      <c r="GO6" s="8"/>
      <c r="GP6" s="8"/>
      <c r="GQ6" s="8"/>
      <c r="GS6" s="17"/>
      <c r="GT6" s="17"/>
      <c r="GU6" s="17"/>
      <c r="GV6" s="629"/>
      <c r="GW6" s="17"/>
      <c r="GX6" s="17"/>
      <c r="GY6" s="17"/>
      <c r="GZ6" s="17"/>
    </row>
    <row r="7" spans="1:208" ht="21.6" thickBot="1" x14ac:dyDescent="0.45">
      <c r="A7" s="251">
        <f>Skaleringsfaktor</f>
        <v>0.13150000000000001</v>
      </c>
      <c r="B7" s="216"/>
      <c r="H7" s="250"/>
      <c r="J7" s="221"/>
      <c r="K7" s="230">
        <f>J10/AU10^0.667</f>
        <v>10.79057112083734</v>
      </c>
      <c r="L7" s="230">
        <f>J10/AQ10/AQ10</f>
        <v>0.65905707446902628</v>
      </c>
      <c r="O7" s="609" t="s">
        <v>879</v>
      </c>
      <c r="P7" s="609"/>
      <c r="Q7" s="319"/>
      <c r="R7" s="319"/>
      <c r="S7" s="78"/>
      <c r="T7" s="78" t="s">
        <v>74</v>
      </c>
      <c r="U7" s="79"/>
      <c r="V7" s="79"/>
      <c r="W7" s="79"/>
      <c r="X7" s="79"/>
      <c r="Y7" s="79"/>
      <c r="Z7" s="80" t="s">
        <v>249</v>
      </c>
      <c r="AA7" s="80"/>
      <c r="AB7" s="80"/>
      <c r="AC7" s="81"/>
      <c r="AD7" s="540" t="s">
        <v>10</v>
      </c>
      <c r="AE7" s="84"/>
      <c r="AF7" s="80" t="s">
        <v>747</v>
      </c>
      <c r="AG7" s="539"/>
      <c r="AH7" s="82" t="s">
        <v>38</v>
      </c>
      <c r="AI7" s="82"/>
      <c r="AJ7" s="88"/>
      <c r="AK7" s="82"/>
      <c r="AL7" s="239"/>
      <c r="AM7" s="239"/>
      <c r="AN7" s="264"/>
      <c r="AO7" s="284" t="s">
        <v>224</v>
      </c>
      <c r="AP7" s="86" t="s">
        <v>0</v>
      </c>
      <c r="AQ7" s="86"/>
      <c r="AR7" s="86"/>
      <c r="AS7" s="86"/>
      <c r="AT7" s="86"/>
      <c r="AU7" s="86"/>
      <c r="AV7" s="86" t="s">
        <v>77</v>
      </c>
      <c r="AW7" s="86"/>
      <c r="AX7" s="86"/>
      <c r="AY7" s="86"/>
      <c r="AZ7" s="257" t="s">
        <v>197</v>
      </c>
      <c r="BA7" s="86"/>
      <c r="BB7" s="86"/>
      <c r="BC7" s="86"/>
      <c r="BD7" s="94"/>
      <c r="BE7" s="94"/>
      <c r="BF7" s="232">
        <f>1/BF10</f>
        <v>37.738064615384616</v>
      </c>
      <c r="BG7" s="232">
        <f>1/BG10</f>
        <v>73.589225999999996</v>
      </c>
      <c r="BH7" s="232">
        <f>1/BH10</f>
        <v>27.201105000000002</v>
      </c>
      <c r="BI7" s="232">
        <f>1/BI10</f>
        <v>2.8526881720430106</v>
      </c>
      <c r="BJ7" s="232">
        <f>1/BJ10</f>
        <v>5.4695652173913043</v>
      </c>
      <c r="BK7" s="87" t="s">
        <v>1</v>
      </c>
      <c r="BL7" s="264"/>
      <c r="BM7" s="264"/>
      <c r="BN7" s="18"/>
      <c r="BO7" s="10"/>
      <c r="BP7" s="10"/>
      <c r="BR7" s="324"/>
      <c r="BS7" s="324"/>
      <c r="BT7" s="319"/>
      <c r="BU7" s="319"/>
      <c r="BV7" s="319"/>
      <c r="BW7" s="319"/>
      <c r="BX7" s="319"/>
      <c r="BY7" s="598" t="s">
        <v>871</v>
      </c>
      <c r="BZ7" s="321"/>
      <c r="CA7" s="321"/>
      <c r="CB7" s="320"/>
      <c r="CC7" s="321"/>
      <c r="CD7" s="321"/>
      <c r="CE7" s="321"/>
      <c r="CF7" s="322"/>
      <c r="CG7" s="323"/>
      <c r="CH7" s="172"/>
      <c r="CI7" s="320"/>
      <c r="CJ7" s="320"/>
      <c r="CK7" s="321"/>
      <c r="CL7" s="172"/>
      <c r="CM7" s="172"/>
      <c r="CN7" s="172"/>
      <c r="CQ7" s="25"/>
      <c r="CR7" s="197" t="s">
        <v>154</v>
      </c>
      <c r="CS7" s="185"/>
      <c r="CT7" s="185"/>
      <c r="CU7" s="234">
        <f>ROUND(RS1valgt/CU10,4)</f>
        <v>0.13150000000000001</v>
      </c>
      <c r="CV7" s="193">
        <v>200</v>
      </c>
      <c r="CW7" s="192">
        <v>2</v>
      </c>
      <c r="CX7" s="192">
        <v>4</v>
      </c>
      <c r="CY7" s="236">
        <v>8</v>
      </c>
      <c r="CZ7" s="169">
        <f>RS1valgt/0.85</f>
        <v>1.2470588235294118</v>
      </c>
      <c r="DA7" s="153"/>
      <c r="DB7" s="169">
        <f>RS1valgt/1.14</f>
        <v>0.92982456140350889</v>
      </c>
      <c r="DC7" s="164"/>
      <c r="DD7" s="190" t="s">
        <v>134</v>
      </c>
      <c r="DE7" s="181">
        <v>0.85</v>
      </c>
      <c r="DF7" s="181">
        <v>0.85</v>
      </c>
      <c r="DG7" s="181">
        <v>0.85</v>
      </c>
      <c r="DH7" s="13"/>
      <c r="DI7" s="232">
        <f>2.05/DI10</f>
        <v>0.89792116314150372</v>
      </c>
      <c r="DJ7" s="187">
        <v>0</v>
      </c>
      <c r="DL7" s="176" t="s">
        <v>108</v>
      </c>
      <c r="DM7" s="229">
        <f>ROUND(RS1valgt/DM10,3)</f>
        <v>0.124</v>
      </c>
      <c r="DN7" s="138">
        <f>1/DM7</f>
        <v>8.064516129032258</v>
      </c>
      <c r="DO7" s="137"/>
      <c r="DP7" s="129">
        <v>1</v>
      </c>
      <c r="DQ7" s="129"/>
      <c r="DR7" s="129"/>
      <c r="DS7" s="129">
        <v>1</v>
      </c>
      <c r="DT7" s="124"/>
      <c r="DU7" s="129">
        <v>1</v>
      </c>
      <c r="DW7" s="26">
        <f>RS1valgt/DW10</f>
        <v>0.13285724777169339</v>
      </c>
      <c r="DX7" s="26">
        <f>RS1valgt/DX10</f>
        <v>0.48852542150553552</v>
      </c>
      <c r="DZ7" s="26">
        <f>RS1valgt/DZ10</f>
        <v>0.4594816223139207</v>
      </c>
      <c r="EB7" s="26">
        <f>RS1valgt/EB10</f>
        <v>0.31098462411598637</v>
      </c>
      <c r="ED7" s="124"/>
      <c r="EE7" s="124"/>
      <c r="EF7" s="124"/>
      <c r="EH7" s="26">
        <f>RS1valgt/EH10</f>
        <v>0.40148313753779119</v>
      </c>
      <c r="EJ7" s="124"/>
      <c r="EK7" s="124"/>
      <c r="EL7" s="124"/>
      <c r="EM7" s="26">
        <f>RS1valgt/EM10</f>
        <v>0.17826235266570203</v>
      </c>
      <c r="EO7" s="124"/>
      <c r="EP7" s="124"/>
      <c r="EQ7" s="124"/>
      <c r="ER7" s="124"/>
      <c r="ES7" s="26">
        <f>RS1valgt/ES10</f>
        <v>0.80193986549082918</v>
      </c>
      <c r="EU7" s="124"/>
      <c r="EV7" s="124"/>
      <c r="EW7" s="124"/>
      <c r="EX7" s="124"/>
      <c r="EY7" s="26">
        <f>RS1valgt/EY10</f>
        <v>0.336251491782529</v>
      </c>
      <c r="FA7" s="124"/>
      <c r="FB7" s="124"/>
      <c r="FC7" s="124"/>
      <c r="FD7" s="124"/>
      <c r="FE7" s="96">
        <f>ROUND(RS1valgt/FE10,3)</f>
        <v>0.21</v>
      </c>
      <c r="FF7" s="138">
        <f>1/FE7</f>
        <v>4.7619047619047619</v>
      </c>
      <c r="FG7" s="124"/>
      <c r="FH7" s="129"/>
      <c r="FI7" s="129"/>
      <c r="FJ7" s="124"/>
      <c r="FK7" s="96">
        <f>ROUND(RS1valgt/FK10,3)</f>
        <v>0.11899999999999999</v>
      </c>
      <c r="FL7" s="138">
        <f>1/FK7</f>
        <v>8.4033613445378155</v>
      </c>
      <c r="FM7" s="124">
        <v>-0.5</v>
      </c>
      <c r="FN7" s="129"/>
      <c r="FO7" s="129">
        <v>1</v>
      </c>
      <c r="FP7" s="129">
        <v>1</v>
      </c>
      <c r="FQ7" s="124"/>
      <c r="FR7" s="96">
        <f>ROUND(RS1valgt/FR10,3)</f>
        <v>6.4000000000000001E-2</v>
      </c>
      <c r="FS7" s="138">
        <f>1/FR7</f>
        <v>15.625</v>
      </c>
      <c r="FT7" s="124"/>
      <c r="FU7" s="129"/>
      <c r="FV7" s="129"/>
      <c r="FW7" s="124"/>
      <c r="FZ7" s="234"/>
      <c r="GA7" s="234"/>
      <c r="GB7" s="234">
        <f>ROUND(RS1valgt/GB10,4)</f>
        <v>1.0786</v>
      </c>
      <c r="GC7" s="440"/>
      <c r="GD7" s="17"/>
      <c r="GE7" s="442"/>
      <c r="GF7" s="462"/>
      <c r="GG7" s="17"/>
      <c r="GH7" s="17"/>
      <c r="GI7" s="17"/>
      <c r="GJ7" s="17"/>
      <c r="GL7" s="17"/>
      <c r="GM7" s="442"/>
      <c r="GN7" s="8"/>
      <c r="GO7" s="8"/>
      <c r="GP7" s="8"/>
      <c r="GQ7" s="8"/>
      <c r="GS7" s="17"/>
      <c r="GT7" s="17"/>
      <c r="GU7" s="17"/>
      <c r="GV7" s="629"/>
      <c r="GW7" s="17"/>
      <c r="GX7" s="17"/>
      <c r="GY7" s="17"/>
      <c r="GZ7" s="17"/>
    </row>
    <row r="8" spans="1:208" ht="79.95" customHeight="1" x14ac:dyDescent="0.35">
      <c r="A8" s="252" t="s">
        <v>195</v>
      </c>
      <c r="B8" s="217" t="s">
        <v>7</v>
      </c>
      <c r="C8" s="27" t="s">
        <v>8</v>
      </c>
      <c r="D8" s="27"/>
      <c r="E8" s="27"/>
      <c r="F8" s="27"/>
      <c r="G8" s="28" t="s">
        <v>59</v>
      </c>
      <c r="H8" s="149" t="str">
        <f>Versjon</f>
        <v>TBF 2024-62a</v>
      </c>
      <c r="I8" s="624" t="s">
        <v>937</v>
      </c>
      <c r="J8" s="624" t="s">
        <v>936</v>
      </c>
      <c r="K8" s="89" t="s">
        <v>178</v>
      </c>
      <c r="L8" s="89" t="s">
        <v>179</v>
      </c>
      <c r="M8" s="89" t="s">
        <v>253</v>
      </c>
      <c r="N8" s="89" t="s">
        <v>192</v>
      </c>
      <c r="O8" s="31" t="s">
        <v>762</v>
      </c>
      <c r="P8" s="31" t="s">
        <v>720</v>
      </c>
      <c r="Q8" s="31" t="s">
        <v>254</v>
      </c>
      <c r="R8" s="31" t="s">
        <v>157</v>
      </c>
      <c r="S8" s="31" t="s">
        <v>158</v>
      </c>
      <c r="T8" s="31" t="s">
        <v>159</v>
      </c>
      <c r="U8" s="31" t="s">
        <v>160</v>
      </c>
      <c r="V8" s="30" t="s">
        <v>832</v>
      </c>
      <c r="W8" s="30" t="s">
        <v>731</v>
      </c>
      <c r="X8" s="30" t="s">
        <v>722</v>
      </c>
      <c r="Y8" s="30" t="s">
        <v>161</v>
      </c>
      <c r="Z8" s="30" t="s">
        <v>162</v>
      </c>
      <c r="AA8" s="83" t="s">
        <v>163</v>
      </c>
      <c r="AB8" s="83" t="s">
        <v>164</v>
      </c>
      <c r="AC8" s="76" t="s">
        <v>730</v>
      </c>
      <c r="AD8" s="30" t="s">
        <v>165</v>
      </c>
      <c r="AE8" s="83" t="s">
        <v>869</v>
      </c>
      <c r="AF8" s="83" t="s">
        <v>167</v>
      </c>
      <c r="AG8" s="83" t="s">
        <v>836</v>
      </c>
      <c r="AH8" s="638" t="s">
        <v>911</v>
      </c>
      <c r="AI8" s="649" t="s">
        <v>186</v>
      </c>
      <c r="AJ8" s="639" t="s">
        <v>432</v>
      </c>
      <c r="AK8" s="640" t="s">
        <v>433</v>
      </c>
      <c r="AL8" s="639" t="s">
        <v>266</v>
      </c>
      <c r="AM8" s="342" t="s">
        <v>916</v>
      </c>
      <c r="AN8" s="648" t="s">
        <v>917</v>
      </c>
      <c r="AO8" s="285" t="s">
        <v>225</v>
      </c>
      <c r="AP8" s="32" t="s">
        <v>11</v>
      </c>
      <c r="AQ8" s="32" t="s">
        <v>12</v>
      </c>
      <c r="AR8" s="32" t="s">
        <v>13</v>
      </c>
      <c r="AS8" s="32" t="s">
        <v>876</v>
      </c>
      <c r="AT8" s="636" t="s">
        <v>910</v>
      </c>
      <c r="AU8" s="32" t="s">
        <v>663</v>
      </c>
      <c r="AV8" s="32" t="s">
        <v>874</v>
      </c>
      <c r="AW8" s="32" t="s">
        <v>875</v>
      </c>
      <c r="AX8" s="32" t="s">
        <v>890</v>
      </c>
      <c r="AY8" s="32" t="s">
        <v>603</v>
      </c>
      <c r="AZ8" s="32" t="s">
        <v>915</v>
      </c>
      <c r="BA8" s="32" t="s">
        <v>657</v>
      </c>
      <c r="BB8" s="32" t="s">
        <v>656</v>
      </c>
      <c r="BC8" s="32" t="s">
        <v>719</v>
      </c>
      <c r="BD8" s="170" t="s">
        <v>174</v>
      </c>
      <c r="BE8" s="170" t="s">
        <v>175</v>
      </c>
      <c r="BF8" s="173" t="s">
        <v>150</v>
      </c>
      <c r="BG8" s="170" t="s">
        <v>149</v>
      </c>
      <c r="BH8" s="173" t="s">
        <v>151</v>
      </c>
      <c r="BI8" s="170" t="s">
        <v>152</v>
      </c>
      <c r="BJ8" s="170" t="s">
        <v>153</v>
      </c>
      <c r="BK8" s="33" t="s">
        <v>14</v>
      </c>
      <c r="BL8" s="272" t="s">
        <v>199</v>
      </c>
      <c r="BM8" s="273" t="s">
        <v>200</v>
      </c>
      <c r="BN8" s="213" t="s">
        <v>176</v>
      </c>
      <c r="BO8" s="35" t="s">
        <v>125</v>
      </c>
      <c r="BP8" s="431"/>
      <c r="BQ8" s="434"/>
      <c r="BR8" s="324" t="s">
        <v>9</v>
      </c>
      <c r="BS8" s="30" t="s">
        <v>721</v>
      </c>
      <c r="BT8" s="30" t="s">
        <v>156</v>
      </c>
      <c r="BU8" s="37" t="s">
        <v>168</v>
      </c>
      <c r="BV8" s="30" t="s">
        <v>169</v>
      </c>
      <c r="BW8" s="30" t="s">
        <v>159</v>
      </c>
      <c r="BX8" s="37" t="s">
        <v>160</v>
      </c>
      <c r="BY8" s="547" t="s">
        <v>870</v>
      </c>
      <c r="BZ8" s="30" t="s">
        <v>829</v>
      </c>
      <c r="CA8" s="30" t="s">
        <v>723</v>
      </c>
      <c r="CB8" s="37" t="s">
        <v>170</v>
      </c>
      <c r="CC8" s="30" t="s">
        <v>161</v>
      </c>
      <c r="CD8" s="30" t="s">
        <v>162</v>
      </c>
      <c r="CE8" s="30" t="s">
        <v>732</v>
      </c>
      <c r="CF8" s="37" t="s">
        <v>163</v>
      </c>
      <c r="CG8" s="30" t="s">
        <v>164</v>
      </c>
      <c r="CH8" s="30" t="s">
        <v>165</v>
      </c>
      <c r="CI8" s="37" t="s">
        <v>166</v>
      </c>
      <c r="CJ8" s="30" t="s">
        <v>167</v>
      </c>
      <c r="CK8" s="30" t="s">
        <v>171</v>
      </c>
      <c r="CL8" s="37" t="s">
        <v>172</v>
      </c>
      <c r="CM8" s="38"/>
      <c r="CN8" s="37" t="s">
        <v>173</v>
      </c>
      <c r="CO8" s="198" t="s">
        <v>189</v>
      </c>
      <c r="CP8" s="198" t="s">
        <v>76</v>
      </c>
      <c r="CQ8" s="228" t="s">
        <v>182</v>
      </c>
      <c r="CR8" s="198" t="s">
        <v>183</v>
      </c>
      <c r="CS8" s="149"/>
      <c r="CT8" s="149" t="s">
        <v>132</v>
      </c>
      <c r="CU8" s="29" t="s">
        <v>135</v>
      </c>
      <c r="CV8" s="29" t="s">
        <v>133</v>
      </c>
      <c r="CW8" s="29" t="s">
        <v>136</v>
      </c>
      <c r="CX8" s="29" t="s">
        <v>124</v>
      </c>
      <c r="CY8" s="29" t="s">
        <v>185</v>
      </c>
      <c r="CZ8" s="156" t="s">
        <v>139</v>
      </c>
      <c r="DA8" s="156" t="s">
        <v>18</v>
      </c>
      <c r="DB8" s="156" t="s">
        <v>440</v>
      </c>
      <c r="DC8" s="157" t="s">
        <v>1016</v>
      </c>
      <c r="DD8" s="190" t="s">
        <v>134</v>
      </c>
      <c r="DE8" s="182" t="s">
        <v>120</v>
      </c>
      <c r="DF8" s="182" t="s">
        <v>121</v>
      </c>
      <c r="DG8" s="182" t="s">
        <v>118</v>
      </c>
      <c r="DH8" s="149" t="s">
        <v>117</v>
      </c>
      <c r="DI8" s="29" t="s">
        <v>128</v>
      </c>
      <c r="DJ8" s="36">
        <v>1</v>
      </c>
      <c r="DK8" s="27" t="s">
        <v>17</v>
      </c>
      <c r="DM8" s="29" t="s">
        <v>89</v>
      </c>
      <c r="DN8" s="139" t="s">
        <v>96</v>
      </c>
      <c r="DO8" s="29" t="s">
        <v>88</v>
      </c>
      <c r="DP8" s="132" t="s">
        <v>93</v>
      </c>
      <c r="DQ8" s="132" t="s">
        <v>95</v>
      </c>
      <c r="DR8" s="132" t="s">
        <v>97</v>
      </c>
      <c r="DS8" s="132" t="s">
        <v>94</v>
      </c>
      <c r="DT8" s="29" t="s">
        <v>86</v>
      </c>
      <c r="DU8" s="132" t="s">
        <v>103</v>
      </c>
      <c r="DW8" s="29" t="s">
        <v>23</v>
      </c>
      <c r="DX8" s="29" t="s">
        <v>23</v>
      </c>
      <c r="DZ8" s="29" t="s">
        <v>23</v>
      </c>
      <c r="EB8" s="29" t="s">
        <v>23</v>
      </c>
      <c r="ED8" s="29" t="s">
        <v>85</v>
      </c>
      <c r="EE8" s="29" t="s">
        <v>86</v>
      </c>
      <c r="EF8" s="29" t="s">
        <v>87</v>
      </c>
      <c r="EH8" s="29" t="s">
        <v>23</v>
      </c>
      <c r="EJ8" s="29" t="s">
        <v>85</v>
      </c>
      <c r="EK8" s="29" t="s">
        <v>86</v>
      </c>
      <c r="EL8" s="29" t="s">
        <v>87</v>
      </c>
      <c r="EM8" s="29" t="s">
        <v>23</v>
      </c>
      <c r="EO8" s="29" t="s">
        <v>88</v>
      </c>
      <c r="EP8" s="29" t="s">
        <v>85</v>
      </c>
      <c r="EQ8" s="29" t="s">
        <v>87</v>
      </c>
      <c r="ER8" s="29" t="s">
        <v>86</v>
      </c>
      <c r="ES8" s="29" t="s">
        <v>23</v>
      </c>
      <c r="EU8" s="29" t="s">
        <v>88</v>
      </c>
      <c r="EV8" s="29" t="s">
        <v>85</v>
      </c>
      <c r="EW8" s="29" t="s">
        <v>87</v>
      </c>
      <c r="EX8" s="29" t="s">
        <v>86</v>
      </c>
      <c r="EY8" s="29"/>
      <c r="FA8" s="29" t="s">
        <v>88</v>
      </c>
      <c r="FB8" s="29" t="s">
        <v>85</v>
      </c>
      <c r="FC8" s="29" t="s">
        <v>87</v>
      </c>
      <c r="FD8" s="29" t="s">
        <v>86</v>
      </c>
      <c r="FE8" s="29" t="s">
        <v>101</v>
      </c>
      <c r="FF8" s="139" t="s">
        <v>96</v>
      </c>
      <c r="FG8" s="29" t="s">
        <v>98</v>
      </c>
      <c r="FH8" s="132" t="s">
        <v>93</v>
      </c>
      <c r="FI8" s="132" t="s">
        <v>87</v>
      </c>
      <c r="FJ8" s="29" t="s">
        <v>86</v>
      </c>
      <c r="FK8" s="29" t="s">
        <v>100</v>
      </c>
      <c r="FL8" s="139" t="s">
        <v>96</v>
      </c>
      <c r="FM8" s="29" t="s">
        <v>99</v>
      </c>
      <c r="FN8" s="132" t="s">
        <v>93</v>
      </c>
      <c r="FO8" s="132" t="s">
        <v>95</v>
      </c>
      <c r="FP8" s="132" t="s">
        <v>94</v>
      </c>
      <c r="FQ8" s="29" t="s">
        <v>86</v>
      </c>
      <c r="FR8" s="29" t="s">
        <v>101</v>
      </c>
      <c r="FS8" s="139" t="s">
        <v>96</v>
      </c>
      <c r="FT8" s="29" t="s">
        <v>98</v>
      </c>
      <c r="FU8" s="132" t="s">
        <v>93</v>
      </c>
      <c r="FV8" s="132" t="s">
        <v>87</v>
      </c>
      <c r="FW8" s="29" t="s">
        <v>86</v>
      </c>
      <c r="FX8" s="520" t="s">
        <v>684</v>
      </c>
      <c r="FY8" t="s">
        <v>256</v>
      </c>
      <c r="FZ8" s="29" t="s">
        <v>950</v>
      </c>
      <c r="GA8" s="29" t="s">
        <v>948</v>
      </c>
      <c r="GB8" s="29" t="s">
        <v>822</v>
      </c>
      <c r="GC8" s="34" t="s">
        <v>408</v>
      </c>
      <c r="GD8" s="34" t="s">
        <v>2</v>
      </c>
      <c r="GE8" s="443" t="s">
        <v>15</v>
      </c>
      <c r="GF8" s="463" t="s">
        <v>16</v>
      </c>
      <c r="GG8" s="34" t="s">
        <v>409</v>
      </c>
      <c r="GH8" s="34" t="s">
        <v>412</v>
      </c>
      <c r="GI8" s="34" t="s">
        <v>413</v>
      </c>
      <c r="GJ8" s="34" t="s">
        <v>414</v>
      </c>
      <c r="GL8" s="435" t="s">
        <v>418</v>
      </c>
      <c r="GM8" s="443" t="s">
        <v>15</v>
      </c>
      <c r="GN8" s="34" t="s">
        <v>16</v>
      </c>
      <c r="GO8" s="34" t="s">
        <v>409</v>
      </c>
      <c r="GP8" s="34" t="s">
        <v>412</v>
      </c>
      <c r="GQ8" s="34" t="s">
        <v>413</v>
      </c>
      <c r="GS8" s="34" t="s">
        <v>488</v>
      </c>
      <c r="GT8" s="34" t="s">
        <v>361</v>
      </c>
      <c r="GU8" s="34" t="s">
        <v>360</v>
      </c>
      <c r="GV8" s="630" t="s">
        <v>427</v>
      </c>
      <c r="GW8" s="34" t="s">
        <v>366</v>
      </c>
      <c r="GX8" s="34" t="s">
        <v>372</v>
      </c>
      <c r="GY8" s="34" t="s">
        <v>370</v>
      </c>
      <c r="GZ8" s="34" t="s">
        <v>554</v>
      </c>
    </row>
    <row r="9" spans="1:208" x14ac:dyDescent="0.3">
      <c r="A9" s="208"/>
      <c r="B9" s="216"/>
      <c r="K9" s="610"/>
      <c r="L9" s="610"/>
      <c r="N9" s="611"/>
      <c r="O9" s="535">
        <f t="shared" ref="O9:U9" si="7">BR9</f>
        <v>0.05</v>
      </c>
      <c r="P9" s="535">
        <f>BS9</f>
        <v>0.5</v>
      </c>
      <c r="Q9" s="535">
        <f t="shared" si="7"/>
        <v>1</v>
      </c>
      <c r="R9" s="535">
        <f t="shared" si="7"/>
        <v>1</v>
      </c>
      <c r="S9" s="535">
        <f t="shared" si="7"/>
        <v>1</v>
      </c>
      <c r="T9" s="535">
        <f t="shared" si="7"/>
        <v>1</v>
      </c>
      <c r="U9" s="535">
        <f t="shared" si="7"/>
        <v>1</v>
      </c>
      <c r="V9" s="535">
        <f t="shared" ref="V9:Z9" si="8">BZ9</f>
        <v>0.6</v>
      </c>
      <c r="W9" s="535">
        <f t="shared" si="8"/>
        <v>0.6</v>
      </c>
      <c r="X9" s="535">
        <f t="shared" si="8"/>
        <v>0.8</v>
      </c>
      <c r="Y9" s="535">
        <f t="shared" si="8"/>
        <v>0.78</v>
      </c>
      <c r="Z9" s="535">
        <f t="shared" si="8"/>
        <v>0.76</v>
      </c>
      <c r="AA9" s="535">
        <f>CF9</f>
        <v>0.4</v>
      </c>
      <c r="AB9" s="535">
        <f>CG9</f>
        <v>0.4</v>
      </c>
      <c r="AC9" s="535">
        <f>CE9</f>
        <v>0.6</v>
      </c>
      <c r="AD9" s="535">
        <f t="shared" ref="AD9:AG9" si="9">CH9</f>
        <v>0.4</v>
      </c>
      <c r="AE9" s="535">
        <f t="shared" si="9"/>
        <v>0.95</v>
      </c>
      <c r="AF9" s="535">
        <f t="shared" si="9"/>
        <v>0.93</v>
      </c>
      <c r="AG9" s="535">
        <f t="shared" si="9"/>
        <v>0.71249999999999991</v>
      </c>
      <c r="AH9" s="237"/>
      <c r="AI9" s="237"/>
      <c r="AJ9" s="237"/>
      <c r="AK9" s="338"/>
      <c r="AL9" s="237"/>
      <c r="AM9" s="338"/>
      <c r="AN9" s="296"/>
      <c r="AO9" s="295"/>
      <c r="AP9" s="305"/>
      <c r="AQ9" s="305"/>
      <c r="AR9" s="305"/>
      <c r="AS9" s="305"/>
      <c r="AT9" s="305"/>
      <c r="AU9" s="305"/>
      <c r="AV9" s="296"/>
      <c r="AW9" s="295"/>
      <c r="AX9" s="305"/>
      <c r="AY9" s="305"/>
      <c r="AZ9" s="305"/>
      <c r="BA9" s="305"/>
      <c r="BB9" s="305"/>
      <c r="BC9" s="305"/>
      <c r="BD9" s="263"/>
      <c r="BE9" s="263"/>
      <c r="BF9" s="259"/>
      <c r="BG9" s="94"/>
      <c r="BH9" s="94"/>
      <c r="BI9" s="94"/>
      <c r="BJ9" s="94"/>
      <c r="BK9" s="16"/>
      <c r="BL9" s="263"/>
      <c r="BM9" s="263"/>
      <c r="BN9" s="510"/>
      <c r="BO9" s="240"/>
      <c r="BP9" s="511" t="s">
        <v>250</v>
      </c>
      <c r="BQ9" s="511"/>
      <c r="BR9" s="188">
        <v>0.05</v>
      </c>
      <c r="BS9" s="188">
        <v>0.5</v>
      </c>
      <c r="BT9" s="188">
        <v>1</v>
      </c>
      <c r="BU9" s="188">
        <v>1</v>
      </c>
      <c r="BV9" s="188">
        <v>1</v>
      </c>
      <c r="BW9" s="188">
        <v>1</v>
      </c>
      <c r="BX9" s="188">
        <v>1</v>
      </c>
      <c r="BY9" s="548">
        <v>-0.5</v>
      </c>
      <c r="BZ9" s="188">
        <v>0.6</v>
      </c>
      <c r="CA9" s="188">
        <v>0.6</v>
      </c>
      <c r="CB9" s="188">
        <v>0.8</v>
      </c>
      <c r="CC9" s="188">
        <v>0.78</v>
      </c>
      <c r="CD9" s="188">
        <v>0.76</v>
      </c>
      <c r="CE9" s="188">
        <v>0.6</v>
      </c>
      <c r="CF9" s="188">
        <v>0.4</v>
      </c>
      <c r="CG9" s="188">
        <v>0.4</v>
      </c>
      <c r="CH9" s="188">
        <v>0.4</v>
      </c>
      <c r="CI9" s="188">
        <v>0.95</v>
      </c>
      <c r="CJ9" s="188">
        <v>0.93</v>
      </c>
      <c r="CK9" s="188">
        <f>CE9/CB9*CI9</f>
        <v>0.71249999999999991</v>
      </c>
      <c r="CL9" s="20"/>
      <c r="CN9" s="21"/>
      <c r="CQ9" s="25"/>
      <c r="CS9" s="310"/>
      <c r="CT9" s="310"/>
      <c r="CU9" s="99"/>
      <c r="CV9" s="311"/>
      <c r="CW9" s="312"/>
      <c r="CX9" s="312"/>
      <c r="CY9" s="313"/>
      <c r="CZ9" s="126"/>
      <c r="DA9" s="126"/>
      <c r="DB9" s="126"/>
      <c r="DC9" s="154"/>
      <c r="DD9" s="194"/>
      <c r="DE9" s="126"/>
      <c r="DF9" s="126"/>
      <c r="DG9" s="126"/>
      <c r="DH9" s="126"/>
      <c r="DI9" s="130"/>
      <c r="DJ9" s="314"/>
      <c r="DL9" s="176"/>
      <c r="DM9" s="315"/>
      <c r="DN9" s="138"/>
      <c r="DO9" s="127"/>
      <c r="DP9" s="131"/>
      <c r="DQ9" s="131"/>
      <c r="DR9" s="131"/>
      <c r="DS9" s="130"/>
      <c r="DT9" s="126"/>
      <c r="DU9" s="130"/>
      <c r="DW9" s="99"/>
      <c r="DX9" s="99"/>
      <c r="DZ9" s="99"/>
      <c r="EB9" s="99"/>
      <c r="ED9" s="127"/>
      <c r="EE9" s="126"/>
      <c r="EF9" s="126"/>
      <c r="EH9" s="99"/>
      <c r="EJ9" s="127"/>
      <c r="EK9" s="126"/>
      <c r="EL9" s="126"/>
      <c r="EM9" s="99"/>
      <c r="EO9" s="127"/>
      <c r="EP9" s="127"/>
      <c r="EQ9" s="126"/>
      <c r="ER9" s="126"/>
      <c r="ES9" s="99"/>
      <c r="EU9" s="127"/>
      <c r="EV9" s="127"/>
      <c r="EW9" s="126"/>
      <c r="EX9" s="126"/>
      <c r="EY9" s="315"/>
      <c r="FA9" s="127"/>
      <c r="FB9" s="127"/>
      <c r="FC9" s="126"/>
      <c r="FD9" s="126"/>
      <c r="FE9" s="315"/>
      <c r="FF9" s="138"/>
      <c r="FG9" s="127"/>
      <c r="FH9" s="131"/>
      <c r="FI9" s="130"/>
      <c r="FJ9" s="126"/>
      <c r="FK9" s="315"/>
      <c r="FL9" s="138"/>
      <c r="FM9" s="127"/>
      <c r="FN9" s="131"/>
      <c r="FO9" s="131"/>
      <c r="FP9" s="130"/>
      <c r="FQ9" s="126"/>
      <c r="FR9" s="315"/>
      <c r="FS9" s="138"/>
      <c r="FT9" s="126"/>
      <c r="FU9" s="130"/>
      <c r="FV9" s="130"/>
      <c r="FW9" s="126"/>
      <c r="FZ9" s="99"/>
      <c r="GA9" s="99"/>
      <c r="GB9" s="99"/>
      <c r="GC9" s="440"/>
      <c r="GD9" s="17"/>
      <c r="GE9" s="442"/>
      <c r="GF9" s="7"/>
      <c r="GG9" s="7"/>
      <c r="GH9" s="7"/>
      <c r="GI9" s="7"/>
      <c r="GJ9" s="7"/>
      <c r="GL9" s="17"/>
      <c r="GM9" s="442"/>
      <c r="GN9" s="7"/>
      <c r="GO9" s="7"/>
      <c r="GP9" s="7"/>
      <c r="GQ9" s="7"/>
      <c r="GS9" s="7"/>
      <c r="GT9" s="7"/>
      <c r="GU9" s="7"/>
      <c r="GV9" s="631"/>
      <c r="GW9" s="7"/>
      <c r="GX9" s="7"/>
      <c r="GY9" s="7"/>
      <c r="GZ9" s="7"/>
    </row>
    <row r="10" spans="1:208" ht="26.4" x14ac:dyDescent="0.3">
      <c r="A10" s="189" t="s">
        <v>130</v>
      </c>
      <c r="B10" s="218">
        <f t="shared" ref="B10:B288" si="10">Loa/0.3048</f>
        <v>45.767716535433067</v>
      </c>
      <c r="C10" s="14" t="s">
        <v>19</v>
      </c>
      <c r="G10" s="39" t="s">
        <v>20</v>
      </c>
      <c r="H10" s="227">
        <v>1.06</v>
      </c>
      <c r="I10" s="63">
        <f>COUNTA(O10:AG10)</f>
        <v>5</v>
      </c>
      <c r="J10" s="222">
        <f>SUM(O10:AG10)</f>
        <v>104.3</v>
      </c>
      <c r="K10" s="116">
        <f>Seilareal/Depl^0.667/K$7</f>
        <v>1</v>
      </c>
      <c r="L10" s="116">
        <f>Seilareal/Lwl/Lwl/L$7</f>
        <v>1</v>
      </c>
      <c r="M10" s="92">
        <f>RiggF</f>
        <v>0.72147651006711422</v>
      </c>
      <c r="N10" s="242">
        <f>StHfaktor</f>
        <v>0.97812643464998594</v>
      </c>
      <c r="O10" s="225"/>
      <c r="P10" s="225"/>
      <c r="Q10" s="225"/>
      <c r="R10" s="225">
        <v>23</v>
      </c>
      <c r="S10" s="225"/>
      <c r="T10" s="225"/>
      <c r="U10" s="225">
        <v>19.3</v>
      </c>
      <c r="V10" s="225"/>
      <c r="W10" s="225"/>
      <c r="X10" s="225">
        <v>40</v>
      </c>
      <c r="Y10" s="225"/>
      <c r="Z10" s="225"/>
      <c r="AA10" s="225">
        <v>13</v>
      </c>
      <c r="AB10" s="225"/>
      <c r="AC10" s="225">
        <v>9</v>
      </c>
      <c r="AD10" s="225"/>
      <c r="AE10" s="225"/>
      <c r="AF10" s="225"/>
      <c r="AG10" s="225"/>
      <c r="AH10" s="238"/>
      <c r="AI10" s="238">
        <v>10.54</v>
      </c>
      <c r="AJ10" s="265"/>
      <c r="AK10" s="339"/>
      <c r="AL10" s="265"/>
      <c r="AM10" s="339"/>
      <c r="AN10" s="265" t="s">
        <v>233</v>
      </c>
      <c r="AO10" s="45">
        <f>VLOOKUP(AN10,Skrogform!$1:$1048576,3,FALSE)</f>
        <v>0.97</v>
      </c>
      <c r="AP10" s="41">
        <v>13.95</v>
      </c>
      <c r="AQ10" s="41">
        <v>12.58</v>
      </c>
      <c r="AR10" s="41">
        <v>4.6500000000000004</v>
      </c>
      <c r="AS10" s="41">
        <v>2.2999999999999998</v>
      </c>
      <c r="AT10" s="41"/>
      <c r="AU10" s="654">
        <v>30</v>
      </c>
      <c r="AV10" s="41">
        <v>5.5</v>
      </c>
      <c r="AW10" s="41">
        <v>4.2</v>
      </c>
      <c r="AX10" s="255">
        <v>300</v>
      </c>
      <c r="AY10" s="255">
        <v>120</v>
      </c>
      <c r="AZ10" s="255">
        <v>500</v>
      </c>
      <c r="BA10" s="255"/>
      <c r="BB10" s="255"/>
      <c r="BC10" s="159">
        <f>Depl+Diesel/1000*0.84+Vann/1000</f>
        <v>30</v>
      </c>
      <c r="BD10" s="95">
        <f>Bredde/(Loa+Lwl)*2</f>
        <v>0.35054655107425559</v>
      </c>
      <c r="BE10" s="95">
        <f>(Kjøl+Ballast)/Depl</f>
        <v>0.32333333333333331</v>
      </c>
      <c r="BF10" s="232">
        <f>(Depl-Kjøl-Ballast-VektMotor/1000-VektAnnet/1000)/Lwl/Lwl/Bredde</f>
        <v>2.6498444215189869E-2</v>
      </c>
      <c r="BG10" s="232">
        <f>(Depl/Loa/Lwl/Lwl)</f>
        <v>1.3588945751379422E-2</v>
      </c>
      <c r="BH10" s="232">
        <f>(Depl/Loa/Lwl/Bredde)</f>
        <v>3.6763212376850131E-2</v>
      </c>
      <c r="BI10" s="232">
        <f>Bredde/(Loa+Lwl)*2</f>
        <v>0.35054655107425559</v>
      </c>
      <c r="BJ10" s="232">
        <f>(Dypg/Lwl)</f>
        <v>0.18282988871224165</v>
      </c>
      <c r="BK10" s="42" t="s">
        <v>21</v>
      </c>
      <c r="BL10" s="265">
        <v>4</v>
      </c>
      <c r="BM10" s="265">
        <v>61</v>
      </c>
      <c r="BN10" s="45">
        <f t="shared" ref="BN10:BN46" si="11">IF((BK10="Fast"),(1.006248-(0.06415*((BM10/100*SQRT(BL10))/POWER(AU10,(1/3))))),1)</f>
        <v>1</v>
      </c>
      <c r="BO10" s="46"/>
      <c r="BP10" s="46"/>
      <c r="BQ10" s="434"/>
      <c r="BR10" s="49">
        <f t="shared" ref="BR10:BX10" si="12">IF(O10=0,0,O10*BR$9)</f>
        <v>0</v>
      </c>
      <c r="BS10" s="49">
        <f t="shared" si="12"/>
        <v>0</v>
      </c>
      <c r="BT10" s="49">
        <f t="shared" si="12"/>
        <v>0</v>
      </c>
      <c r="BU10" s="49">
        <f t="shared" si="12"/>
        <v>23</v>
      </c>
      <c r="BV10" s="49">
        <f t="shared" si="12"/>
        <v>0</v>
      </c>
      <c r="BW10" s="49">
        <f t="shared" si="12"/>
        <v>0</v>
      </c>
      <c r="BX10" s="49">
        <f t="shared" si="12"/>
        <v>19.3</v>
      </c>
      <c r="BY10" s="549">
        <f>IF(COUNT(Q10:U10)&gt;1,MINA(Q10:U10)*BY$9,0)</f>
        <v>-9.65</v>
      </c>
      <c r="BZ10" s="85">
        <f>IF(V10=0,0,V10*BZ$9)</f>
        <v>0</v>
      </c>
      <c r="CA10" s="85">
        <f>IF(W10=0,0,W10*CA$9)</f>
        <v>0</v>
      </c>
      <c r="CB10" s="85">
        <f>IF(X10=0,0,X10*CB$9)</f>
        <v>32</v>
      </c>
      <c r="CC10" s="85">
        <f>IF(Y10=0,0,Y10*CC$9)</f>
        <v>0</v>
      </c>
      <c r="CD10" s="85">
        <f>IF(Z10=0,0,Z10*CD$9)</f>
        <v>0</v>
      </c>
      <c r="CE10" s="196">
        <f>IF(AC10=0,0,AC10*CE$9)</f>
        <v>5.3999999999999995</v>
      </c>
      <c r="CF10" s="85">
        <f>IF(AA10=0,0,AA10*CF$9)</f>
        <v>5.2</v>
      </c>
      <c r="CG10" s="85">
        <f>IF(AB10=0,0,AB10*CG$9)</f>
        <v>0</v>
      </c>
      <c r="CH10" s="196">
        <f>IF(AD10=0,0,AD10*CH$9)</f>
        <v>0</v>
      </c>
      <c r="CI10" s="85">
        <f>IF(AE10=0,0,AE10*CI$9)</f>
        <v>0</v>
      </c>
      <c r="CJ10" s="85">
        <f>IF(AF10=0,0,AF10*CJ$9)</f>
        <v>0</v>
      </c>
      <c r="CK10" s="196">
        <f>IF(AG10=0,0,AG10*CK$9)</f>
        <v>0</v>
      </c>
      <c r="CL10" s="100">
        <f>SUM(BR10:CK10)</f>
        <v>75.250000000000014</v>
      </c>
      <c r="CM10" s="10"/>
      <c r="CN10" s="104">
        <f>J10</f>
        <v>104.3</v>
      </c>
      <c r="CO10" s="101">
        <f>CL10/CN10</f>
        <v>0.72147651006711422</v>
      </c>
      <c r="CP10" s="51">
        <f>Seilareal/Lwl/Lwl</f>
        <v>0.65905707446902628</v>
      </c>
      <c r="CQ10" s="116">
        <f>Seilareal/Depl^0.667/K$7</f>
        <v>1</v>
      </c>
      <c r="CR10" s="51">
        <f>Seilareal/Lwl/Lwl/SApRS1</f>
        <v>1</v>
      </c>
      <c r="CT10" s="202">
        <f>H10*CT4</f>
        <v>106</v>
      </c>
      <c r="CU10" s="233">
        <f>(SaDeplf+LBf)*Lf*Skrogfaktor*PropF*(Mast+1)+ErfaringsF</f>
        <v>8.0628761505016691</v>
      </c>
      <c r="CV10" s="62">
        <f t="shared" ref="CV10:CV84" si="13">IF(SeilBeregnet=0,"-",(SeilBeregnet)^(1/2)*StHfaktor/(Depl+DeplTillegg/1000+Vann/1000+Diesel/1000*0.84)^(1/3))</f>
        <v>2.7246617859584479</v>
      </c>
      <c r="CW10" s="62">
        <f t="shared" ref="CW10:CW201" si="14">IF(SeilBeregnet=0,"-",((Loa+Lwl)/2/Bredde)^(1/CW$7))</f>
        <v>1.6889902818083384</v>
      </c>
      <c r="CX10" s="62">
        <f t="shared" ref="CX10:CX84" si="15">IF(SeilBeregnet=0,"-",(Lwl)^(1/CX$7))</f>
        <v>1.8833028354976902</v>
      </c>
      <c r="CY10" s="107">
        <f t="shared" ref="CY10:CY201" si="16">IF(SeilBeregnet=0,"-",(StH/Lwl)^(1/CY$7))</f>
        <v>0.97812643464998594</v>
      </c>
      <c r="CZ10" s="158"/>
      <c r="DA10" s="158">
        <v>0.85</v>
      </c>
      <c r="DB10" s="158"/>
      <c r="DC10" s="247">
        <v>1.1399999999999999</v>
      </c>
      <c r="DD10" s="190" t="s">
        <v>134</v>
      </c>
      <c r="DE10" s="178"/>
      <c r="DF10" s="178"/>
      <c r="DG10" s="178"/>
      <c r="DH10" s="13"/>
      <c r="DI10" s="233">
        <f>(Dypg/(Lwl+DI$6-Bredde*DI$5))^(1/DI$4)*5</f>
        <v>2.2830512122331386</v>
      </c>
      <c r="DJ10" s="47">
        <f t="shared" ref="DJ10:DJ199" si="17">(Dypg/(Lwl+Bredde+DJ$8)*100)</f>
        <v>12.616566099835435</v>
      </c>
      <c r="DK10" s="48">
        <f t="shared" ref="DK10:DK72" si="18">DJ$7*IF(DJ10&lt;DJ$5,-0.04,IF(DJ10&lt;DJ$5*1.1,-0.03,IF(DJ10&lt;DJ$5*1.2,-0.02,IF(DJ10&lt;DJ$5*1.3,-0.01,0))))</f>
        <v>0</v>
      </c>
      <c r="DM10" s="231">
        <f>(DO:DO+DM$6)*DT:DT*PropF+ErfaringsF+Dyp_F</f>
        <v>8.5203190352438654</v>
      </c>
      <c r="DN10" s="138"/>
      <c r="DO10" s="107">
        <f t="shared" ref="DO10:DO72" si="19">SUM(DP10:DS10)^DO$3+DO$7</f>
        <v>4.5241364663438457</v>
      </c>
      <c r="DP10" s="133">
        <f>IF(SeilBeregnet=0,DP8,(SeilBeregnet^0.5/(Depl^0.3333))^DP$3*DP$7)</f>
        <v>2.7920856587749681</v>
      </c>
      <c r="DQ10" s="133">
        <f>IF(SeilBeregnet=0,DQ8,(SeilBeregnet^0.5/Lwl)^DQ$3*DQ$7)</f>
        <v>0</v>
      </c>
      <c r="DR10" s="133">
        <f>IF(SeilBeregnet=0,DR8,(0.1*Loa/Depl^0.3333)^DR$3*DR$7)</f>
        <v>0</v>
      </c>
      <c r="DS10" s="133">
        <f>IF(SeilBeregnet=0,DS8,((Loa)/Bredde)^DS$3*DS$7)</f>
        <v>1.7320508075688772</v>
      </c>
      <c r="DT10" s="107">
        <f>IF(SeilBeregnet=0,DT8,(Lwl)^DT$3)</f>
        <v>1.8833028354976902</v>
      </c>
      <c r="DU10" s="133">
        <f>IF(SeilBeregnet=0,DU8,(Dypg/Loa)^DU$3*5*DU$7)</f>
        <v>2.0302373751074416</v>
      </c>
      <c r="DW10" s="40">
        <f>(DW$4*(LBf+SaDeplf)*Lf*PropF+DW$6)+ErfaringsF+Dyp_F</f>
        <v>7.9784883232079427</v>
      </c>
      <c r="DX10" s="40">
        <f>(DX$4*SeilBeregnet^0.5/(Depl^0.33333*Bredde*Lwl)^0.3333*((Loa*0.03+Lwl*0.07)^0.33)*PropF+DX$6)+ErfaringsF+Dyp_F</f>
        <v>2.1697949652922803</v>
      </c>
      <c r="DY10" s="121">
        <v>1</v>
      </c>
      <c r="DZ10" s="40">
        <f>(DZ$4*SeilBeregnet^0.5/(Depl^0.33333*Bredde*Lwl)^0.3333*Lwl^0.3333*((Loa+Lwl)/Bredde/6)^0.25*PropF+DZ$6)+ErfaringsF+Dyp_F</f>
        <v>2.3069475437600886</v>
      </c>
      <c r="EB10" s="40">
        <f>(EB$4*ED10*EE10*EF10*PropF+EB$6)+ErfaringsF+Dyp_F</f>
        <v>3.4085286467560438</v>
      </c>
      <c r="ED10" s="107">
        <f>IF(SeilBeregnet=0,ED8,SeilBeregnet^0.5/Depl^0.33333)</f>
        <v>2.7918007802761746</v>
      </c>
      <c r="EE10" s="107">
        <f>IF(SeilBeregnet=0,EE8,Lwl^0.3333)</f>
        <v>2.3255386279619175</v>
      </c>
      <c r="EF10" s="107">
        <f>IF(SeilBeregnet=0,EF8,((Loa+Lwl)/Bredde)^EF$3)</f>
        <v>1.5455073481707255</v>
      </c>
      <c r="EG10">
        <f>ED10*EE10*EF10</f>
        <v>10.034114587024176</v>
      </c>
      <c r="EH10" s="40">
        <f>(EH$4*EJ10*EK10*EL10*PropF+EH$6)+ErfaringsF+Dyp_F</f>
        <v>2.6402105117060448</v>
      </c>
      <c r="EJ10" s="107">
        <f>IF(SeilBeregnet=0,EJ8,SeilBeregnet^0.5/Depl^0.33333)</f>
        <v>2.7918007802761746</v>
      </c>
      <c r="EK10" s="107">
        <f>IF(SeilBeregnet=0,EK8,Lwl^EK$3)</f>
        <v>2.3257152901382043</v>
      </c>
      <c r="EL10" s="107">
        <f>IF(SeilBeregnet=0,EL8,((Loa+Lwl)/Bredde)^EL$3)</f>
        <v>1.7867737200389522</v>
      </c>
      <c r="EM10" s="40">
        <f>(EM$4*EO11+EM$6)*ER11*PropF+ErfaringsF+Dyp_F</f>
        <v>5.9462919912643217</v>
      </c>
      <c r="EO10" s="107">
        <f>IF(SeilBeregnet=0,EO8,(EP10*EQ10)^EO$3)</f>
        <v>4.3147486205455934</v>
      </c>
      <c r="EP10" s="107">
        <f>IF(SeilBeregnet=0,EP8,SeilBeregnet^0.5/Depl^0.33333)</f>
        <v>2.7918007802761746</v>
      </c>
      <c r="EQ10" s="107">
        <f>IF(SeilBeregnet=0,EQ8,((Loa+Lwl)/Bredde)^EQ$3)</f>
        <v>1.5455073481707255</v>
      </c>
      <c r="ER10" s="107">
        <f>IF(SeilBeregnet=0,ER8,Lwl^ER$3)</f>
        <v>1.8833028354976902</v>
      </c>
      <c r="ES10" s="40">
        <f>(ES$4*EU11+ES$6)*EX11*PropF+ErfaringsF+Dyp_F</f>
        <v>1.3217948696829338</v>
      </c>
      <c r="EU10" s="107">
        <f>IF(SeilBeregnet=0,EU8,(EV:EV*EW:EW)^EU$3)</f>
        <v>1.6603851594294992</v>
      </c>
      <c r="EV10" s="107">
        <f>IF(SeilBeregnet=0,EV8,SeilBeregnet^0.5/Depl^0.33333)</f>
        <v>2.7918007802761746</v>
      </c>
      <c r="EW10" s="107">
        <f>IF(SeilBeregnet=0,EW8,((Loa+Lwl)/Bredde/6)^EW$3)</f>
        <v>0.98749126267562803</v>
      </c>
      <c r="EX10" s="107">
        <f>IF(SeilBeregnet=0,EX8,(Lwl*0.7+Loa*0.3)^EX$3)</f>
        <v>1.8985001932932792</v>
      </c>
      <c r="EY10" s="40">
        <f>(FA:FA+EY$6)*FD:FD*PropF+ErfaringsF+Dyp_F</f>
        <v>3.1524023711560401</v>
      </c>
      <c r="FA10" s="107">
        <f t="shared" ref="FA10:FA41" si="20">(FB:FB*FC:FC)^FA$3</f>
        <v>1.6604698710552401</v>
      </c>
      <c r="FB10" s="107">
        <f>IF(SeilBeregnet=0,FB8,SeilBeregnet^0.5/Depl^0.3333)</f>
        <v>2.7920856587749681</v>
      </c>
      <c r="FC10" s="107">
        <f>IF(SeilBeregnet=0,FC8,((Loa+Lwl)/Bredde/6)^FC$3)</f>
        <v>0.98749126267562803</v>
      </c>
      <c r="FD10" s="107">
        <f>IF(SeilBeregnet=0,FD8,(Lwl*0.7+Loa*0.3)^FD$3)</f>
        <v>1.8985001932932792</v>
      </c>
      <c r="FE10" s="40">
        <f>(FG:FG+FE$6)*FJ:FJ*PropF+ErfaringsF+Dyp_F</f>
        <v>5.0419483546731918</v>
      </c>
      <c r="FF10" s="138"/>
      <c r="FG10" s="107">
        <f t="shared" ref="FG10:FG41" si="21">(FH:FH*FI:FI)^FG$3</f>
        <v>2.7226716000707292</v>
      </c>
      <c r="FH10" s="133">
        <f>IF(SeilBeregnet=0,FH8,(SeilBeregnet^0.5/(Depl^0.3333))^FH$3)</f>
        <v>2.7920856587749681</v>
      </c>
      <c r="FI10" s="133">
        <f>IF(SeilBeregnet=0,FI8,((Loa+Lwl)/Bredde/6)^FI$3)</f>
        <v>0.97513899386070613</v>
      </c>
      <c r="FJ10" s="107">
        <f>IF(SeilBeregnet=0,FJ8,(Lwl*0.07+Loa*0.03)^FJ$3)</f>
        <v>1.0676051145706766</v>
      </c>
      <c r="FK10" s="40">
        <f>(FM:FM+FK$6)*FQ:FQ*PropF+ErfaringsF+Dyp_F</f>
        <v>8.8773195654792829</v>
      </c>
      <c r="FL10" s="138"/>
      <c r="FM10" s="107">
        <f t="shared" ref="FM10:FM41" si="22">(FN:FN+FO:FO+FP:FP)^FM$3+FM$7</f>
        <v>4.7136973396704533</v>
      </c>
      <c r="FN10" s="133">
        <f>IF(SeilBeregnet=0,FN8,(SeilBeregnet^0.5/(Depl^0.3333))^FN$3)</f>
        <v>2.7920856587749681</v>
      </c>
      <c r="FO10" s="133">
        <f>IF(SeilBeregnet=0,FO8,(SeilBeregnet^0.5/Lwl*FO$7)^FO$3)</f>
        <v>0.68956087332660876</v>
      </c>
      <c r="FP10" s="133">
        <f>IF(SeilBeregnet=0,FP8,((Loa)/Bredde)^FP$3*FP$7)</f>
        <v>1.7320508075688772</v>
      </c>
      <c r="FQ10" s="107">
        <f>IF(SeilBeregnet=0,FQ8,(Lwl)^FQ$3)</f>
        <v>1.8833028354976902</v>
      </c>
      <c r="FR10" s="40">
        <f>(FT:FT+FR$6)*FW:FW*PropF+ErfaringsF+Dyp_F</f>
        <v>16.640928301236301</v>
      </c>
      <c r="FS10" s="138"/>
      <c r="FT10" s="107">
        <f t="shared" ref="FT10:FT41" si="23">(FU:FU*FV:FV)^FT$3</f>
        <v>4.8360342200826638</v>
      </c>
      <c r="FU10" s="133">
        <f>IF(SeilBeregnet=0,FU8,(SeilBeregnet^0.5/(Depl^0.3333))^FU$3)</f>
        <v>2.7920856587749681</v>
      </c>
      <c r="FV10" s="133">
        <f>IF(SeilBeregnet=0,FV8,(Loa/Bredde)^FV$3)</f>
        <v>1.7320508075688772</v>
      </c>
      <c r="FW10" s="107">
        <f>IF(SeilBeregnet=0,FW8,Lwl^FW$3)</f>
        <v>1.8833028354976902</v>
      </c>
      <c r="FZ10" s="233"/>
      <c r="GA10" s="233"/>
      <c r="GB10" s="233">
        <f>(((SeilBeregnet*StHfaktor)/(Depl+DeplTillegg/1000+Vann/1000+Diesel/1000*0.84))^(1/3)/Bredde)^(1/GB$5)*Lwl^(1/GB$4)*Skrogfaktor*PropF*(Mast+1)+ErfaringsF</f>
        <v>0.98276084339765024</v>
      </c>
    </row>
    <row r="11" spans="1:208" ht="15.6" x14ac:dyDescent="0.3">
      <c r="A11" s="52" t="s">
        <v>26</v>
      </c>
      <c r="B11" s="218">
        <f t="shared" ref="B11" si="24">Loa/0.3048</f>
        <v>45.767716535433067</v>
      </c>
      <c r="C11" s="53" t="s">
        <v>19</v>
      </c>
      <c r="D11" s="53"/>
      <c r="E11" s="53"/>
      <c r="F11" s="53"/>
      <c r="G11" s="67" t="s">
        <v>20</v>
      </c>
      <c r="H11" s="112">
        <f>J12</f>
        <v>110</v>
      </c>
      <c r="I11" s="601">
        <f>H12/100</f>
        <v>1.075</v>
      </c>
      <c r="J11" s="651">
        <f>IF(DC12=0,"-",DC12)</f>
        <v>1.1599999999999999</v>
      </c>
      <c r="K11" s="123" t="str">
        <f>A11</f>
        <v>RS 1 Colin Archer</v>
      </c>
      <c r="L11" s="116"/>
      <c r="M11" s="116"/>
      <c r="N11" s="92"/>
      <c r="O11" s="165"/>
      <c r="P11" s="165"/>
      <c r="Q11" s="165">
        <v>53</v>
      </c>
      <c r="R11" s="165">
        <v>25.8</v>
      </c>
      <c r="S11" s="165">
        <v>15.5</v>
      </c>
      <c r="T11" s="165"/>
      <c r="U11" s="165">
        <v>19.3</v>
      </c>
      <c r="V11" s="559"/>
      <c r="W11" s="559"/>
      <c r="X11" s="165">
        <v>40</v>
      </c>
      <c r="Y11" s="165"/>
      <c r="Z11" s="165"/>
      <c r="AA11" s="165">
        <v>15.9</v>
      </c>
      <c r="AB11" s="165"/>
      <c r="AC11" s="165">
        <v>9</v>
      </c>
      <c r="AD11" s="165"/>
      <c r="AE11" s="165"/>
      <c r="AF11" s="165"/>
      <c r="AG11" s="165"/>
      <c r="AH11" s="244">
        <v>6.28</v>
      </c>
      <c r="AI11" s="244">
        <v>10.54</v>
      </c>
      <c r="AJ11" s="268" t="s">
        <v>650</v>
      </c>
      <c r="AK11" s="339"/>
      <c r="AL11" s="268"/>
      <c r="AM11" s="339"/>
      <c r="AN11" s="268" t="s">
        <v>233</v>
      </c>
      <c r="AO11" s="45">
        <f>VLOOKUP(AN11,Skrogform!$1:$1048576,3,FALSE)</f>
        <v>0.97</v>
      </c>
      <c r="AP11" s="55">
        <f>AP10</f>
        <v>13.95</v>
      </c>
      <c r="AQ11" s="55">
        <v>12.58</v>
      </c>
      <c r="AR11" s="55">
        <v>4.6500000000000004</v>
      </c>
      <c r="AS11" s="55">
        <v>2.2999999999999998</v>
      </c>
      <c r="AT11" s="637">
        <v>30</v>
      </c>
      <c r="AU11" s="653">
        <f>AU10+AW11-AW10</f>
        <v>29.599999999999998</v>
      </c>
      <c r="AV11" s="55">
        <v>5.5</v>
      </c>
      <c r="AW11" s="171">
        <v>3.8</v>
      </c>
      <c r="AX11" s="254">
        <v>300</v>
      </c>
      <c r="AY11" s="253">
        <v>120</v>
      </c>
      <c r="AZ11" s="254">
        <v>500</v>
      </c>
      <c r="BA11" s="253">
        <v>200</v>
      </c>
      <c r="BB11" s="253">
        <v>300</v>
      </c>
      <c r="BC11" s="244">
        <f>Depl+Diesel/1000*0.84+Vann/1000</f>
        <v>30.051999999999996</v>
      </c>
      <c r="BD11" s="95">
        <f>Bredde/(Loa+Lwl)*2</f>
        <v>0.35054655107425559</v>
      </c>
      <c r="BE11" s="95">
        <f>(Kjøl+Ballast)/Depl</f>
        <v>0.31418918918918926</v>
      </c>
      <c r="BF11" s="627">
        <f>BF$7*((Depl-Kjøl-Ballast-VektMotor/1000-VektAnnet/1000)/Lwl/Lwl/Bredde)</f>
        <v>0.99999999999999967</v>
      </c>
      <c r="BG11" s="95">
        <f>BG$7*(Depl/Loa/Lwl/Lwl)</f>
        <v>0.98666666666666658</v>
      </c>
      <c r="BH11" s="174">
        <f>BH$7*(Depl/Loa/Lwl/Bredde)</f>
        <v>0.98666666666666669</v>
      </c>
      <c r="BI11" s="95">
        <f>BI$7*Bredde/(Loa+Lwl)*2</f>
        <v>1</v>
      </c>
      <c r="BJ11" s="95">
        <f>BJ$7*(Dypg/Lwl)</f>
        <v>1</v>
      </c>
      <c r="BK11" s="68" t="s">
        <v>21</v>
      </c>
      <c r="BL11" s="266">
        <v>4</v>
      </c>
      <c r="BM11" s="266">
        <v>61</v>
      </c>
      <c r="BN11" s="45">
        <f t="shared" si="11"/>
        <v>1</v>
      </c>
      <c r="BO11" s="59"/>
      <c r="BP11" s="59"/>
      <c r="BR11" s="209"/>
      <c r="BS11" s="209"/>
      <c r="BT11" s="209" t="str">
        <f>$A11</f>
        <v>RS 1 Colin Archer</v>
      </c>
      <c r="BU11" s="10"/>
      <c r="BV11" s="10"/>
      <c r="BW11" s="10"/>
      <c r="BX11" s="10"/>
      <c r="BY11" s="549"/>
      <c r="BZ11" s="10"/>
      <c r="CA11" s="10"/>
      <c r="CB11" s="209" t="str">
        <f>$A11</f>
        <v>RS 1 Colin Archer</v>
      </c>
      <c r="CC11" s="10"/>
      <c r="CD11" s="10"/>
      <c r="CE11" s="10"/>
      <c r="CF11" s="10"/>
      <c r="CG11" s="10"/>
      <c r="CH11" s="10"/>
      <c r="CI11" s="10"/>
      <c r="CJ11" s="10"/>
      <c r="CK11" s="10"/>
      <c r="CL11" s="209"/>
      <c r="CM11" s="10"/>
      <c r="CN11" s="209" t="str">
        <f>$A11</f>
        <v>RS 1 Colin Archer</v>
      </c>
      <c r="CO11" s="207"/>
      <c r="CP11" s="207"/>
      <c r="CQ11" s="116"/>
      <c r="CR11" s="207"/>
      <c r="CS11" s="203"/>
      <c r="CT11" s="203" t="s">
        <v>23</v>
      </c>
      <c r="CU11" s="107"/>
      <c r="CV11" s="62" t="str">
        <f t="shared" si="13"/>
        <v>-</v>
      </c>
      <c r="CW11" s="62" t="str">
        <f>IF(SeilBeregnet=0,"-",((Loa+Lwl)/2/Bredde)^(1/CW$7))</f>
        <v>-</v>
      </c>
      <c r="CX11" s="62" t="str">
        <f>IF(SeilBeregnet=0,"-",(Lwl)^(1/CX$7))</f>
        <v>-</v>
      </c>
      <c r="CY11" s="107" t="str">
        <f>IF(SeilBeregnet=0,"-",(StH/Lwl)^(1/CY$7))</f>
        <v>-</v>
      </c>
      <c r="CZ11" s="168"/>
      <c r="DA11" s="158">
        <v>0.86</v>
      </c>
      <c r="DB11" s="168"/>
      <c r="DC11" s="160">
        <v>1.1599999999999999</v>
      </c>
      <c r="DD11" s="190" t="s">
        <v>134</v>
      </c>
      <c r="DE11" s="29" t="s">
        <v>23</v>
      </c>
      <c r="DF11" s="29" t="s">
        <v>23</v>
      </c>
      <c r="DG11" s="29" t="s">
        <v>23</v>
      </c>
      <c r="DH11" s="149">
        <v>2022</v>
      </c>
      <c r="DI11" s="62" t="str">
        <f>IF(SeilBeregnet=0,"-",((Dypg/(Lwl+DI$6-Bredde*DI$5))^(1/DI$4)*5)*DI$3*DI$7)</f>
        <v>-</v>
      </c>
      <c r="DJ11" s="47">
        <f>(Dypg/(Lwl+Bredde+DJ$8)*100)</f>
        <v>12.616566099835435</v>
      </c>
      <c r="DK11" s="48">
        <f>DJ$7*IF(DJ11&lt;DJ$5,-0.04,IF(DJ11&lt;DJ$5*1.1,-0.03,IF(DJ11&lt;DJ$5*1.2,-0.02,IF(DJ11&lt;DJ$5*1.3,-0.01,0))))</f>
        <v>0</v>
      </c>
      <c r="DM11" s="107" t="str">
        <f t="shared" ref="DM11:DM42" si="25">IF(SeilBeregnet=0,"-",DM$7*(DO:DO+DM$6)*DT:DT*PropF+ErfaringsF+Dyp_F)</f>
        <v>-</v>
      </c>
      <c r="DN11" s="141" t="str">
        <f>IF($DY11=0,"-",(DM11-$DW11)*100)</f>
        <v>-</v>
      </c>
      <c r="DO11" s="107">
        <f>SUM(DP11:DS11)^DO$3+DO$7</f>
        <v>4.5241364663438457</v>
      </c>
      <c r="DP11" s="133">
        <f>IF(SeilBeregnet=0,DP10,(SeilBeregnet^0.5/(Depl^0.3333))^DP$3*DP$7)</f>
        <v>2.7920856587749681</v>
      </c>
      <c r="DQ11" s="133">
        <f>IF(SeilBeregnet=0,DQ10,(SeilBeregnet^0.5/Lwl)^DQ$3*DQ$7)</f>
        <v>0</v>
      </c>
      <c r="DR11" s="133">
        <f>IF(SeilBeregnet=0,DR10,(0.1*Loa/Depl^0.3333)^DR$3*DR$7)</f>
        <v>0</v>
      </c>
      <c r="DS11" s="133">
        <f>IF(SeilBeregnet=0,DS10,((Loa)/Bredde)^DS$3*DS$7)</f>
        <v>1.7320508075688772</v>
      </c>
      <c r="DT11" s="107">
        <f>IF(SeilBeregnet=0,DT10,(Lwl)^DT$3)</f>
        <v>1.8833028354976902</v>
      </c>
      <c r="DU11" s="133">
        <f>IF(SeilBeregnet=0,DU10,(Dypg/Loa)^DU$3*5*DU$7)</f>
        <v>2.0302373751074416</v>
      </c>
      <c r="DW11" s="107" t="str">
        <f>IF(SeilBeregnet=0,"-",DW$7*(DW$4*(LBf+SaDeplf)*Lf*PropF+DW$6)+ErfaringsF+Dyp_F)</f>
        <v>-</v>
      </c>
      <c r="DX11" s="107" t="str">
        <f>IF(SeilBeregnet=0,"-",DX$7*(DX$4*SeilBeregnet^0.5/(Depl^0.33333*Bredde*Lwl)^0.3333*((Loa*0.03+Lwl*0.07)^0.33)*PropF+DX$6)+ErfaringsF+Dyp_F)</f>
        <v>-</v>
      </c>
      <c r="DZ11" s="107" t="str">
        <f>IF(SeilBeregnet=0,"-",DZ$7*(DZ$4*SeilBeregnet^0.5/(Depl^0.33333*Bredde*Lwl)^0.3333*Lwl^0.3333*((Loa+Lwl)/Bredde/6)^0.25*PropF+DZ$6)+ErfaringsF+Dyp_F)</f>
        <v>-</v>
      </c>
      <c r="EB11" s="107" t="str">
        <f>IF(SeilBeregnet=0,"-",EB$7*(EB$4*ED11*EE11*EF11*PropF+EB$6)+ErfaringsF+Dyp_F)</f>
        <v>-</v>
      </c>
      <c r="ED11" s="107">
        <f>IF(SeilBeregnet=0,ED10,SeilBeregnet^0.5/Depl^0.33333)</f>
        <v>2.7918007802761746</v>
      </c>
      <c r="EE11" s="107">
        <f>IF(SeilBeregnet=0,EE10,Lwl^0.3333)</f>
        <v>2.3255386279619175</v>
      </c>
      <c r="EF11" s="107">
        <f>IF(SeilBeregnet=0,EF10,((Loa+Lwl)/Bredde)^EF$3)</f>
        <v>1.5455073481707255</v>
      </c>
      <c r="EH11" s="107" t="str">
        <f>IF(SeilBeregnet=0,"-",EH$7*(EH$4*EJ11*EK11*EL11*PropF+EH$6)+ErfaringsF+Dyp_F)</f>
        <v>-</v>
      </c>
      <c r="EJ11" s="107">
        <f>IF(SeilBeregnet=0,EJ10,SeilBeregnet^0.5/Depl^0.33333)</f>
        <v>2.7918007802761746</v>
      </c>
      <c r="EK11" s="107">
        <f>IF(SeilBeregnet=0,EK10,Lwl^EK$3)</f>
        <v>2.3257152901382043</v>
      </c>
      <c r="EL11" s="107">
        <f>IF(SeilBeregnet=0,EL10,((Loa+Lwl)/Bredde)^EL$3)</f>
        <v>1.7867737200389522</v>
      </c>
      <c r="EM11" s="107" t="str">
        <f>IF(SeilBeregnet=0,"-",EM$7*(EM$4*EO11+EM$6)*ER11*PropF+ErfaringsF+Dyp_F)</f>
        <v>-</v>
      </c>
      <c r="EO11" s="107">
        <f>IF(SeilBeregnet=0,EO10,(EP11*EQ11)^EO$3)</f>
        <v>4.3147486205455934</v>
      </c>
      <c r="EP11" s="107">
        <f>IF(SeilBeregnet=0,EP10,SeilBeregnet^0.5/Depl^0.33333)</f>
        <v>2.7918007802761746</v>
      </c>
      <c r="EQ11" s="107">
        <f>IF(SeilBeregnet=0,EQ10,((Loa+Lwl)/Bredde)^EQ$3)</f>
        <v>1.5455073481707255</v>
      </c>
      <c r="ER11" s="107">
        <f>IF(SeilBeregnet=0,ER10,Lwl^ER$3)</f>
        <v>1.8833028354976902</v>
      </c>
      <c r="ES11" s="107" t="str">
        <f t="shared" ref="ES11:ES42" si="26">IF(SeilBeregnet=0,"-",ES$7*(ES$4*EU:EU+ES$6)*EX:EX*PropF+ErfaringsF+Dyp_F)</f>
        <v>-</v>
      </c>
      <c r="EU11" s="107">
        <f>IF(SeilBeregnet=0,EU10,(EV:EV*EW:EW)^EU$3)</f>
        <v>1.6603851594294992</v>
      </c>
      <c r="EV11" s="107">
        <f>IF(SeilBeregnet=0,EV10,SeilBeregnet^0.5/Depl^0.33333)</f>
        <v>2.7918007802761746</v>
      </c>
      <c r="EW11" s="107">
        <f>IF(SeilBeregnet=0,EW10,((Loa+Lwl)/Bredde/6)^EW$3)</f>
        <v>0.98749126267562803</v>
      </c>
      <c r="EX11" s="107">
        <f>IF(SeilBeregnet=0,EX10,(Lwl*0.7+Loa*0.3)^EX$3)</f>
        <v>1.8985001932932792</v>
      </c>
      <c r="EY11" s="107" t="str">
        <f t="shared" ref="EY11:EY42" si="27">IF(SeilBeregnet=0,"-",EY$7*(FA:FA+EY$6)*FD:FD*PropF+ErfaringsF+Dyp_F)</f>
        <v>-</v>
      </c>
      <c r="FA11" s="107">
        <f t="shared" si="20"/>
        <v>1.6604698710552401</v>
      </c>
      <c r="FB11" s="107">
        <f>IF(SeilBeregnet=0,FB10,SeilBeregnet^0.5/Depl^0.3333)</f>
        <v>2.7920856587749681</v>
      </c>
      <c r="FC11" s="107">
        <f>IF(SeilBeregnet=0,FC10,((Loa+Lwl)/Bredde/6)^FC$3)</f>
        <v>0.98749126267562803</v>
      </c>
      <c r="FD11" s="107">
        <f>IF(SeilBeregnet=0,FD10,(Lwl*0.7+Loa*0.3)^FD$3)</f>
        <v>1.8985001932932792</v>
      </c>
      <c r="FE11" s="107" t="str">
        <f t="shared" ref="FE11:FE42" si="28">IF(SeilBeregnet=0,"-",FE$7*(FG:FG+FE$6)*FJ:FJ*PropF+ErfaringsF+Dyp_F)</f>
        <v>-</v>
      </c>
      <c r="FF11" s="141" t="str">
        <f>IF($DY11=0,"-",(FE11-$DW11)*100)</f>
        <v>-</v>
      </c>
      <c r="FG11" s="107">
        <f t="shared" si="21"/>
        <v>2.7226716000707292</v>
      </c>
      <c r="FH11" s="133">
        <f>IF(SeilBeregnet=0,FH10,(SeilBeregnet^0.5/(Depl^0.3333))^FH$3)</f>
        <v>2.7920856587749681</v>
      </c>
      <c r="FI11" s="133">
        <f>IF(SeilBeregnet=0,FI10,((Loa+Lwl)/Bredde/6)^FI$3)</f>
        <v>0.97513899386070613</v>
      </c>
      <c r="FJ11" s="107">
        <f>IF(SeilBeregnet=0,FJ10,(Lwl*0.07+Loa*0.03)^FJ$3)</f>
        <v>1.0676051145706766</v>
      </c>
      <c r="FK11" s="107" t="str">
        <f t="shared" ref="FK11:FK42" si="29">IF(SeilBeregnet=0,"-",FK$7*(FM:FM+FK$6)*FQ:FQ*PropF+ErfaringsF+Dyp_F)</f>
        <v>-</v>
      </c>
      <c r="FL11" s="141" t="str">
        <f>IF($DY11=0,"-",(FK11-$DW11)*100)</f>
        <v>-</v>
      </c>
      <c r="FM11" s="107">
        <f t="shared" si="22"/>
        <v>4.7136973396704533</v>
      </c>
      <c r="FN11" s="133">
        <f>IF(SeilBeregnet=0,FN10,(SeilBeregnet^0.5/(Depl^0.3333))^FN$3)</f>
        <v>2.7920856587749681</v>
      </c>
      <c r="FO11" s="133">
        <f>IF(SeilBeregnet=0,FO10,(SeilBeregnet^0.5/Lwl*FO$7)^FO$3)</f>
        <v>0.68956087332660876</v>
      </c>
      <c r="FP11" s="133">
        <f>IF(SeilBeregnet=0,FP10,((Loa)/Bredde)^FP$3*FP$7)</f>
        <v>1.7320508075688772</v>
      </c>
      <c r="FQ11" s="107">
        <f>IF(SeilBeregnet=0,FQ10,(Lwl)^FQ$3)</f>
        <v>1.8833028354976902</v>
      </c>
      <c r="FR11" s="107" t="str">
        <f t="shared" ref="FR11:FR42" si="30">IF(SeilBeregnet=0,"-",FR$7*(FT:FT+FR$6)*FW:FW*PropF+ErfaringsF+Dyp_F)</f>
        <v>-</v>
      </c>
      <c r="FS11" s="141" t="str">
        <f>IF($DY11=0,"-",(FR11-$DW11)*100)</f>
        <v>-</v>
      </c>
      <c r="FT11" s="107">
        <f t="shared" si="23"/>
        <v>4.8360342200826638</v>
      </c>
      <c r="FU11" s="133">
        <f>IF(SeilBeregnet=0,FU10,(SeilBeregnet^0.5/(Depl^0.3333))^FU$3)</f>
        <v>2.7920856587749681</v>
      </c>
      <c r="FV11" s="133">
        <f>IF(SeilBeregnet=0,FV10,(Loa/Bredde)^FV$3)</f>
        <v>1.7320508075688772</v>
      </c>
      <c r="FW11" s="107">
        <f>IF(SeilBeregnet=0,FW10,Lwl^FW$3)</f>
        <v>1.8833028354976902</v>
      </c>
      <c r="FZ11" s="107"/>
      <c r="GA11" s="107"/>
      <c r="GB11" s="107"/>
      <c r="GC11" s="441" t="s">
        <v>443</v>
      </c>
      <c r="GD11" s="57" t="s">
        <v>883</v>
      </c>
      <c r="GE11" s="436" t="s">
        <v>886</v>
      </c>
      <c r="GF11" s="464"/>
      <c r="GG11" s="57" t="s">
        <v>884</v>
      </c>
      <c r="GH11" s="57" t="s">
        <v>885</v>
      </c>
      <c r="GI11" s="57" t="s">
        <v>416</v>
      </c>
      <c r="GJ11" s="57" t="s">
        <v>503</v>
      </c>
      <c r="GL11" s="57" t="s">
        <v>651</v>
      </c>
      <c r="GM11" s="626"/>
      <c r="GN11" s="58" t="s">
        <v>478</v>
      </c>
      <c r="GO11" s="626" t="s">
        <v>882</v>
      </c>
      <c r="GP11" s="58" t="s">
        <v>652</v>
      </c>
      <c r="GQ11" s="58" t="s">
        <v>478</v>
      </c>
      <c r="GS11" s="57" t="s">
        <v>470</v>
      </c>
      <c r="GT11" s="57" t="s">
        <v>925</v>
      </c>
      <c r="GU11" s="57" t="s">
        <v>465</v>
      </c>
      <c r="GV11" s="632" t="s">
        <v>465</v>
      </c>
      <c r="GW11" s="57">
        <v>1893</v>
      </c>
      <c r="GX11" s="57" t="s">
        <v>431</v>
      </c>
      <c r="GY11" s="57" t="s">
        <v>467</v>
      </c>
      <c r="GZ11" s="57" t="s">
        <v>478</v>
      </c>
    </row>
    <row r="12" spans="1:208" ht="15.6" x14ac:dyDescent="0.3">
      <c r="A12" s="60" t="s">
        <v>24</v>
      </c>
      <c r="B12" s="218"/>
      <c r="C12" s="61" t="str">
        <f>C11</f>
        <v>Gaffel</v>
      </c>
      <c r="D12" s="61"/>
      <c r="E12" s="61"/>
      <c r="F12" s="61"/>
      <c r="G12" s="54"/>
      <c r="H12" s="204">
        <f>TBFavrundet</f>
        <v>107.5</v>
      </c>
      <c r="I12" s="63">
        <f>COUNTA(O12:AG12)</f>
        <v>5</v>
      </c>
      <c r="J12" s="222">
        <f>SUM(O12:AG12)</f>
        <v>110</v>
      </c>
      <c r="K12" s="116">
        <f>Seilareal/Depl^0.667/K$7</f>
        <v>1.0641348890927431</v>
      </c>
      <c r="L12" s="116">
        <f>Seilareal/Lwl/Lwl/L$7</f>
        <v>1.0546500479386385</v>
      </c>
      <c r="M12" s="92">
        <f>RiggF</f>
        <v>0.72009090909090911</v>
      </c>
      <c r="N12" s="242">
        <f>StHfaktor</f>
        <v>0.97812643464998594</v>
      </c>
      <c r="O12" s="143"/>
      <c r="P12" s="143"/>
      <c r="Q12" s="143"/>
      <c r="R12" s="165">
        <v>25.8</v>
      </c>
      <c r="S12" s="143"/>
      <c r="T12" s="143"/>
      <c r="U12" s="165">
        <v>19.3</v>
      </c>
      <c r="V12" s="559"/>
      <c r="W12" s="559"/>
      <c r="X12" s="165">
        <v>40</v>
      </c>
      <c r="Y12" s="143"/>
      <c r="Z12" s="143"/>
      <c r="AA12" s="165">
        <v>15.9</v>
      </c>
      <c r="AB12" s="143"/>
      <c r="AC12" s="165">
        <v>9</v>
      </c>
      <c r="AD12" s="143"/>
      <c r="AE12" s="143"/>
      <c r="AF12" s="143"/>
      <c r="AG12" s="551"/>
      <c r="AH12" s="557"/>
      <c r="AI12" s="557">
        <f>AI11</f>
        <v>10.54</v>
      </c>
      <c r="AJ12" s="337" t="str">
        <f xml:space="preserve"> AJ11</f>
        <v>Clipper</v>
      </c>
      <c r="AK12" s="339"/>
      <c r="AL12" s="337">
        <f xml:space="preserve"> AL11</f>
        <v>0</v>
      </c>
      <c r="AM12" s="339"/>
      <c r="AN12" s="267" t="str">
        <f xml:space="preserve"> AN11</f>
        <v>RS</v>
      </c>
      <c r="AO12" s="45">
        <f>VLOOKUP(AN12,Skrogform!$1:$1048576,3,FALSE)</f>
        <v>0.97</v>
      </c>
      <c r="AP12" s="64">
        <f t="shared" ref="AP12:BB12" si="31">AP11</f>
        <v>13.95</v>
      </c>
      <c r="AQ12" s="64">
        <f t="shared" si="31"/>
        <v>12.58</v>
      </c>
      <c r="AR12" s="64">
        <f t="shared" si="31"/>
        <v>4.6500000000000004</v>
      </c>
      <c r="AS12" s="64">
        <f t="shared" si="31"/>
        <v>2.2999999999999998</v>
      </c>
      <c r="AT12" s="64"/>
      <c r="AU12" s="64">
        <f t="shared" si="31"/>
        <v>29.599999999999998</v>
      </c>
      <c r="AV12" s="64">
        <f t="shared" si="31"/>
        <v>5.5</v>
      </c>
      <c r="AW12" s="64">
        <f t="shared" si="31"/>
        <v>3.8</v>
      </c>
      <c r="AX12" s="256">
        <f t="shared" si="31"/>
        <v>300</v>
      </c>
      <c r="AY12" s="256">
        <f t="shared" si="31"/>
        <v>120</v>
      </c>
      <c r="AZ12" s="256">
        <f t="shared" si="31"/>
        <v>500</v>
      </c>
      <c r="BA12" s="256">
        <f t="shared" si="31"/>
        <v>200</v>
      </c>
      <c r="BB12" s="256">
        <f t="shared" si="31"/>
        <v>300</v>
      </c>
      <c r="BC12" s="256"/>
      <c r="BD12" s="66"/>
      <c r="BE12" s="66"/>
      <c r="BF12" s="261"/>
      <c r="BG12" s="66"/>
      <c r="BH12" s="175"/>
      <c r="BI12" s="66"/>
      <c r="BJ12" s="66"/>
      <c r="BK12" s="65" t="str">
        <f xml:space="preserve"> BK11</f>
        <v>Seilrett</v>
      </c>
      <c r="BL12" s="267">
        <f xml:space="preserve"> BL11</f>
        <v>4</v>
      </c>
      <c r="BM12" s="267">
        <f xml:space="preserve"> BM11</f>
        <v>61</v>
      </c>
      <c r="BN12" s="45">
        <f t="shared" si="11"/>
        <v>1</v>
      </c>
      <c r="BO12" s="59"/>
      <c r="BP12" s="59"/>
      <c r="BR12" s="49">
        <f t="shared" ref="BR12:BX14" si="32">IF(O12=0,0,O12*BR$9)</f>
        <v>0</v>
      </c>
      <c r="BS12" s="49">
        <f t="shared" si="32"/>
        <v>0</v>
      </c>
      <c r="BT12" s="49">
        <f t="shared" si="32"/>
        <v>0</v>
      </c>
      <c r="BU12" s="49">
        <f t="shared" si="32"/>
        <v>25.8</v>
      </c>
      <c r="BV12" s="49">
        <f t="shared" si="32"/>
        <v>0</v>
      </c>
      <c r="BW12" s="49">
        <f t="shared" si="32"/>
        <v>0</v>
      </c>
      <c r="BX12" s="49">
        <f t="shared" si="32"/>
        <v>19.3</v>
      </c>
      <c r="BY12" s="549">
        <f>IF(COUNT(Q12:U12)&gt;1,MINA(Q12:U12)*BY$9,0)</f>
        <v>-9.65</v>
      </c>
      <c r="BZ12" s="85">
        <f t="shared" ref="BZ12:CD14" si="33">IF(V12=0,0,V12*BZ$9)</f>
        <v>0</v>
      </c>
      <c r="CA12" s="85">
        <f t="shared" si="33"/>
        <v>0</v>
      </c>
      <c r="CB12" s="85">
        <f t="shared" si="33"/>
        <v>32</v>
      </c>
      <c r="CC12" s="85">
        <f t="shared" si="33"/>
        <v>0</v>
      </c>
      <c r="CD12" s="85">
        <f t="shared" si="33"/>
        <v>0</v>
      </c>
      <c r="CE12" s="85">
        <f>IF(AC12=0,0,AC12*CE$9)</f>
        <v>5.3999999999999995</v>
      </c>
      <c r="CF12" s="85">
        <f t="shared" ref="CF12:CG14" si="34">IF(AA12=0,0,AA12*CF$9)</f>
        <v>6.36</v>
      </c>
      <c r="CG12" s="85">
        <f t="shared" si="34"/>
        <v>0</v>
      </c>
      <c r="CH12" s="85">
        <f t="shared" ref="CH12:CK14" si="35">IF(AD12=0,0,AD12*CH$9)</f>
        <v>0</v>
      </c>
      <c r="CI12" s="85">
        <f t="shared" si="35"/>
        <v>0</v>
      </c>
      <c r="CJ12" s="85">
        <f t="shared" si="35"/>
        <v>0</v>
      </c>
      <c r="CK12" s="85">
        <f t="shared" si="35"/>
        <v>0</v>
      </c>
      <c r="CL12" s="100">
        <f>SUM(BR12:CK12)</f>
        <v>79.210000000000008</v>
      </c>
      <c r="CM12" s="50"/>
      <c r="CN12" s="104">
        <f>J12</f>
        <v>110</v>
      </c>
      <c r="CO12" s="101">
        <f>CL12/CN12</f>
        <v>0.72009090909090911</v>
      </c>
      <c r="CP12" s="51">
        <f>Seilareal/Lwl/Lwl</f>
        <v>0.69507457518305737</v>
      </c>
      <c r="CQ12" s="116">
        <f>Seilareal/Depl^0.667/K$7</f>
        <v>1.0641348890927431</v>
      </c>
      <c r="CR12" s="51">
        <f>Seilareal/Lwl/Lwl/SApRS1</f>
        <v>1.0546500479386385</v>
      </c>
      <c r="CS12" s="204"/>
      <c r="CT12" s="204">
        <f>(ROUND(TBF/CT$6,3)*CT$6)*CT$4</f>
        <v>107.5</v>
      </c>
      <c r="CU12" s="107">
        <f t="shared" ref="CU12:CU201" si="36">IF(SeilBeregnet=0,"-",CU$7*(SaDeplf+LBf)*Lf*Skrogfaktor*PropF*(Mast+1)+ErfaringsF)</f>
        <v>1.0768846354520403</v>
      </c>
      <c r="CV12" s="62">
        <f t="shared" si="13"/>
        <v>2.7938321174550853</v>
      </c>
      <c r="CW12" s="62">
        <f t="shared" si="14"/>
        <v>1.6889902818083384</v>
      </c>
      <c r="CX12" s="62">
        <f t="shared" si="15"/>
        <v>1.8833028354976902</v>
      </c>
      <c r="CY12" s="107">
        <f t="shared" si="16"/>
        <v>0.97812643464998594</v>
      </c>
      <c r="CZ12" s="168">
        <f t="shared" ref="CZ12:CZ72" si="37">IF(DA12=0,"-",IF(CP12="TBF","-",CZ$7*DA12))</f>
        <v>1.0724705882352941</v>
      </c>
      <c r="DA12" s="159">
        <f>DA11</f>
        <v>0.86</v>
      </c>
      <c r="DB12" s="168">
        <f t="shared" ref="DB12:DB72" si="38">IF(DC12=0,"-",IF(CT12="TBF","-",DB$7*DC12))</f>
        <v>1.0785964912280703</v>
      </c>
      <c r="DC12" s="159">
        <f>DC11</f>
        <v>1.1599999999999999</v>
      </c>
      <c r="DD12" s="190" t="s">
        <v>134</v>
      </c>
      <c r="DE12" s="62">
        <v>0.87</v>
      </c>
      <c r="DF12" s="62">
        <v>0.86</v>
      </c>
      <c r="DG12" s="62">
        <v>0.86</v>
      </c>
      <c r="DH12" s="150">
        <v>0.91</v>
      </c>
      <c r="DI12" s="62">
        <f t="shared" ref="DI12:DI200" si="39">IF(SeilBeregnet=0,"-",((Dypg/(Lwl+DI$6-Bredde*DI$5))^(1/DI$4)*5)*DI$3*DI$7)</f>
        <v>2.0499999999999998</v>
      </c>
      <c r="DJ12" s="47">
        <f t="shared" si="17"/>
        <v>12.616566099835435</v>
      </c>
      <c r="DK12" s="48">
        <f t="shared" si="18"/>
        <v>0</v>
      </c>
      <c r="DM12" s="107">
        <f t="shared" si="25"/>
        <v>1.0764557297270818</v>
      </c>
      <c r="DN12" s="141">
        <f>IF($DY12=0,"-",(DM12-$DW12)*100)</f>
        <v>-0.11975515296140937</v>
      </c>
      <c r="DO12" s="107">
        <f t="shared" si="19"/>
        <v>4.6095054023954329</v>
      </c>
      <c r="DP12" s="133">
        <f>IF(SeilBeregnet=0,DP11,(SeilBeregnet^0.5/(Depl^0.3333))^DP$3*DP$7)</f>
        <v>2.8774545948265557</v>
      </c>
      <c r="DQ12" s="133">
        <f>IF(SeilBeregnet=0,DQ11,(SeilBeregnet^0.5/Lwl)^DQ$3*DQ$7)</f>
        <v>0</v>
      </c>
      <c r="DR12" s="133">
        <f>IF(SeilBeregnet=0,DR11,(0.1*Loa/Depl^0.3333)^DR$3*DR$7)</f>
        <v>0</v>
      </c>
      <c r="DS12" s="133">
        <f>IF(SeilBeregnet=0,DS11,((Loa)/Bredde)^DS$3*DS$7)</f>
        <v>1.7320508075688772</v>
      </c>
      <c r="DT12" s="107">
        <f>IF(SeilBeregnet=0,DT11,(Lwl)^DT$3)</f>
        <v>1.8833028354976902</v>
      </c>
      <c r="DU12" s="133">
        <f>IF(SeilBeregnet=0,DU11,(Dypg/Loa)^DU$3*5*DU$7)</f>
        <v>2.0302373751074416</v>
      </c>
      <c r="DW12" s="107">
        <f>IF(SeilBeregnet=0,"-",DW$7*(DW$4*(LBf+SaDeplf)*Lf*PropF+DW$6)+ErfaringsF+Dyp_F)</f>
        <v>1.0776532812566959</v>
      </c>
      <c r="DX12" s="107">
        <f t="shared" ref="DX12:DX200" si="40">IF(SeilBeregnet=0,"-",DX$7*(DX$4*SeilBeregnet^0.5/(Depl^0.33333*Bredde*Lwl)^0.3333*((Loa*0.03+Lwl*0.07)^0.33)*PropF+DX$6)+ErfaringsF+Dyp_F)</f>
        <v>1.0824377543512098</v>
      </c>
      <c r="DY12" s="122">
        <f>DX12-DW12</f>
        <v>4.784473094513908E-3</v>
      </c>
      <c r="DZ12" s="107">
        <f t="shared" ref="DZ12:DZ200" si="41">IF(SeilBeregnet=0,"-",DZ$7*(DZ$4*SeilBeregnet^0.5/(Depl^0.33333*Bredde*Lwl)^0.3333*Lwl^0.3333*((Loa+Lwl)/Bredde/6)^0.25*PropF+DZ$6)+ErfaringsF+Dyp_F)</f>
        <v>1.0777817755914163</v>
      </c>
      <c r="EA12" s="122">
        <f>IF($DY12=0,"-",DZ12-$DW12)</f>
        <v>1.2849433472039706E-4</v>
      </c>
      <c r="EB12" s="107">
        <f t="shared" ref="EB12:EB72" si="42">IF(SeilBeregnet=0,"-",EB$7*(EB$4*ED12*EE12*EF12*PropF+EB$6)+ErfaringsF+Dyp_F)</f>
        <v>1.0838525605766707</v>
      </c>
      <c r="EC12" s="122">
        <f>IF($DY12=0,"-",EB12-$DW12)</f>
        <v>6.1992793199747709E-3</v>
      </c>
      <c r="ED12" s="107">
        <f>IF(SeilBeregnet=0,ED11,SeilBeregnet^0.5/Depl^0.33333)</f>
        <v>2.8771621646800494</v>
      </c>
      <c r="EE12" s="107">
        <f>IF(SeilBeregnet=0,EE11,Lwl^0.3333)</f>
        <v>2.3255386279619175</v>
      </c>
      <c r="EF12" s="107">
        <f>IF(SeilBeregnet=0,EF11,((Loa+Lwl)/Bredde)^EF$3)</f>
        <v>1.5455073481707255</v>
      </c>
      <c r="EH12" s="107">
        <f t="shared" ref="EH12:EH72" si="43">IF(SeilBeregnet=0,"-",EH$7*(EH$4*EJ12*EK12*EL12*PropF+EH$6)+ErfaringsF+Dyp_F)</f>
        <v>1.0813622071810849</v>
      </c>
      <c r="EJ12" s="107">
        <f>IF(SeilBeregnet=0,EJ11,SeilBeregnet^0.5/Depl^0.33333)</f>
        <v>2.8771621646800494</v>
      </c>
      <c r="EK12" s="107">
        <f>IF(SeilBeregnet=0,EK11,Lwl^EK$3)</f>
        <v>2.3257152901382043</v>
      </c>
      <c r="EL12" s="107">
        <f>IF(SeilBeregnet=0,EL11,((Loa+Lwl)/Bredde)^EL$3)</f>
        <v>1.7867737200389522</v>
      </c>
      <c r="EM12" s="107">
        <f t="shared" ref="EM12:EM72" si="44">IF(SeilBeregnet=0,"-",EM$7*(EM$4*EO12+EM$6)*ER12*PropF+ErfaringsF+Dyp_F)</f>
        <v>1.082145338486159</v>
      </c>
      <c r="EO12" s="107">
        <f>IF(SeilBeregnet=0,EO11,(EP12*EQ12)^EO$3)</f>
        <v>4.4466752673918073</v>
      </c>
      <c r="EP12" s="107">
        <f>IF(SeilBeregnet=0,EP11,SeilBeregnet^0.5/Depl^0.33333)</f>
        <v>2.8771621646800494</v>
      </c>
      <c r="EQ12" s="107">
        <f>IF(SeilBeregnet=0,EQ11,((Loa+Lwl)/Bredde)^EQ$3)</f>
        <v>1.5455073481707255</v>
      </c>
      <c r="ER12" s="107">
        <f>IF(SeilBeregnet=0,ER11,Lwl^ER$3)</f>
        <v>1.8833028354976902</v>
      </c>
      <c r="ES12" s="107">
        <f t="shared" si="26"/>
        <v>1.0830132143681235</v>
      </c>
      <c r="EU12" s="107">
        <f>IF(SeilBeregnet=0,EU11,(EV:EV*EW:EW)^EU$3)</f>
        <v>1.6855777937913294</v>
      </c>
      <c r="EV12" s="107">
        <f>IF(SeilBeregnet=0,EV11,SeilBeregnet^0.5/Depl^0.33333)</f>
        <v>2.8771621646800494</v>
      </c>
      <c r="EW12" s="107">
        <f>IF(SeilBeregnet=0,EW11,((Loa+Lwl)/Bredde/6)^EW$3)</f>
        <v>0.98749126267562803</v>
      </c>
      <c r="EX12" s="107">
        <f>IF(SeilBeregnet=0,EX11,(Lwl*0.7+Loa*0.3)^EX$3)</f>
        <v>1.8985001932932792</v>
      </c>
      <c r="EY12" s="107">
        <f t="shared" si="27"/>
        <v>1.0760829145730177</v>
      </c>
      <c r="FA12" s="107">
        <f t="shared" si="20"/>
        <v>1.6856634513262319</v>
      </c>
      <c r="FB12" s="107">
        <f>IF(SeilBeregnet=0,FB11,SeilBeregnet^0.5/Depl^0.3333)</f>
        <v>2.8774545948265557</v>
      </c>
      <c r="FC12" s="107">
        <f>IF(SeilBeregnet=0,FC11,((Loa+Lwl)/Bredde/6)^FC$3)</f>
        <v>0.98749126267562803</v>
      </c>
      <c r="FD12" s="107">
        <f>IF(SeilBeregnet=0,FD11,(Lwl*0.7+Loa*0.3)^FD$3)</f>
        <v>1.8985001932932792</v>
      </c>
      <c r="FE12" s="107">
        <f t="shared" si="28"/>
        <v>1.0774727937860051</v>
      </c>
      <c r="FF12" s="141">
        <f t="shared" ref="FF12:FF197" si="45">IF($DY12=0,"-",(FE12-$DW12)*100)</f>
        <v>-1.8048747069077109E-2</v>
      </c>
      <c r="FG12" s="107">
        <f t="shared" si="21"/>
        <v>2.8059181784790335</v>
      </c>
      <c r="FH12" s="133">
        <f>IF(SeilBeregnet=0,FH11,(SeilBeregnet^0.5/(Depl^0.3333))^FH$3)</f>
        <v>2.8774545948265557</v>
      </c>
      <c r="FI12" s="133">
        <f>IF(SeilBeregnet=0,FI11,((Loa+Lwl)/Bredde/6)^FI$3)</f>
        <v>0.97513899386070613</v>
      </c>
      <c r="FJ12" s="107">
        <f>IF(SeilBeregnet=0,FJ11,(Lwl*0.07+Loa*0.03)^FJ$3)</f>
        <v>1.0676051145706766</v>
      </c>
      <c r="FK12" s="107">
        <f t="shared" si="29"/>
        <v>1.0795474767603546</v>
      </c>
      <c r="FL12" s="141">
        <f t="shared" ref="FL12:FL197" si="46">IF($DY12=0,"-",(FK12-$DW12)*100)</f>
        <v>0.18941955036586577</v>
      </c>
      <c r="FM12" s="107">
        <f t="shared" si="22"/>
        <v>4.8169775804558466</v>
      </c>
      <c r="FN12" s="133">
        <f>IF(SeilBeregnet=0,FN11,(SeilBeregnet^0.5/(Depl^0.3333))^FN$3)</f>
        <v>2.8774545948265557</v>
      </c>
      <c r="FO12" s="133">
        <f>IF(SeilBeregnet=0,FO11,(SeilBeregnet^0.5/Lwl*FO$7)^FO$3)</f>
        <v>0.7074721780604134</v>
      </c>
      <c r="FP12" s="133">
        <f>IF(SeilBeregnet=0,FP11,((Loa)/Bredde)^FP$3*FP$7)</f>
        <v>1.7320508075688772</v>
      </c>
      <c r="FQ12" s="107">
        <f>IF(SeilBeregnet=0,FQ11,(Lwl)^FQ$3)</f>
        <v>1.8833028354976902</v>
      </c>
      <c r="FR12" s="107">
        <f t="shared" si="30"/>
        <v>1.0828415832710456</v>
      </c>
      <c r="FS12" s="141">
        <f t="shared" ref="FS12:FS197" si="47">IF($DY12=0,"-",(FR12-$DW12)*100)</f>
        <v>0.51883020143497216</v>
      </c>
      <c r="FT12" s="107">
        <f t="shared" si="23"/>
        <v>4.9838975547121125</v>
      </c>
      <c r="FU12" s="133">
        <f>IF(SeilBeregnet=0,FU11,(SeilBeregnet^0.5/(Depl^0.3333))^FU$3)</f>
        <v>2.8774545948265557</v>
      </c>
      <c r="FV12" s="133">
        <f>IF(SeilBeregnet=0,FV11,(Loa/Bredde)^FV$3)</f>
        <v>1.7320508075688772</v>
      </c>
      <c r="FW12" s="107">
        <f>IF(SeilBeregnet=0,FW11,Lwl^FW$3)</f>
        <v>1.8833028354976902</v>
      </c>
      <c r="FY12">
        <v>0.95</v>
      </c>
      <c r="FZ12" s="62">
        <f t="shared" ref="FZ12:FZ77" si="48">IF(SeilBeregnet=0,"-",0.06*2.43^(1/2)*(SeilBeregnet^(1/2)/Depl^(1/3)+(Loa/Bredde)^(1/2)+GA12)*Lwl^(1/4)*FY12)</f>
        <v>1.1110360605215432</v>
      </c>
      <c r="GA12" s="62">
        <f t="shared" ref="GA12:GA77" si="49">IF(Dypg=0,GA$6,5*(Dypg/Loa)^(1/2))</f>
        <v>2.0302373751074416</v>
      </c>
      <c r="GB12" s="107">
        <f t="shared" ref="GB12:GB86" si="50">IF(SeilBeregnet=0,"-",GB$7*(((SeilBeregnet*StHfaktor)/(Depl+DeplTillegg/1000+Vann/1000+Diesel/1000*0.84))^(1/3)/Bredde)^(1/GB$5)*Lwl^(1/GB$4)*Skrogfaktor*PropF*(Mast+1)+ErfaringsF)</f>
        <v>1.0687988725750242</v>
      </c>
      <c r="GC12" s="440"/>
      <c r="GD12" s="57" t="s">
        <v>492</v>
      </c>
      <c r="GE12" s="436" t="s">
        <v>887</v>
      </c>
      <c r="GF12" s="464" t="s">
        <v>493</v>
      </c>
      <c r="GG12" s="57" t="s">
        <v>494</v>
      </c>
      <c r="GH12" s="57" t="s">
        <v>495</v>
      </c>
      <c r="GI12" s="57" t="s">
        <v>416</v>
      </c>
      <c r="GJ12" s="57" t="s">
        <v>503</v>
      </c>
      <c r="GL12" s="17"/>
      <c r="GM12" s="626"/>
      <c r="GN12" s="8"/>
      <c r="GO12" s="626" t="s">
        <v>882</v>
      </c>
      <c r="GP12" s="8"/>
      <c r="GQ12" s="8"/>
      <c r="GS12" s="17"/>
      <c r="GT12" s="17"/>
      <c r="GU12" s="17"/>
      <c r="GV12" s="629"/>
      <c r="GW12" s="17"/>
      <c r="GX12" s="17"/>
      <c r="GY12" s="17"/>
      <c r="GZ12" s="17"/>
    </row>
    <row r="13" spans="1:208" ht="15.6" x14ac:dyDescent="0.3">
      <c r="A13" s="60" t="s">
        <v>25</v>
      </c>
      <c r="B13" s="218"/>
      <c r="C13" s="61" t="str">
        <f t="shared" ref="C13:C14" si="51">C12</f>
        <v>Gaffel</v>
      </c>
      <c r="G13" s="54"/>
      <c r="H13" s="204">
        <f>TBFavrundet</f>
        <v>105</v>
      </c>
      <c r="I13" s="63">
        <f>COUNTA(O13:AG13)</f>
        <v>4</v>
      </c>
      <c r="J13" s="222">
        <f>SUM(O13:AG13)</f>
        <v>94.1</v>
      </c>
      <c r="K13" s="116">
        <f>Seilareal/Depl^0.667/K$7</f>
        <v>0.91031902785115582</v>
      </c>
      <c r="L13" s="116">
        <f>Seilareal/Lwl/Lwl/L$7</f>
        <v>0.90220517737296257</v>
      </c>
      <c r="M13" s="92">
        <f>RiggF</f>
        <v>0.77417640807651444</v>
      </c>
      <c r="N13" s="242">
        <f>StHfaktor</f>
        <v>0.97812643464998594</v>
      </c>
      <c r="O13" s="143"/>
      <c r="P13" s="143"/>
      <c r="Q13" s="143"/>
      <c r="R13" s="165">
        <v>25.8</v>
      </c>
      <c r="S13" s="143"/>
      <c r="T13" s="143"/>
      <c r="U13" s="165">
        <v>19.3</v>
      </c>
      <c r="V13" s="559"/>
      <c r="W13" s="559"/>
      <c r="X13" s="165">
        <v>40</v>
      </c>
      <c r="Y13" s="143"/>
      <c r="Z13" s="143"/>
      <c r="AA13" s="143"/>
      <c r="AB13" s="143"/>
      <c r="AC13" s="165">
        <v>9</v>
      </c>
      <c r="AD13" s="143"/>
      <c r="AE13" s="143"/>
      <c r="AF13" s="143"/>
      <c r="AG13" s="551"/>
      <c r="AH13" s="557"/>
      <c r="AI13" s="557">
        <f t="shared" ref="AI13" si="52">AI12</f>
        <v>10.54</v>
      </c>
      <c r="AJ13" s="337" t="str">
        <f t="shared" ref="AJ13" si="53" xml:space="preserve"> AJ12</f>
        <v>Clipper</v>
      </c>
      <c r="AK13" s="339"/>
      <c r="AL13" s="337">
        <f t="shared" ref="AL13:AN13" si="54" xml:space="preserve"> AL12</f>
        <v>0</v>
      </c>
      <c r="AM13" s="339"/>
      <c r="AN13" s="267" t="str">
        <f t="shared" si="54"/>
        <v>RS</v>
      </c>
      <c r="AO13" s="45">
        <f>VLOOKUP(AN13,Skrogform!$1:$1048576,3,FALSE)</f>
        <v>0.97</v>
      </c>
      <c r="AP13" s="64">
        <f t="shared" ref="AP13:AZ14" si="55">AP12</f>
        <v>13.95</v>
      </c>
      <c r="AQ13" s="64">
        <f t="shared" si="55"/>
        <v>12.58</v>
      </c>
      <c r="AR13" s="64">
        <f t="shared" si="55"/>
        <v>4.6500000000000004</v>
      </c>
      <c r="AS13" s="64">
        <f t="shared" si="55"/>
        <v>2.2999999999999998</v>
      </c>
      <c r="AT13" s="64"/>
      <c r="AU13" s="64">
        <f t="shared" si="55"/>
        <v>29.599999999999998</v>
      </c>
      <c r="AV13" s="64">
        <f t="shared" si="55"/>
        <v>5.5</v>
      </c>
      <c r="AW13" s="64">
        <f t="shared" si="55"/>
        <v>3.8</v>
      </c>
      <c r="AX13" s="256">
        <f>AX12</f>
        <v>300</v>
      </c>
      <c r="AY13" s="256">
        <f t="shared" si="55"/>
        <v>120</v>
      </c>
      <c r="AZ13" s="256">
        <f t="shared" si="55"/>
        <v>500</v>
      </c>
      <c r="BA13" s="256">
        <f t="shared" ref="BA13:BB13" si="56">BA12</f>
        <v>200</v>
      </c>
      <c r="BB13" s="256">
        <f t="shared" si="56"/>
        <v>300</v>
      </c>
      <c r="BC13" s="256"/>
      <c r="BD13" s="66"/>
      <c r="BE13" s="66"/>
      <c r="BF13" s="261"/>
      <c r="BG13" s="66"/>
      <c r="BH13" s="175"/>
      <c r="BI13" s="66"/>
      <c r="BJ13" s="66"/>
      <c r="BK13" s="65" t="str">
        <f t="shared" ref="BK13:BM14" si="57" xml:space="preserve"> BK12</f>
        <v>Seilrett</v>
      </c>
      <c r="BL13" s="267">
        <f t="shared" si="57"/>
        <v>4</v>
      </c>
      <c r="BM13" s="267">
        <f t="shared" si="57"/>
        <v>61</v>
      </c>
      <c r="BN13" s="45">
        <f t="shared" si="11"/>
        <v>1</v>
      </c>
      <c r="BO13" s="59"/>
      <c r="BP13" s="59"/>
      <c r="BR13" s="49">
        <f t="shared" si="32"/>
        <v>0</v>
      </c>
      <c r="BS13" s="49">
        <f t="shared" si="32"/>
        <v>0</v>
      </c>
      <c r="BT13" s="49">
        <f t="shared" si="32"/>
        <v>0</v>
      </c>
      <c r="BU13" s="49">
        <f t="shared" si="32"/>
        <v>25.8</v>
      </c>
      <c r="BV13" s="49">
        <f t="shared" si="32"/>
        <v>0</v>
      </c>
      <c r="BW13" s="49">
        <f t="shared" si="32"/>
        <v>0</v>
      </c>
      <c r="BX13" s="49">
        <f t="shared" si="32"/>
        <v>19.3</v>
      </c>
      <c r="BY13" s="549">
        <f>IF(COUNT(Q13:U13)&gt;1,MINA(Q13:U13)*BY$9,0)</f>
        <v>-9.65</v>
      </c>
      <c r="BZ13" s="85">
        <f t="shared" si="33"/>
        <v>0</v>
      </c>
      <c r="CA13" s="85">
        <f t="shared" si="33"/>
        <v>0</v>
      </c>
      <c r="CB13" s="85">
        <f t="shared" si="33"/>
        <v>32</v>
      </c>
      <c r="CC13" s="85">
        <f t="shared" si="33"/>
        <v>0</v>
      </c>
      <c r="CD13" s="85">
        <f t="shared" si="33"/>
        <v>0</v>
      </c>
      <c r="CE13" s="85">
        <f>IF(AC13=0,0,AC13*CE$9)</f>
        <v>5.3999999999999995</v>
      </c>
      <c r="CF13" s="85">
        <f t="shared" si="34"/>
        <v>0</v>
      </c>
      <c r="CG13" s="85">
        <f t="shared" si="34"/>
        <v>0</v>
      </c>
      <c r="CH13" s="85">
        <f t="shared" si="35"/>
        <v>0</v>
      </c>
      <c r="CI13" s="85">
        <f t="shared" si="35"/>
        <v>0</v>
      </c>
      <c r="CJ13" s="85">
        <f t="shared" si="35"/>
        <v>0</v>
      </c>
      <c r="CK13" s="85">
        <f t="shared" si="35"/>
        <v>0</v>
      </c>
      <c r="CL13" s="100">
        <f>SUM(BR13:CK13)</f>
        <v>72.850000000000009</v>
      </c>
      <c r="CM13" s="50"/>
      <c r="CN13" s="104">
        <f>J13</f>
        <v>94.1</v>
      </c>
      <c r="CO13" s="101">
        <f>CL13/CN13</f>
        <v>0.77417640807651444</v>
      </c>
      <c r="CP13" s="51">
        <f>Seilareal/Lwl/Lwl</f>
        <v>0.59460470477023364</v>
      </c>
      <c r="CQ13" s="116">
        <f>Seilareal/Depl^0.667/K$7</f>
        <v>0.91031902785115582</v>
      </c>
      <c r="CR13" s="51">
        <f>Seilareal/Lwl/Lwl/SApRS1</f>
        <v>0.90220517737296257</v>
      </c>
      <c r="CS13" s="204"/>
      <c r="CT13" s="204">
        <f>(ROUND(TBF/CT$6,3)*CT$6)*CT$4</f>
        <v>105</v>
      </c>
      <c r="CU13" s="107">
        <f t="shared" si="36"/>
        <v>1.04937672500992</v>
      </c>
      <c r="CV13" s="62">
        <f t="shared" si="13"/>
        <v>2.6793230298264872</v>
      </c>
      <c r="CW13" s="62">
        <f t="shared" si="14"/>
        <v>1.6889902818083384</v>
      </c>
      <c r="CX13" s="62">
        <f t="shared" si="15"/>
        <v>1.8833028354976902</v>
      </c>
      <c r="CY13" s="107">
        <f t="shared" si="16"/>
        <v>0.97812643464998594</v>
      </c>
      <c r="CZ13" s="168" t="str">
        <f t="shared" si="37"/>
        <v>-</v>
      </c>
      <c r="DA13" s="158"/>
      <c r="DB13" s="168" t="str">
        <f t="shared" si="38"/>
        <v>-</v>
      </c>
      <c r="DC13" s="160"/>
      <c r="DD13" s="190" t="s">
        <v>134</v>
      </c>
      <c r="DE13" s="62">
        <v>0.84</v>
      </c>
      <c r="DF13" s="62">
        <v>0.85</v>
      </c>
      <c r="DG13" s="62">
        <v>0.84</v>
      </c>
      <c r="DH13" s="150">
        <v>0.88</v>
      </c>
      <c r="DI13" s="62">
        <f t="shared" si="39"/>
        <v>2.0499999999999998</v>
      </c>
      <c r="DJ13" s="47">
        <f t="shared" si="17"/>
        <v>12.616566099835435</v>
      </c>
      <c r="DK13" s="48">
        <f t="shared" si="18"/>
        <v>0</v>
      </c>
      <c r="DM13" s="107">
        <f t="shared" si="25"/>
        <v>1.0489140785497357</v>
      </c>
      <c r="DN13" s="141" t="str">
        <f t="shared" ref="DN13:DN248" si="58">IF($DY13=0,"-",(DM13-$DW13)*100)</f>
        <v>-</v>
      </c>
      <c r="DO13" s="107">
        <f t="shared" si="19"/>
        <v>4.4915689314501259</v>
      </c>
      <c r="DP13" s="133">
        <f t="shared" ref="DP13:DP19" si="59">IF(SeilBeregnet=0,DP12,(SeilBeregnet^0.5/(Depl^0.3333))^DP$3*DP$7)</f>
        <v>2.7595181238812487</v>
      </c>
      <c r="DQ13" s="133">
        <f t="shared" ref="DQ13:DQ19" si="60">IF(SeilBeregnet=0,DQ12,(SeilBeregnet^0.5/Lwl)^DQ$3*DQ$7)</f>
        <v>0</v>
      </c>
      <c r="DR13" s="133">
        <f t="shared" ref="DR13:DR19" si="61">IF(SeilBeregnet=0,DR12,(0.1*Loa/Depl^0.3333)^DR$3*DR$7)</f>
        <v>0</v>
      </c>
      <c r="DS13" s="133">
        <f t="shared" ref="DS13:DS19" si="62">IF(SeilBeregnet=0,DS12,((Loa)/Bredde)^DS$3*DS$7)</f>
        <v>1.7320508075688772</v>
      </c>
      <c r="DT13" s="107">
        <f t="shared" ref="DT13:DT19" si="63">IF(SeilBeregnet=0,DT12,(Lwl)^DT$3)</f>
        <v>1.8833028354976902</v>
      </c>
      <c r="DU13" s="133">
        <f t="shared" ref="DU13:DU19" si="64">IF(SeilBeregnet=0,DU12,(Dypg/Loa)^DU$3*5*DU$7)</f>
        <v>2.0302373751074416</v>
      </c>
      <c r="DW13" s="107">
        <f>IF(SeilBeregnet=0,"-",DW$7*(DW$4*(LBf+SaDeplf)*Lf*PropF+DW$6)+ErfaringsF+Dyp_F)</f>
        <v>1.04842888567239</v>
      </c>
      <c r="DX13" s="107">
        <f t="shared" si="40"/>
        <v>1.048083986665646</v>
      </c>
      <c r="DZ13" s="107">
        <f t="shared" si="41"/>
        <v>1.0505566362952723</v>
      </c>
      <c r="EA13" s="122" t="str">
        <f t="shared" ref="EA13:EA248" si="65">IF($DY13=0,"-",DZ13-$DW13)</f>
        <v>-</v>
      </c>
      <c r="EB13" s="107">
        <f t="shared" si="42"/>
        <v>1.0509008816823875</v>
      </c>
      <c r="EC13" s="122" t="str">
        <f t="shared" ref="EC13:EC248" si="66">IF($DY13=0,"-",EB13-$DW13)</f>
        <v>-</v>
      </c>
      <c r="ED13" s="107">
        <f t="shared" ref="ED13:ED248" si="67">IF(SeilBeregnet=0,ED12,SeilBeregnet^0.5/Depl^0.33333)</f>
        <v>2.759237679390238</v>
      </c>
      <c r="EE13" s="107">
        <f t="shared" ref="EE13:EE248" si="68">IF(SeilBeregnet=0,EE12,Lwl^0.3333)</f>
        <v>2.3255386279619175</v>
      </c>
      <c r="EF13" s="107">
        <f>IF(SeilBeregnet=0,EF12,((Loa+Lwl)/Bredde)^EF$3)</f>
        <v>1.5455073481707255</v>
      </c>
      <c r="EH13" s="107">
        <f t="shared" si="43"/>
        <v>1.0518508853570989</v>
      </c>
      <c r="EJ13" s="107">
        <f t="shared" ref="EJ13:EJ248" si="69">IF(SeilBeregnet=0,EJ12,SeilBeregnet^0.5/Depl^0.33333)</f>
        <v>2.759237679390238</v>
      </c>
      <c r="EK13" s="107">
        <f>IF(SeilBeregnet=0,EK12,Lwl^EK$3)</f>
        <v>2.3257152901382043</v>
      </c>
      <c r="EL13" s="107">
        <f>IF(SeilBeregnet=0,EL12,((Loa+Lwl)/Bredde)^EL$3)</f>
        <v>1.7867737200389522</v>
      </c>
      <c r="EM13" s="107">
        <f t="shared" si="44"/>
        <v>1.0515521415647839</v>
      </c>
      <c r="EO13" s="107">
        <f>IF(SeilBeregnet=0,EO12,(EP13*EQ13)^EO$3)</f>
        <v>4.2644221088471532</v>
      </c>
      <c r="EP13" s="107">
        <f t="shared" ref="EP13:EP248" si="70">IF(SeilBeregnet=0,EP12,SeilBeregnet^0.5/Depl^0.33333)</f>
        <v>2.759237679390238</v>
      </c>
      <c r="EQ13" s="107">
        <f>IF(SeilBeregnet=0,EQ12,((Loa+Lwl)/Bredde)^EQ$3)</f>
        <v>1.5455073481707255</v>
      </c>
      <c r="ER13" s="107">
        <f>IF(SeilBeregnet=0,ER12,Lwl^ER$3)</f>
        <v>1.8833028354976902</v>
      </c>
      <c r="ES13" s="107">
        <f t="shared" si="26"/>
        <v>1.0511285249158513</v>
      </c>
      <c r="EU13" s="107">
        <f>IF(SeilBeregnet=0,EU12,(EV:EV*EW:EW)^EU$3)</f>
        <v>1.6506735292126169</v>
      </c>
      <c r="EV13" s="107">
        <f t="shared" ref="EV13:EV248" si="71">IF(SeilBeregnet=0,EV12,SeilBeregnet^0.5/Depl^0.33333)</f>
        <v>2.759237679390238</v>
      </c>
      <c r="EW13" s="107">
        <f>IF(SeilBeregnet=0,EW12,((Loa+Lwl)/Bredde/6)^EW$3)</f>
        <v>0.98749126267562803</v>
      </c>
      <c r="EX13" s="107">
        <f>IF(SeilBeregnet=0,EX12,(Lwl*0.7+Loa*0.3)^EX$3)</f>
        <v>1.8985001932932792</v>
      </c>
      <c r="EY13" s="107">
        <f t="shared" si="27"/>
        <v>1.0537998239335722</v>
      </c>
      <c r="FA13" s="107">
        <f t="shared" si="20"/>
        <v>1.6507574129858618</v>
      </c>
      <c r="FB13" s="107">
        <f t="shared" ref="FB13:FB248" si="72">IF(SeilBeregnet=0,FB12,SeilBeregnet^0.5/Depl^0.3333)</f>
        <v>2.7595181238812487</v>
      </c>
      <c r="FC13" s="107">
        <f>IF(SeilBeregnet=0,FC12,((Loa+Lwl)/Bredde/6)^FC$3)</f>
        <v>0.98749126267562803</v>
      </c>
      <c r="FD13" s="107">
        <f>IF(SeilBeregnet=0,FD12,(Lwl*0.7+Loa*0.3)^FD$3)</f>
        <v>1.8985001932932792</v>
      </c>
      <c r="FE13" s="107">
        <f t="shared" si="28"/>
        <v>1.0516891322295971</v>
      </c>
      <c r="FF13" s="141" t="str">
        <f t="shared" si="45"/>
        <v>-</v>
      </c>
      <c r="FG13" s="107">
        <f t="shared" si="21"/>
        <v>2.6909137268619441</v>
      </c>
      <c r="FH13" s="133">
        <f>IF(SeilBeregnet=0,FH12,(SeilBeregnet^0.5/(Depl^0.3333))^FH$3)</f>
        <v>2.7595181238812487</v>
      </c>
      <c r="FI13" s="133">
        <f>IF(SeilBeregnet=0,FI12,((Loa+Lwl)/Bredde/6)^FI$3)</f>
        <v>0.97513899386070613</v>
      </c>
      <c r="FJ13" s="107">
        <f>IF(SeilBeregnet=0,FJ12,(Lwl*0.07+Loa*0.03)^FJ$3)</f>
        <v>1.0676051145706766</v>
      </c>
      <c r="FK13" s="107">
        <f t="shared" si="29"/>
        <v>1.0466178309538881</v>
      </c>
      <c r="FL13" s="141" t="str">
        <f t="shared" si="46"/>
        <v>-</v>
      </c>
      <c r="FM13" s="107">
        <f t="shared" si="22"/>
        <v>4.6700443802059493</v>
      </c>
      <c r="FN13" s="133">
        <f>IF(SeilBeregnet=0,FN12,(SeilBeregnet^0.5/(Depl^0.3333))^FN$3)</f>
        <v>2.7595181238812487</v>
      </c>
      <c r="FO13" s="133">
        <f>IF(SeilBeregnet=0,FO12,(SeilBeregnet^0.5/Lwl*FO$7)^FO$3)</f>
        <v>0.67847544875582322</v>
      </c>
      <c r="FP13" s="133">
        <f>IF(SeilBeregnet=0,FP12,((Loa)/Bredde)^FP$3*FP$7)</f>
        <v>1.7320508075688772</v>
      </c>
      <c r="FQ13" s="107">
        <f>IF(SeilBeregnet=0,FQ12,(Lwl)^FQ$3)</f>
        <v>1.8833028354976902</v>
      </c>
      <c r="FR13" s="107">
        <f t="shared" si="30"/>
        <v>1.0582204017673023</v>
      </c>
      <c r="FS13" s="141" t="str">
        <f t="shared" si="47"/>
        <v>-</v>
      </c>
      <c r="FT13" s="107">
        <f t="shared" si="23"/>
        <v>4.7796255949694695</v>
      </c>
      <c r="FU13" s="133">
        <f>IF(SeilBeregnet=0,FU12,(SeilBeregnet^0.5/(Depl^0.3333))^FU$3)</f>
        <v>2.7595181238812487</v>
      </c>
      <c r="FV13" s="133">
        <f>IF(SeilBeregnet=0,FV12,(Loa/Bredde)^FV$3)</f>
        <v>1.7320508075688772</v>
      </c>
      <c r="FW13" s="107">
        <f>IF(SeilBeregnet=0,FW12,Lwl^FW$3)</f>
        <v>1.8833028354976902</v>
      </c>
      <c r="FY13">
        <v>0.95</v>
      </c>
      <c r="FZ13" s="62">
        <f t="shared" si="48"/>
        <v>1.0913028732344736</v>
      </c>
      <c r="GA13" s="62">
        <f t="shared" si="49"/>
        <v>2.0302373751074416</v>
      </c>
      <c r="GB13" s="107">
        <f t="shared" si="50"/>
        <v>1.0539926382117866</v>
      </c>
      <c r="GC13" s="440"/>
      <c r="GD13" s="17"/>
      <c r="GE13" s="442"/>
      <c r="GF13" s="462"/>
      <c r="GG13" s="17"/>
      <c r="GH13" s="17"/>
      <c r="GI13" s="17"/>
      <c r="GJ13" s="17"/>
      <c r="GL13" s="17"/>
      <c r="GM13" s="442"/>
      <c r="GN13" s="8"/>
      <c r="GO13" s="8"/>
      <c r="GP13" s="8"/>
      <c r="GQ13" s="8"/>
      <c r="GS13" s="17"/>
      <c r="GT13" s="17"/>
      <c r="GU13" s="17"/>
      <c r="GV13" s="629"/>
      <c r="GW13" s="17"/>
      <c r="GX13" s="17"/>
      <c r="GY13" s="17"/>
      <c r="GZ13" s="17"/>
    </row>
    <row r="14" spans="1:208" ht="15.6" x14ac:dyDescent="0.3">
      <c r="A14" s="60" t="s">
        <v>148</v>
      </c>
      <c r="B14" s="218"/>
      <c r="C14" s="61" t="str">
        <f t="shared" si="51"/>
        <v>Gaffel</v>
      </c>
      <c r="G14" s="54"/>
      <c r="H14" s="204">
        <f>TBFavrundet</f>
        <v>101</v>
      </c>
      <c r="I14" s="63">
        <f>COUNTA(O14:AG14)</f>
        <v>4</v>
      </c>
      <c r="J14" s="222">
        <f>SUM(O14:AG14)</f>
        <v>83.8</v>
      </c>
      <c r="K14" s="116">
        <f>Seilareal/Depl^0.667/K$7</f>
        <v>0.81067730641792624</v>
      </c>
      <c r="L14" s="116">
        <f>Seilareal/Lwl/Lwl/L$7</f>
        <v>0.80345158197507183</v>
      </c>
      <c r="M14" s="92">
        <f>RiggF</f>
        <v>0.76909307875894994</v>
      </c>
      <c r="N14" s="242">
        <f>StHfaktor</f>
        <v>0.97812643464998594</v>
      </c>
      <c r="O14" s="143"/>
      <c r="P14" s="143"/>
      <c r="Q14" s="143"/>
      <c r="R14" s="143"/>
      <c r="S14" s="165">
        <v>15.5</v>
      </c>
      <c r="T14" s="143"/>
      <c r="U14" s="165">
        <v>19.3</v>
      </c>
      <c r="V14" s="559"/>
      <c r="W14" s="559"/>
      <c r="X14" s="165">
        <v>40</v>
      </c>
      <c r="Y14" s="143"/>
      <c r="Z14" s="143"/>
      <c r="AA14" s="143"/>
      <c r="AB14" s="143"/>
      <c r="AC14" s="165">
        <v>9</v>
      </c>
      <c r="AD14" s="143"/>
      <c r="AE14" s="143"/>
      <c r="AF14" s="143"/>
      <c r="AG14" s="551"/>
      <c r="AH14" s="557"/>
      <c r="AI14" s="557">
        <f t="shared" ref="AI14" si="73">AI13</f>
        <v>10.54</v>
      </c>
      <c r="AJ14" s="337" t="str">
        <f t="shared" ref="AJ14" si="74" xml:space="preserve"> AJ13</f>
        <v>Clipper</v>
      </c>
      <c r="AK14" s="339"/>
      <c r="AL14" s="337">
        <f t="shared" ref="AL14:AN14" si="75" xml:space="preserve"> AL13</f>
        <v>0</v>
      </c>
      <c r="AM14" s="339"/>
      <c r="AN14" s="267" t="str">
        <f t="shared" si="75"/>
        <v>RS</v>
      </c>
      <c r="AO14" s="45">
        <f>VLOOKUP(AN14,Skrogform!$1:$1048576,3,FALSE)</f>
        <v>0.97</v>
      </c>
      <c r="AP14" s="64">
        <f t="shared" si="55"/>
        <v>13.95</v>
      </c>
      <c r="AQ14" s="64">
        <f t="shared" si="55"/>
        <v>12.58</v>
      </c>
      <c r="AR14" s="64">
        <f t="shared" si="55"/>
        <v>4.6500000000000004</v>
      </c>
      <c r="AS14" s="64">
        <f t="shared" si="55"/>
        <v>2.2999999999999998</v>
      </c>
      <c r="AT14" s="64"/>
      <c r="AU14" s="64">
        <f t="shared" si="55"/>
        <v>29.599999999999998</v>
      </c>
      <c r="AV14" s="64">
        <f t="shared" si="55"/>
        <v>5.5</v>
      </c>
      <c r="AW14" s="64">
        <f t="shared" si="55"/>
        <v>3.8</v>
      </c>
      <c r="AX14" s="256">
        <f>AX13</f>
        <v>300</v>
      </c>
      <c r="AY14" s="256">
        <f t="shared" si="55"/>
        <v>120</v>
      </c>
      <c r="AZ14" s="256">
        <f t="shared" si="55"/>
        <v>500</v>
      </c>
      <c r="BA14" s="256">
        <f t="shared" ref="BA14:BB14" si="76">BA13</f>
        <v>200</v>
      </c>
      <c r="BB14" s="256">
        <f t="shared" si="76"/>
        <v>300</v>
      </c>
      <c r="BC14" s="256"/>
      <c r="BD14" s="66"/>
      <c r="BE14" s="66"/>
      <c r="BF14" s="261"/>
      <c r="BG14" s="66"/>
      <c r="BH14" s="175"/>
      <c r="BI14" s="66"/>
      <c r="BJ14" s="66"/>
      <c r="BK14" s="65" t="str">
        <f t="shared" si="57"/>
        <v>Seilrett</v>
      </c>
      <c r="BL14" s="267">
        <f t="shared" si="57"/>
        <v>4</v>
      </c>
      <c r="BM14" s="267">
        <f t="shared" si="57"/>
        <v>61</v>
      </c>
      <c r="BN14" s="45">
        <f t="shared" si="11"/>
        <v>1</v>
      </c>
      <c r="BO14" s="59"/>
      <c r="BP14" s="59"/>
      <c r="BR14" s="49">
        <f t="shared" si="32"/>
        <v>0</v>
      </c>
      <c r="BS14" s="49">
        <f t="shared" si="32"/>
        <v>0</v>
      </c>
      <c r="BT14" s="49">
        <f t="shared" si="32"/>
        <v>0</v>
      </c>
      <c r="BU14" s="49">
        <f t="shared" si="32"/>
        <v>0</v>
      </c>
      <c r="BV14" s="49">
        <f t="shared" si="32"/>
        <v>15.5</v>
      </c>
      <c r="BW14" s="49">
        <f t="shared" si="32"/>
        <v>0</v>
      </c>
      <c r="BX14" s="49">
        <f t="shared" si="32"/>
        <v>19.3</v>
      </c>
      <c r="BY14" s="549">
        <f>IF(COUNT(Q14:U14)&gt;1,MINA(Q14:U14)*BY$9,0)</f>
        <v>-7.75</v>
      </c>
      <c r="BZ14" s="85">
        <f t="shared" si="33"/>
        <v>0</v>
      </c>
      <c r="CA14" s="85">
        <f t="shared" si="33"/>
        <v>0</v>
      </c>
      <c r="CB14" s="85">
        <f t="shared" si="33"/>
        <v>32</v>
      </c>
      <c r="CC14" s="85">
        <f t="shared" si="33"/>
        <v>0</v>
      </c>
      <c r="CD14" s="85">
        <f t="shared" si="33"/>
        <v>0</v>
      </c>
      <c r="CE14" s="85">
        <f>IF(AC14=0,0,AC14*CE$9)</f>
        <v>5.3999999999999995</v>
      </c>
      <c r="CF14" s="85">
        <f t="shared" si="34"/>
        <v>0</v>
      </c>
      <c r="CG14" s="85">
        <f t="shared" si="34"/>
        <v>0</v>
      </c>
      <c r="CH14" s="85">
        <f t="shared" si="35"/>
        <v>0</v>
      </c>
      <c r="CI14" s="85">
        <f t="shared" si="35"/>
        <v>0</v>
      </c>
      <c r="CJ14" s="85">
        <f t="shared" si="35"/>
        <v>0</v>
      </c>
      <c r="CK14" s="85">
        <f t="shared" si="35"/>
        <v>0</v>
      </c>
      <c r="CL14" s="100">
        <f>SUM(BR14:CK14)</f>
        <v>64.45</v>
      </c>
      <c r="CM14" s="50"/>
      <c r="CN14" s="104">
        <f>J14</f>
        <v>83.8</v>
      </c>
      <c r="CO14" s="101">
        <f>CL14/CN14</f>
        <v>0.76909307875894994</v>
      </c>
      <c r="CP14" s="51">
        <f>Seilareal/Lwl/Lwl</f>
        <v>0.52952044909400187</v>
      </c>
      <c r="CQ14" s="116">
        <f>Seilareal/Depl^0.667/K$7</f>
        <v>0.81067730641792624</v>
      </c>
      <c r="CR14" s="51">
        <f>Seilareal/Lwl/Lwl/SApRS1</f>
        <v>0.80345158197507183</v>
      </c>
      <c r="CS14" s="204"/>
      <c r="CT14" s="204">
        <f>(ROUND(TBF/CT$6,3)*CT$6)*CT$4</f>
        <v>101</v>
      </c>
      <c r="CU14" s="107">
        <f t="shared" si="36"/>
        <v>1.0111329771530853</v>
      </c>
      <c r="CV14" s="62">
        <f t="shared" si="13"/>
        <v>2.5201231268095445</v>
      </c>
      <c r="CW14" s="62">
        <f t="shared" si="14"/>
        <v>1.6889902818083384</v>
      </c>
      <c r="CX14" s="62">
        <f t="shared" si="15"/>
        <v>1.8833028354976902</v>
      </c>
      <c r="CY14" s="107">
        <f t="shared" si="16"/>
        <v>0.97812643464998594</v>
      </c>
      <c r="CZ14" s="168" t="str">
        <f t="shared" si="37"/>
        <v>-</v>
      </c>
      <c r="DA14" s="158"/>
      <c r="DB14" s="168" t="str">
        <f t="shared" si="38"/>
        <v>-</v>
      </c>
      <c r="DC14" s="160"/>
      <c r="DD14" s="190" t="s">
        <v>134</v>
      </c>
      <c r="DE14" s="62">
        <v>0.8</v>
      </c>
      <c r="DF14" s="62">
        <v>0.82</v>
      </c>
      <c r="DG14" s="62">
        <v>0.8</v>
      </c>
      <c r="DH14" s="150">
        <v>0.84</v>
      </c>
      <c r="DI14" s="62">
        <f t="shared" si="39"/>
        <v>2.0499999999999998</v>
      </c>
      <c r="DJ14" s="47">
        <f t="shared" si="17"/>
        <v>12.616566099835435</v>
      </c>
      <c r="DK14" s="48">
        <f t="shared" si="18"/>
        <v>0</v>
      </c>
      <c r="DM14" s="107">
        <f t="shared" si="25"/>
        <v>1.010623421562046</v>
      </c>
      <c r="DN14" s="141" t="str">
        <f t="shared" si="58"/>
        <v>-</v>
      </c>
      <c r="DO14" s="107">
        <f t="shared" si="19"/>
        <v>4.3276039997099467</v>
      </c>
      <c r="DP14" s="133">
        <f t="shared" si="59"/>
        <v>2.5955531921410695</v>
      </c>
      <c r="DQ14" s="133">
        <f t="shared" si="60"/>
        <v>0</v>
      </c>
      <c r="DR14" s="133">
        <f t="shared" si="61"/>
        <v>0</v>
      </c>
      <c r="DS14" s="133">
        <f t="shared" si="62"/>
        <v>1.7320508075688772</v>
      </c>
      <c r="DT14" s="107">
        <f t="shared" si="63"/>
        <v>1.8833028354976902</v>
      </c>
      <c r="DU14" s="133">
        <f t="shared" si="64"/>
        <v>2.0302373751074416</v>
      </c>
      <c r="DW14" s="107">
        <f>IF(SeilBeregnet=0,"-",DW$7*(DW$4*(LBf+SaDeplf)*Lf*PropF+DW$6)+ErfaringsF+Dyp_F)</f>
        <v>1.0077987397241459</v>
      </c>
      <c r="DX14" s="107">
        <f t="shared" si="40"/>
        <v>1.0003225679252665</v>
      </c>
      <c r="DZ14" s="107">
        <f t="shared" si="41"/>
        <v>1.0127060200225564</v>
      </c>
      <c r="EA14" s="122" t="str">
        <f t="shared" si="65"/>
        <v>-</v>
      </c>
      <c r="EB14" s="107">
        <f t="shared" si="42"/>
        <v>1.0050887615017605</v>
      </c>
      <c r="EC14" s="122" t="str">
        <f t="shared" si="66"/>
        <v>-</v>
      </c>
      <c r="ED14" s="107">
        <f t="shared" si="67"/>
        <v>2.5952894110890221</v>
      </c>
      <c r="EE14" s="107">
        <f t="shared" si="68"/>
        <v>2.3255386279619175</v>
      </c>
      <c r="EF14" s="107">
        <f>IF(SeilBeregnet=0,EF13,((Loa+Lwl)/Bredde)^EF$3)</f>
        <v>1.5455073481707255</v>
      </c>
      <c r="EH14" s="107">
        <f t="shared" si="43"/>
        <v>1.0108218310734891</v>
      </c>
      <c r="EJ14" s="107">
        <f t="shared" si="69"/>
        <v>2.5952894110890221</v>
      </c>
      <c r="EK14" s="107">
        <f>IF(SeilBeregnet=0,EK13,Lwl^EK$3)</f>
        <v>2.3257152901382043</v>
      </c>
      <c r="EL14" s="107">
        <f>IF(SeilBeregnet=0,EL13,((Loa+Lwl)/Bredde)^EL$3)</f>
        <v>1.7867737200389522</v>
      </c>
      <c r="EM14" s="107">
        <f t="shared" si="44"/>
        <v>1.0090189759992871</v>
      </c>
      <c r="EO14" s="107">
        <f>IF(SeilBeregnet=0,EO13,(EP14*EQ14)^EO$3)</f>
        <v>4.011038855467759</v>
      </c>
      <c r="EP14" s="107">
        <f t="shared" si="70"/>
        <v>2.5952894110890221</v>
      </c>
      <c r="EQ14" s="107">
        <f>IF(SeilBeregnet=0,EQ13,((Loa+Lwl)/Bredde)^EQ$3)</f>
        <v>1.5455073481707255</v>
      </c>
      <c r="ER14" s="107">
        <f>IF(SeilBeregnet=0,ER13,Lwl^ER$3)</f>
        <v>1.8833028354976902</v>
      </c>
      <c r="ES14" s="107">
        <f t="shared" si="26"/>
        <v>1.0056451672127287</v>
      </c>
      <c r="EU14" s="107">
        <f>IF(SeilBeregnet=0,EU13,(EV:EV*EW:EW)^EU$3)</f>
        <v>1.6008827619675918</v>
      </c>
      <c r="EV14" s="107">
        <f t="shared" si="71"/>
        <v>2.5952894110890221</v>
      </c>
      <c r="EW14" s="107">
        <f>IF(SeilBeregnet=0,EW13,((Loa+Lwl)/Bredde/6)^EW$3)</f>
        <v>0.98749126267562803</v>
      </c>
      <c r="EX14" s="107">
        <f>IF(SeilBeregnet=0,EX13,(Lwl*0.7+Loa*0.3)^EX$3)</f>
        <v>1.8985001932932792</v>
      </c>
      <c r="EY14" s="107">
        <f t="shared" si="27"/>
        <v>1.0220131012244773</v>
      </c>
      <c r="FA14" s="107">
        <f t="shared" si="20"/>
        <v>1.600964115478277</v>
      </c>
      <c r="FB14" s="107">
        <f t="shared" si="72"/>
        <v>2.5955531921410695</v>
      </c>
      <c r="FC14" s="107">
        <f>IF(SeilBeregnet=0,FC13,((Loa+Lwl)/Bredde/6)^FC$3)</f>
        <v>0.98749126267562803</v>
      </c>
      <c r="FD14" s="107">
        <f>IF(SeilBeregnet=0,FD13,(Lwl*0.7+Loa*0.3)^FD$3)</f>
        <v>1.8985001932932792</v>
      </c>
      <c r="FE14" s="107">
        <f t="shared" si="28"/>
        <v>1.0158425762556704</v>
      </c>
      <c r="FF14" s="141" t="str">
        <f t="shared" si="45"/>
        <v>-</v>
      </c>
      <c r="FG14" s="107">
        <f t="shared" si="21"/>
        <v>2.5310251282963865</v>
      </c>
      <c r="FH14" s="133">
        <f>IF(SeilBeregnet=0,FH13,(SeilBeregnet^0.5/(Depl^0.3333))^FH$3)</f>
        <v>2.5955531921410695</v>
      </c>
      <c r="FI14" s="133">
        <f>IF(SeilBeregnet=0,FI13,((Loa+Lwl)/Bredde/6)^FI$3)</f>
        <v>0.97513899386070613</v>
      </c>
      <c r="FJ14" s="107">
        <f>IF(SeilBeregnet=0,FJ13,(Lwl*0.07+Loa*0.03)^FJ$3)</f>
        <v>1.0676051145706766</v>
      </c>
      <c r="FK14" s="107">
        <f t="shared" si="29"/>
        <v>1.0008363429747418</v>
      </c>
      <c r="FL14" s="141" t="str">
        <f t="shared" si="46"/>
        <v>-</v>
      </c>
      <c r="FM14" s="107">
        <f t="shared" si="22"/>
        <v>4.4657658228077626</v>
      </c>
      <c r="FN14" s="133">
        <f>IF(SeilBeregnet=0,FN13,(SeilBeregnet^0.5/(Depl^0.3333))^FN$3)</f>
        <v>2.5955531921410695</v>
      </c>
      <c r="FO14" s="133">
        <f>IF(SeilBeregnet=0,FO13,(SeilBeregnet^0.5/Lwl*FO$7)^FO$3)</f>
        <v>0.63816182309781566</v>
      </c>
      <c r="FP14" s="133">
        <f>IF(SeilBeregnet=0,FP13,((Loa)/Bredde)^FP$3*FP$7)</f>
        <v>1.7320508075688772</v>
      </c>
      <c r="FQ14" s="107">
        <f>IF(SeilBeregnet=0,FQ13,(Lwl)^FQ$3)</f>
        <v>1.8833028354976902</v>
      </c>
      <c r="FR14" s="107">
        <f t="shared" si="30"/>
        <v>1.0239900206793691</v>
      </c>
      <c r="FS14" s="141" t="str">
        <f t="shared" si="47"/>
        <v>-</v>
      </c>
      <c r="FT14" s="107">
        <f t="shared" si="23"/>
        <v>4.4956300025359166</v>
      </c>
      <c r="FU14" s="133">
        <f>IF(SeilBeregnet=0,FU13,(SeilBeregnet^0.5/(Depl^0.3333))^FU$3)</f>
        <v>2.5955531921410695</v>
      </c>
      <c r="FV14" s="133">
        <f>IF(SeilBeregnet=0,FV13,(Loa/Bredde)^FV$3)</f>
        <v>1.7320508075688772</v>
      </c>
      <c r="FW14" s="107">
        <f>IF(SeilBeregnet=0,FW13,Lwl^FW$3)</f>
        <v>1.8833028354976902</v>
      </c>
      <c r="FY14">
        <v>0.95</v>
      </c>
      <c r="FZ14" s="62">
        <f t="shared" si="48"/>
        <v>1.0638681816534354</v>
      </c>
      <c r="GA14" s="62">
        <f t="shared" si="49"/>
        <v>2.0302373751074416</v>
      </c>
      <c r="GB14" s="107">
        <f t="shared" si="50"/>
        <v>1.032689604107301</v>
      </c>
      <c r="GC14" s="440"/>
      <c r="GD14" s="17"/>
      <c r="GE14" s="442"/>
      <c r="GF14" s="462"/>
      <c r="GG14" s="17"/>
      <c r="GH14" s="17"/>
      <c r="GI14" s="17"/>
      <c r="GJ14" s="17"/>
      <c r="GL14" s="17"/>
      <c r="GM14" s="442"/>
      <c r="GN14" s="8"/>
      <c r="GO14" s="8"/>
      <c r="GP14" s="8"/>
      <c r="GQ14" s="8"/>
      <c r="GS14" s="17"/>
      <c r="GT14" s="17"/>
      <c r="GU14" s="17"/>
      <c r="GV14" s="629"/>
      <c r="GW14" s="17"/>
      <c r="GX14" s="17"/>
      <c r="GY14" s="17"/>
      <c r="GZ14" s="17"/>
    </row>
    <row r="15" spans="1:208" ht="15.6" x14ac:dyDescent="0.3">
      <c r="A15" s="52" t="s">
        <v>56</v>
      </c>
      <c r="B15" s="218">
        <f t="shared" si="10"/>
        <v>47.408136482939625</v>
      </c>
      <c r="C15" s="53" t="s">
        <v>19</v>
      </c>
      <c r="D15" s="53"/>
      <c r="E15" s="53"/>
      <c r="F15" s="53"/>
      <c r="G15" s="54"/>
      <c r="H15" s="112">
        <f>J16</f>
        <v>126.80000000000001</v>
      </c>
      <c r="I15" s="601">
        <f>H16/100</f>
        <v>1.145</v>
      </c>
      <c r="J15" s="651">
        <f>IF(DC16=0,"-",DC16)</f>
        <v>1.22</v>
      </c>
      <c r="K15" s="123" t="str">
        <f>A15</f>
        <v>RS 5 Liv</v>
      </c>
      <c r="L15" s="116"/>
      <c r="M15" s="116"/>
      <c r="N15" s="92"/>
      <c r="O15" s="165"/>
      <c r="P15" s="165"/>
      <c r="Q15" s="165"/>
      <c r="R15" s="165">
        <v>26.3</v>
      </c>
      <c r="S15" s="165">
        <v>15.8</v>
      </c>
      <c r="T15" s="165"/>
      <c r="U15" s="165">
        <v>20.2</v>
      </c>
      <c r="V15" s="559"/>
      <c r="W15" s="559"/>
      <c r="X15" s="165">
        <v>38.5</v>
      </c>
      <c r="Y15" s="165"/>
      <c r="Z15" s="165"/>
      <c r="AA15" s="165">
        <v>13.9</v>
      </c>
      <c r="AB15" s="165"/>
      <c r="AC15" s="165">
        <v>21</v>
      </c>
      <c r="AD15" s="165">
        <v>6.9</v>
      </c>
      <c r="AE15" s="165"/>
      <c r="AF15" s="165"/>
      <c r="AG15" s="552"/>
      <c r="AH15" s="241">
        <v>7.17</v>
      </c>
      <c r="AI15" s="241">
        <v>10.77</v>
      </c>
      <c r="AJ15" s="554"/>
      <c r="AK15" s="339"/>
      <c r="AL15" s="268"/>
      <c r="AM15" s="339"/>
      <c r="AN15" s="268" t="s">
        <v>233</v>
      </c>
      <c r="AO15" s="45">
        <f>VLOOKUP(AN15,Skrogform!$1:$1048576,3,FALSE)</f>
        <v>0.97</v>
      </c>
      <c r="AP15" s="55">
        <v>14.45</v>
      </c>
      <c r="AQ15" s="55">
        <v>13.12</v>
      </c>
      <c r="AR15" s="55">
        <v>3.95</v>
      </c>
      <c r="AS15" s="55">
        <v>2.5499999999999998</v>
      </c>
      <c r="AT15" s="637">
        <v>37.5</v>
      </c>
      <c r="AU15" s="171">
        <v>32.5</v>
      </c>
      <c r="AV15" s="55">
        <v>7</v>
      </c>
      <c r="AW15" s="55">
        <v>6.1</v>
      </c>
      <c r="AX15" s="253">
        <v>300</v>
      </c>
      <c r="AY15" s="253">
        <v>80</v>
      </c>
      <c r="AZ15" s="254">
        <f>AY15*7</f>
        <v>560</v>
      </c>
      <c r="BA15" s="253">
        <v>200</v>
      </c>
      <c r="BB15" s="253">
        <v>300</v>
      </c>
      <c r="BC15" s="244">
        <f>Depl+Diesel/1000*0.84+Vann/1000</f>
        <v>32.952000000000005</v>
      </c>
      <c r="BD15" s="95">
        <f>Bredde/(Loa+Lwl)*2</f>
        <v>0.28654334421472616</v>
      </c>
      <c r="BE15" s="95">
        <f>(Kjøl+Ballast)/Depl</f>
        <v>0.40307692307692305</v>
      </c>
      <c r="BF15" s="260">
        <f>BF$7*((Depl-Kjøl-Ballast-VektMotor/1000-VektAnnet/1000)/Lwl/Lwl/Bredde)</f>
        <v>1.029021829350111</v>
      </c>
      <c r="BG15" s="95">
        <f>BG$7*(Depl/Loa/Lwl/Lwl)</f>
        <v>0.96152831740779321</v>
      </c>
      <c r="BH15" s="174">
        <f>BH$7*(Depl/Loa/Lwl/Bredde)</f>
        <v>1.1805139680910961</v>
      </c>
      <c r="BI15" s="95">
        <f>BI$7*Bredde/(Loa+Lwl)*2</f>
        <v>0.81741880881899831</v>
      </c>
      <c r="BJ15" s="95">
        <f>BJ$7*(Dypg/Lwl)</f>
        <v>1.063063361611877</v>
      </c>
      <c r="BK15" s="56" t="s">
        <v>21</v>
      </c>
      <c r="BL15" s="268">
        <v>4</v>
      </c>
      <c r="BM15" s="268">
        <v>56</v>
      </c>
      <c r="BN15" s="45">
        <f t="shared" si="11"/>
        <v>1</v>
      </c>
      <c r="BO15" s="59"/>
      <c r="BP15" s="59"/>
      <c r="BR15" s="209"/>
      <c r="BS15" s="209"/>
      <c r="BT15" s="209" t="str">
        <f>$A15</f>
        <v>RS 5 Liv</v>
      </c>
      <c r="BU15" s="10"/>
      <c r="BV15" s="10"/>
      <c r="BW15" s="10"/>
      <c r="BX15" s="10"/>
      <c r="BY15" s="549"/>
      <c r="BZ15" s="10"/>
      <c r="CA15" s="10"/>
      <c r="CB15" s="209" t="str">
        <f>$A15</f>
        <v>RS 5 Liv</v>
      </c>
      <c r="CC15" s="10"/>
      <c r="CD15" s="10"/>
      <c r="CE15" s="10"/>
      <c r="CF15" s="10"/>
      <c r="CG15" s="10"/>
      <c r="CH15" s="10"/>
      <c r="CI15" s="10"/>
      <c r="CJ15" s="10"/>
      <c r="CK15" s="10"/>
      <c r="CL15" s="209"/>
      <c r="CM15" s="10"/>
      <c r="CN15" s="209" t="str">
        <f>$A15</f>
        <v>RS 5 Liv</v>
      </c>
      <c r="CO15" s="207"/>
      <c r="CP15" s="207"/>
      <c r="CQ15" s="116"/>
      <c r="CR15" s="207"/>
      <c r="CS15" s="203"/>
      <c r="CT15" s="203" t="s">
        <v>23</v>
      </c>
      <c r="CU15" s="107" t="str">
        <f>IF(SeilBeregnet=0,"-",CU$7*(SaDeplf+LBf)*Lf*Skrogfaktor*PropF*(Mast+1)+ErfaringsF)</f>
        <v>-</v>
      </c>
      <c r="CV15" s="62" t="str">
        <f t="shared" si="13"/>
        <v>-</v>
      </c>
      <c r="CW15" s="62" t="str">
        <f>IF(SeilBeregnet=0,"-",((Loa+Lwl)/2/Bredde)^(1/CW$7))</f>
        <v>-</v>
      </c>
      <c r="CX15" s="62" t="str">
        <f>IF(SeilBeregnet=0,"-",(Lwl)^(1/CX$7))</f>
        <v>-</v>
      </c>
      <c r="CY15" s="107" t="str">
        <f>IF(SeilBeregnet=0,"-",(StH/Lwl)^(1/CY$7))</f>
        <v>-</v>
      </c>
      <c r="CZ15" s="168">
        <f>IF(DA15=0,"-",IF(CP15="TBF","-",CZ$7*DA15))</f>
        <v>1.1223529411764706</v>
      </c>
      <c r="DA15" s="158">
        <v>0.9</v>
      </c>
      <c r="DB15" s="168" t="str">
        <f>IF(DC15=0,"-",IF(CT15="TBF","-",DB$7*DC15))</f>
        <v>-</v>
      </c>
      <c r="DC15" s="160">
        <v>1.22</v>
      </c>
      <c r="DD15" s="190" t="s">
        <v>134</v>
      </c>
      <c r="DE15" s="29" t="s">
        <v>23</v>
      </c>
      <c r="DF15" s="29" t="s">
        <v>23</v>
      </c>
      <c r="DG15" s="29" t="s">
        <v>23</v>
      </c>
      <c r="DH15" s="149">
        <v>2022</v>
      </c>
      <c r="DI15" s="62" t="str">
        <f>IF(SeilBeregnet=0,"-",((Dypg/(Lwl+DI$6-Bredde*DI$5))^(1/DI$4)*5)*DI$3*DI$7)</f>
        <v>-</v>
      </c>
      <c r="DJ15" s="47">
        <f>(Dypg/(Lwl+Bredde+DJ$8)*100)</f>
        <v>14.111787493082456</v>
      </c>
      <c r="DK15" s="48">
        <f>DJ$7*IF(DJ15&lt;DJ$5,-0.04,IF(DJ15&lt;DJ$5*1.1,-0.03,IF(DJ15&lt;DJ$5*1.2,-0.02,IF(DJ15&lt;DJ$5*1.3,-0.01,0))))</f>
        <v>0</v>
      </c>
      <c r="DM15" s="107" t="str">
        <f t="shared" si="25"/>
        <v>-</v>
      </c>
      <c r="DN15" s="141" t="str">
        <f>IF($DY15=0,"-",(DM15-$DW15)*100)</f>
        <v>-</v>
      </c>
      <c r="DO15" s="107">
        <f>SUM(DP15:DS15)^DO$3+DO$7</f>
        <v>4.3276039997099467</v>
      </c>
      <c r="DP15" s="133">
        <f>IF(SeilBeregnet=0,DP14,(SeilBeregnet^0.5/(Depl^0.3333))^DP$3*DP$7)</f>
        <v>2.5955531921410695</v>
      </c>
      <c r="DQ15" s="133">
        <f>IF(SeilBeregnet=0,DQ14,(SeilBeregnet^0.5/Lwl)^DQ$3*DQ$7)</f>
        <v>0</v>
      </c>
      <c r="DR15" s="133">
        <f>IF(SeilBeregnet=0,DR14,(0.1*Loa/Depl^0.3333)^DR$3*DR$7)</f>
        <v>0</v>
      </c>
      <c r="DS15" s="133">
        <f>IF(SeilBeregnet=0,DS14,((Loa)/Bredde)^DS$3*DS$7)</f>
        <v>1.7320508075688772</v>
      </c>
      <c r="DT15" s="107">
        <f>IF(SeilBeregnet=0,DT14,(Lwl)^DT$3)</f>
        <v>1.8833028354976902</v>
      </c>
      <c r="DU15" s="133">
        <f>IF(SeilBeregnet=0,DU14,(Dypg/Loa)^DU$3*5*DU$7)</f>
        <v>2.0302373751074416</v>
      </c>
      <c r="DW15" s="107" t="str">
        <f t="shared" ref="DW15:DW19" si="77">IF(SeilBeregnet=0,"-",Skaleringsfaktor*(1*(LBf+SaDeplf)*Lf*PropF+Strikkf2)+ErfaringsF+Dyp_F)</f>
        <v>-</v>
      </c>
      <c r="DX15" s="107" t="str">
        <f>IF(SeilBeregnet=0,"-",DX$7*(DX$4*SeilBeregnet^0.5/(Depl^0.33333*Bredde*Lwl)^0.3333*((Loa*0.03+Lwl*0.07)^0.33)*PropF+DX$6)+ErfaringsF+Dyp_F)</f>
        <v>-</v>
      </c>
      <c r="DZ15" s="107" t="str">
        <f>IF(SeilBeregnet=0,"-",DZ$7*(DZ$4*SeilBeregnet^0.5/(Depl^0.33333*Bredde*Lwl)^0.3333*Lwl^0.3333*((Loa+Lwl)/Bredde/6)^0.25*PropF+DZ$6)+ErfaringsF+Dyp_F)</f>
        <v>-</v>
      </c>
      <c r="EA15" s="122" t="str">
        <f>IF($DY15=0,"-",DZ15-$DW15)</f>
        <v>-</v>
      </c>
      <c r="EB15" s="107" t="str">
        <f>IF(SeilBeregnet=0,"-",EB$7*(EB$4*ED15*EE15*EF15*PropF+EB$6)+ErfaringsF+Dyp_F)</f>
        <v>-</v>
      </c>
      <c r="EC15" s="122" t="str">
        <f>IF($DY15=0,"-",EB15-$DW15)</f>
        <v>-</v>
      </c>
      <c r="ED15" s="107">
        <f>IF(SeilBeregnet=0,ED109,SeilBeregnet^0.5/Depl^0.33333)</f>
        <v>2.8876274487847118</v>
      </c>
      <c r="EE15" s="107">
        <f>IF(SeilBeregnet=0,EE109,Lwl^0.3333)</f>
        <v>2.317501078004538</v>
      </c>
      <c r="EF15" s="107">
        <f>IF(SeilBeregnet=0,EF109,((Loa+Lwl)/Bredde)^EF$3)</f>
        <v>1.6238537419499199</v>
      </c>
      <c r="EH15" s="107" t="str">
        <f>IF(SeilBeregnet=0,"-",EH$7*(EH$4*EJ15*EK15*EL15*PropF+EH$6)+ErfaringsF+Dyp_F)</f>
        <v>-</v>
      </c>
      <c r="EJ15" s="107">
        <f>IF(SeilBeregnet=0,EJ109,SeilBeregnet^0.5/Depl^0.33333)</f>
        <v>2.8876274487847118</v>
      </c>
      <c r="EK15" s="107">
        <f>IF(SeilBeregnet=0,EK109,Lwl^EK$3)</f>
        <v>2.3176764073442899</v>
      </c>
      <c r="EL15" s="107">
        <f>IF(SeilBeregnet=0,EL109,((Loa+Lwl)/Bredde)^EL$3)</f>
        <v>1.9085394483088816</v>
      </c>
      <c r="EM15" s="107" t="str">
        <f>IF(SeilBeregnet=0,"-",EM$7*(EM$4*EO15+EM$6)*ER15*PropF+ErfaringsF+Dyp_F)</f>
        <v>-</v>
      </c>
      <c r="EO15" s="107">
        <f>IF(SeilBeregnet=0,EO109,(EP15*EQ15)^EO$3)</f>
        <v>4.6890846380663547</v>
      </c>
      <c r="EP15" s="107">
        <f>IF(SeilBeregnet=0,EP109,SeilBeregnet^0.5/Depl^0.33333)</f>
        <v>2.8876274487847118</v>
      </c>
      <c r="EQ15" s="107">
        <f>IF(SeilBeregnet=0,EQ109,((Loa+Lwl)/Bredde)^EQ$3)</f>
        <v>1.6238537419499199</v>
      </c>
      <c r="ER15" s="107">
        <f>IF(SeilBeregnet=0,ER109,Lwl^ER$3)</f>
        <v>1.878418417945126</v>
      </c>
      <c r="ES15" s="107" t="str">
        <f t="shared" si="26"/>
        <v>-</v>
      </c>
      <c r="EU15" s="107">
        <f>IF(SeilBeregnet=0,EU109,(EV:EV*EW:EW)^EU$3)</f>
        <v>1.7309125612576814</v>
      </c>
      <c r="EV15" s="107">
        <f>IF(SeilBeregnet=0,EV109,SeilBeregnet^0.5/Depl^0.33333)</f>
        <v>2.8876274487847118</v>
      </c>
      <c r="EW15" s="107">
        <f>IF(SeilBeregnet=0,EW109,((Loa+Lwl)/Bredde/6)^EW$3)</f>
        <v>1.0375501507234075</v>
      </c>
      <c r="EX15" s="107">
        <f>IF(SeilBeregnet=0,EX109,(Lwl*0.7+Loa*0.3)^EX$3)</f>
        <v>1.8992304700730467</v>
      </c>
      <c r="EY15" s="107" t="str">
        <f t="shared" si="27"/>
        <v>-</v>
      </c>
      <c r="FA15" s="107">
        <f t="shared" si="20"/>
        <v>1.7309939721670038</v>
      </c>
      <c r="FB15" s="107">
        <f>IF(SeilBeregnet=0,FB109,SeilBeregnet^0.5/Depl^0.3333)</f>
        <v>2.8878990857351559</v>
      </c>
      <c r="FC15" s="107">
        <f>IF(SeilBeregnet=0,FC109,((Loa+Lwl)/Bredde/6)^FC$3)</f>
        <v>1.0375501507234075</v>
      </c>
      <c r="FD15" s="107">
        <f>IF(SeilBeregnet=0,FD109,(Lwl*0.7+Loa*0.3)^FD$3)</f>
        <v>1.8992304700730467</v>
      </c>
      <c r="FE15" s="107" t="str">
        <f t="shared" si="28"/>
        <v>-</v>
      </c>
      <c r="FF15" s="141" t="str">
        <f>IF($DY15=0,"-",(FE15-$DW15)*100)</f>
        <v>-</v>
      </c>
      <c r="FG15" s="107">
        <f t="shared" si="21"/>
        <v>3.1088531552416239</v>
      </c>
      <c r="FH15" s="133">
        <f>IF(SeilBeregnet=0,FH109,(SeilBeregnet^0.5/(Depl^0.3333))^FH$3)</f>
        <v>2.8878990857351559</v>
      </c>
      <c r="FI15" s="133">
        <f>IF(SeilBeregnet=0,FI109,((Loa+Lwl)/Bredde/6)^FI$3)</f>
        <v>1.0765103152661655</v>
      </c>
      <c r="FJ15" s="107">
        <f>IF(SeilBeregnet=0,FJ109,(Lwl*0.07+Loa*0.03)^FJ$3)</f>
        <v>1.0680157793827667</v>
      </c>
      <c r="FK15" s="107" t="str">
        <f t="shared" si="29"/>
        <v>-</v>
      </c>
      <c r="FL15" s="141" t="str">
        <f>IF($DY15=0,"-",(FK15-$DW15)*100)</f>
        <v>-</v>
      </c>
      <c r="FM15" s="107">
        <f t="shared" si="22"/>
        <v>4.9760883411233081</v>
      </c>
      <c r="FN15" s="133">
        <f>IF(SeilBeregnet=0,FN109,(SeilBeregnet^0.5/(Depl^0.3333))^FN$3)</f>
        <v>2.8878990857351559</v>
      </c>
      <c r="FO15" s="133">
        <f>IF(SeilBeregnet=0,FO109,(SeilBeregnet^0.5/Lwl*FO$7)^FO$3)</f>
        <v>0.65959377694262877</v>
      </c>
      <c r="FP15" s="133">
        <f>IF(SeilBeregnet=0,FP109,((Loa)/Bredde)^FP$3*FP$7)</f>
        <v>1.9285954784455239</v>
      </c>
      <c r="FQ15" s="107">
        <f>IF(SeilBeregnet=0,FQ109,(Lwl)^FQ$3)</f>
        <v>1.878418417945126</v>
      </c>
      <c r="FR15" s="107" t="str">
        <f t="shared" si="30"/>
        <v>-</v>
      </c>
      <c r="FS15" s="141" t="str">
        <f>IF($DY15=0,"-",(FR15-$DW15)*100)</f>
        <v>-</v>
      </c>
      <c r="FT15" s="107">
        <f t="shared" si="23"/>
        <v>5.5695891189557845</v>
      </c>
      <c r="FU15" s="133">
        <f>IF(SeilBeregnet=0,FU109,(SeilBeregnet^0.5/(Depl^0.3333))^FU$3)</f>
        <v>2.8878990857351559</v>
      </c>
      <c r="FV15" s="133">
        <f>IF(SeilBeregnet=0,FV109,(Loa/Bredde)^FV$3)</f>
        <v>1.9285954784455239</v>
      </c>
      <c r="FW15" s="107">
        <f>IF(SeilBeregnet=0,FW109,Lwl^FW$3)</f>
        <v>1.878418417945126</v>
      </c>
      <c r="FY15">
        <v>0.95</v>
      </c>
      <c r="FZ15" s="62" t="str">
        <f t="shared" si="48"/>
        <v>-</v>
      </c>
      <c r="GA15" s="62">
        <f t="shared" si="49"/>
        <v>2.1004201260420148</v>
      </c>
      <c r="GB15" s="107" t="str">
        <f>IF(SeilBeregnet=0,"-",GB$7*(((SeilBeregnet*StHfaktor)/(Depl+DeplTillegg/1000+Vann/1000+Diesel/1000*0.84))^(1/3)/Bredde)^(1/GB$5)*Lwl^(1/GB$4)*Skrogfaktor*PropF*(Mast+1)+ErfaringsF)</f>
        <v>-</v>
      </c>
      <c r="GC15" s="441" t="s">
        <v>441</v>
      </c>
      <c r="GD15" s="57" t="s">
        <v>57</v>
      </c>
      <c r="GE15" s="436" t="s">
        <v>960</v>
      </c>
      <c r="GF15" s="75"/>
      <c r="GG15" s="57"/>
      <c r="GH15" s="57" t="s">
        <v>961</v>
      </c>
      <c r="GI15" s="57" t="s">
        <v>416</v>
      </c>
      <c r="GJ15" s="57" t="s">
        <v>503</v>
      </c>
      <c r="GL15" s="57" t="s">
        <v>478</v>
      </c>
      <c r="GM15" s="436" t="s">
        <v>478</v>
      </c>
      <c r="GN15" s="58" t="s">
        <v>478</v>
      </c>
      <c r="GO15" s="58" t="s">
        <v>478</v>
      </c>
      <c r="GP15" s="58" t="s">
        <v>478</v>
      </c>
      <c r="GQ15" s="58" t="s">
        <v>478</v>
      </c>
      <c r="GS15" s="57" t="s">
        <v>470</v>
      </c>
      <c r="GT15" s="57" t="s">
        <v>463</v>
      </c>
      <c r="GU15" s="57" t="s">
        <v>660</v>
      </c>
      <c r="GV15" s="599" t="s">
        <v>966</v>
      </c>
      <c r="GW15" s="57">
        <v>1894</v>
      </c>
      <c r="GX15" s="57" t="s">
        <v>431</v>
      </c>
      <c r="GY15" s="57" t="s">
        <v>467</v>
      </c>
      <c r="GZ15" s="57" t="s">
        <v>478</v>
      </c>
    </row>
    <row r="16" spans="1:208" ht="15.6" x14ac:dyDescent="0.3">
      <c r="A16" s="60" t="s">
        <v>119</v>
      </c>
      <c r="B16" s="218"/>
      <c r="C16" s="61" t="str">
        <f>C15</f>
        <v>Gaffel</v>
      </c>
      <c r="D16" s="61"/>
      <c r="E16" s="61"/>
      <c r="F16" s="61"/>
      <c r="G16" s="54"/>
      <c r="H16" s="204">
        <f>TBFavrundet</f>
        <v>114.5</v>
      </c>
      <c r="I16" s="63">
        <f>COUNTA(O16:AG16)</f>
        <v>6</v>
      </c>
      <c r="J16" s="222">
        <f>SUM(O16:AG16)</f>
        <v>126.80000000000001</v>
      </c>
      <c r="K16" s="116">
        <f>Seilareal/Depl^0.667/K$7</f>
        <v>1.1525203972286253</v>
      </c>
      <c r="L16" s="116">
        <f>Seilareal/Lwl/Lwl/L$7</f>
        <v>1.1177085091938952</v>
      </c>
      <c r="M16" s="92">
        <f>RiggF</f>
        <v>0.69495268138801258</v>
      </c>
      <c r="N16" s="242">
        <f>StHfaktor</f>
        <v>0.97563019635745418</v>
      </c>
      <c r="O16" s="143"/>
      <c r="P16" s="143"/>
      <c r="Q16" s="143"/>
      <c r="R16" s="165">
        <v>26.3</v>
      </c>
      <c r="S16" s="143"/>
      <c r="T16" s="143"/>
      <c r="U16" s="165">
        <v>20.2</v>
      </c>
      <c r="V16" s="559"/>
      <c r="W16" s="559"/>
      <c r="X16" s="165">
        <v>38.5</v>
      </c>
      <c r="Y16" s="143"/>
      <c r="Z16" s="143"/>
      <c r="AA16" s="165">
        <v>13.9</v>
      </c>
      <c r="AB16" s="143"/>
      <c r="AC16" s="165">
        <v>21</v>
      </c>
      <c r="AD16" s="165">
        <v>6.9</v>
      </c>
      <c r="AE16" s="143"/>
      <c r="AF16" s="143"/>
      <c r="AG16" s="551"/>
      <c r="AH16" s="557"/>
      <c r="AI16" s="557">
        <f>AI15</f>
        <v>10.77</v>
      </c>
      <c r="AJ16" s="337">
        <f xml:space="preserve"> AJ15</f>
        <v>0</v>
      </c>
      <c r="AK16" s="339"/>
      <c r="AL16" s="337">
        <f xml:space="preserve"> AL15</f>
        <v>0</v>
      </c>
      <c r="AM16" s="339"/>
      <c r="AN16" s="267" t="str">
        <f xml:space="preserve"> AN15</f>
        <v>RS</v>
      </c>
      <c r="AO16" s="45">
        <f>VLOOKUP(AN16,Skrogform!$1:$1048576,3,FALSE)</f>
        <v>0.97</v>
      </c>
      <c r="AP16" s="64">
        <f t="shared" ref="AP16:BB16" si="78">AP15</f>
        <v>14.45</v>
      </c>
      <c r="AQ16" s="64">
        <f t="shared" si="78"/>
        <v>13.12</v>
      </c>
      <c r="AR16" s="64">
        <f t="shared" si="78"/>
        <v>3.95</v>
      </c>
      <c r="AS16" s="64">
        <f t="shared" si="78"/>
        <v>2.5499999999999998</v>
      </c>
      <c r="AT16" s="64"/>
      <c r="AU16" s="64">
        <f t="shared" si="78"/>
        <v>32.5</v>
      </c>
      <c r="AV16" s="64">
        <f t="shared" si="78"/>
        <v>7</v>
      </c>
      <c r="AW16" s="64">
        <f t="shared" si="78"/>
        <v>6.1</v>
      </c>
      <c r="AX16" s="256">
        <f t="shared" si="78"/>
        <v>300</v>
      </c>
      <c r="AY16" s="256">
        <f t="shared" si="78"/>
        <v>80</v>
      </c>
      <c r="AZ16" s="256">
        <f t="shared" si="78"/>
        <v>560</v>
      </c>
      <c r="BA16" s="256">
        <f t="shared" si="78"/>
        <v>200</v>
      </c>
      <c r="BB16" s="256">
        <f t="shared" si="78"/>
        <v>300</v>
      </c>
      <c r="BC16" s="256"/>
      <c r="BD16" s="66"/>
      <c r="BE16" s="66"/>
      <c r="BF16" s="261"/>
      <c r="BG16" s="66"/>
      <c r="BH16" s="175"/>
      <c r="BI16" s="66"/>
      <c r="BJ16" s="66"/>
      <c r="BK16" s="65" t="str">
        <f xml:space="preserve"> BK15</f>
        <v>Seilrett</v>
      </c>
      <c r="BL16" s="267">
        <f xml:space="preserve"> BL15</f>
        <v>4</v>
      </c>
      <c r="BM16" s="267">
        <f xml:space="preserve"> BM15</f>
        <v>56</v>
      </c>
      <c r="BN16" s="45">
        <f t="shared" si="11"/>
        <v>1</v>
      </c>
      <c r="BO16" s="59"/>
      <c r="BP16" s="59"/>
      <c r="BR16" s="49">
        <f t="shared" ref="BR16:BX19" si="79">IF(O16=0,0,O16*BR$9)</f>
        <v>0</v>
      </c>
      <c r="BS16" s="49">
        <f t="shared" si="79"/>
        <v>0</v>
      </c>
      <c r="BT16" s="49">
        <f t="shared" si="79"/>
        <v>0</v>
      </c>
      <c r="BU16" s="49">
        <f t="shared" si="79"/>
        <v>26.3</v>
      </c>
      <c r="BV16" s="49">
        <f t="shared" si="79"/>
        <v>0</v>
      </c>
      <c r="BW16" s="49">
        <f t="shared" si="79"/>
        <v>0</v>
      </c>
      <c r="BX16" s="49">
        <f t="shared" si="79"/>
        <v>20.2</v>
      </c>
      <c r="BY16" s="549">
        <f>IF(COUNT(Q16:U16)&gt;1,MINA(Q16:U16)*BY$9,0)</f>
        <v>-10.1</v>
      </c>
      <c r="BZ16" s="85">
        <f t="shared" ref="BZ16:CD19" si="80">IF(V16=0,0,V16*BZ$9)</f>
        <v>0</v>
      </c>
      <c r="CA16" s="85">
        <f t="shared" si="80"/>
        <v>0</v>
      </c>
      <c r="CB16" s="85">
        <f t="shared" si="80"/>
        <v>30.8</v>
      </c>
      <c r="CC16" s="85">
        <f t="shared" si="80"/>
        <v>0</v>
      </c>
      <c r="CD16" s="85">
        <f t="shared" si="80"/>
        <v>0</v>
      </c>
      <c r="CE16" s="85">
        <f>IF(AC16=0,0,AC16*CE$9)</f>
        <v>12.6</v>
      </c>
      <c r="CF16" s="85">
        <f t="shared" ref="CF16:CG19" si="81">IF(AA16=0,0,AA16*CF$9)</f>
        <v>5.5600000000000005</v>
      </c>
      <c r="CG16" s="85">
        <f t="shared" si="81"/>
        <v>0</v>
      </c>
      <c r="CH16" s="85">
        <f t="shared" ref="CH16:CK19" si="82">IF(AD16=0,0,AD16*CH$9)</f>
        <v>2.7600000000000002</v>
      </c>
      <c r="CI16" s="85">
        <f t="shared" si="82"/>
        <v>0</v>
      </c>
      <c r="CJ16" s="85">
        <f t="shared" si="82"/>
        <v>0</v>
      </c>
      <c r="CK16" s="85">
        <f t="shared" si="82"/>
        <v>0</v>
      </c>
      <c r="CL16" s="100">
        <f>SUM(BR16:CK16)</f>
        <v>88.12</v>
      </c>
      <c r="CM16" s="50"/>
      <c r="CN16" s="104">
        <f>J16</f>
        <v>126.80000000000001</v>
      </c>
      <c r="CO16" s="101">
        <f>CL16/CN16</f>
        <v>0.69495268138801258</v>
      </c>
      <c r="CP16" s="51">
        <f>Seilareal/Lwl/Lwl</f>
        <v>0.7366337001784653</v>
      </c>
      <c r="CQ16" s="116">
        <f>Seilareal/Depl^0.667/K$7</f>
        <v>1.1525203972286253</v>
      </c>
      <c r="CR16" s="51">
        <f>Seilareal/Lwl/Lwl/SApRS1</f>
        <v>1.1177085091938952</v>
      </c>
      <c r="CS16" s="204"/>
      <c r="CT16" s="204">
        <f>(ROUND(TBF/CT$6,3)*CT$6)*CT$4</f>
        <v>114.5</v>
      </c>
      <c r="CU16" s="107">
        <f t="shared" ref="CU16:CU275" si="83">IF(SeilBeregnet=0,"-",CU$7*(SaDeplf+LBf)*Lf*Skrogfaktor*PropF*(Mast+1)+ErfaringsF)</f>
        <v>1.1456056746288354</v>
      </c>
      <c r="CV16" s="62">
        <f t="shared" si="13"/>
        <v>2.8509257056587636</v>
      </c>
      <c r="CW16" s="62">
        <f t="shared" ref="CW16:CW275" si="84">IF(SeilBeregnet=0,"-",((Loa+Lwl)/2/Bredde)^(1/CW$7))</f>
        <v>1.8681202899496379</v>
      </c>
      <c r="CX16" s="62">
        <f t="shared" si="15"/>
        <v>1.9031957480130537</v>
      </c>
      <c r="CY16" s="107">
        <f t="shared" ref="CY16:CY275" si="85">IF(SeilBeregnet=0,"-",(StH/Lwl)^(1/CY$7))</f>
        <v>0.97563019635745418</v>
      </c>
      <c r="CZ16" s="168">
        <f t="shared" ref="CZ16:CZ34" si="86">IF(DA16=0,"-",IF(CP16="TBF","-",CZ$7*DA16))</f>
        <v>1.1223529411764706</v>
      </c>
      <c r="DA16" s="159">
        <f>DA15</f>
        <v>0.9</v>
      </c>
      <c r="DB16" s="168">
        <f t="shared" ref="DB16:DB34" si="87">IF(DC16=0,"-",IF(CT16="TBF","-",DB$7*DC16))</f>
        <v>1.1343859649122807</v>
      </c>
      <c r="DC16" s="159">
        <f>DC15</f>
        <v>1.22</v>
      </c>
      <c r="DD16" s="190" t="s">
        <v>134</v>
      </c>
      <c r="DE16" s="62">
        <v>0.92</v>
      </c>
      <c r="DF16" s="62">
        <v>0.9</v>
      </c>
      <c r="DG16" s="62">
        <v>0.91</v>
      </c>
      <c r="DH16" s="150">
        <v>0.96</v>
      </c>
      <c r="DI16" s="62">
        <f t="shared" ref="DI16:DI191" si="88">IF(SeilBeregnet=0,"-",((Dypg/(Lwl+DI$6-Bredde*DI$5))^(1/DI$4)*5)*DI$3*DI$7)</f>
        <v>2.0866602577254052</v>
      </c>
      <c r="DJ16" s="47">
        <f t="shared" ref="DJ16:DJ191" si="89">(Dypg/(Lwl+Bredde+DJ$8)*100)</f>
        <v>14.111787493082456</v>
      </c>
      <c r="DK16" s="48">
        <f t="shared" ref="DK16:DK34" si="90">DJ$7*IF(DJ16&lt;DJ$5,-0.04,IF(DJ16&lt;DJ$5*1.1,-0.03,IF(DJ16&lt;DJ$5*1.2,-0.02,IF(DJ16&lt;DJ$5*1.3,-0.01,0))))</f>
        <v>0</v>
      </c>
      <c r="DM16" s="107">
        <f t="shared" si="25"/>
        <v>1.1456533556700841</v>
      </c>
      <c r="DN16" s="141" t="str">
        <f t="shared" ref="DN16:DN34" si="91">IF($DY16=0,"-",(DM16-$DW16)*100)</f>
        <v>-</v>
      </c>
      <c r="DO16" s="107">
        <f t="shared" ref="DO16:DO27" si="92">SUM(DP16:DS16)^DO$3+DO$7</f>
        <v>4.8545400412579909</v>
      </c>
      <c r="DP16" s="133">
        <f>IF(SeilBeregnet=0,DP15,(SeilBeregnet^0.5/(Depl^0.3333))^DP$3*DP$7)</f>
        <v>2.94189060968375</v>
      </c>
      <c r="DQ16" s="133">
        <f>IF(SeilBeregnet=0,DQ15,(SeilBeregnet^0.5/Lwl)^DQ$3*DQ$7)</f>
        <v>0</v>
      </c>
      <c r="DR16" s="133">
        <f>IF(SeilBeregnet=0,DR15,(0.1*Loa/Depl^0.3333)^DR$3*DR$7)</f>
        <v>0</v>
      </c>
      <c r="DS16" s="133">
        <f>IF(SeilBeregnet=0,DS15,((Loa)/Bredde)^DS$3*DS$7)</f>
        <v>1.9126494315742406</v>
      </c>
      <c r="DT16" s="107">
        <f>IF(SeilBeregnet=0,DT15,(Lwl)^DT$3)</f>
        <v>1.9031957480130537</v>
      </c>
      <c r="DU16" s="133">
        <f>IF(SeilBeregnet=0,DU15,(Dypg/Loa)^DU$3*5*DU$7)</f>
        <v>2.1004201260420148</v>
      </c>
      <c r="DW16" s="107">
        <f t="shared" si="77"/>
        <v>1.1810367779678719</v>
      </c>
      <c r="DX16" s="107">
        <f t="shared" ref="DX16:DX191" si="93">IF(SeilBeregnet=0,"-",DX$7*(DX$4*SeilBeregnet^0.5/(Depl^0.33333*Bredde*Lwl)^0.3333*((Loa*0.03+Lwl*0.07)^0.33)*PropF+DX$6)+ErfaringsF+Dyp_F)</f>
        <v>1.1672896978079568</v>
      </c>
      <c r="DZ16" s="107">
        <f t="shared" ref="DZ16:DZ191" si="94">IF(SeilBeregnet=0,"-",DZ$7*(DZ$4*SeilBeregnet^0.5/(Depl^0.33333*Bredde*Lwl)^0.3333*Lwl^0.3333*((Loa+Lwl)/Bredde/6)^0.25*PropF+DZ$6)+ErfaringsF+Dyp_F)</f>
        <v>1.1835022339673327</v>
      </c>
      <c r="EA16" s="122" t="str">
        <f t="shared" ref="EA16:EA34" si="95">IF($DY16=0,"-",DZ16-$DW16)</f>
        <v>-</v>
      </c>
      <c r="EB16" s="107">
        <f t="shared" ref="EB16:EB34" si="96">IF(SeilBeregnet=0,"-",EB$7*(EB$4*ED16*EE16*EF16*PropF+EB$6)+ErfaringsF+Dyp_F)</f>
        <v>1.1565384160520498</v>
      </c>
      <c r="EC16" s="122" t="str">
        <f t="shared" ref="EC16:EC34" si="97">IF($DY16=0,"-",EB16-$DW16)</f>
        <v>-</v>
      </c>
      <c r="ED16" s="107">
        <f>IF(SeilBeregnet=0,ED15,SeilBeregnet^0.5/Depl^0.33333)</f>
        <v>2.9415833829011158</v>
      </c>
      <c r="EE16" s="107">
        <f>IF(SeilBeregnet=0,EE15,Lwl^0.3333)</f>
        <v>2.3583450504696262</v>
      </c>
      <c r="EF16" s="107">
        <f>IF(SeilBeregnet=0,EF15,((Loa+Lwl)/Bredde)^EF$3)</f>
        <v>1.6253987357541337</v>
      </c>
      <c r="EH16" s="107">
        <f t="shared" ref="EH16:EH34" si="98">IF(SeilBeregnet=0,"-",EH$7*(EH$4*EJ16*EK16*EL16*PropF+EH$6)+ErfaringsF+Dyp_F)</f>
        <v>1.1597566110456514</v>
      </c>
      <c r="EJ16" s="107">
        <f>IF(SeilBeregnet=0,EJ15,SeilBeregnet^0.5/Depl^0.33333)</f>
        <v>2.9415833829011158</v>
      </c>
      <c r="EK16" s="107">
        <f>IF(SeilBeregnet=0,EK15,Lwl^EK$3)</f>
        <v>2.3585271786549109</v>
      </c>
      <c r="EL16" s="107">
        <f>IF(SeilBeregnet=0,EL15,((Loa+Lwl)/Bredde)^EL$3)</f>
        <v>1.9109607287698072</v>
      </c>
      <c r="EM16" s="107">
        <f t="shared" ref="EM16:EM34" si="99">IF(SeilBeregnet=0,"-",EM$7*(EM$4*EO16+EM$6)*ER16*PropF+ErfaringsF+Dyp_F)</f>
        <v>1.1503303830827905</v>
      </c>
      <c r="EO16" s="107">
        <f>IF(SeilBeregnet=0,EO15,(EP16*EQ16)^EO$3)</f>
        <v>4.7812459116828414</v>
      </c>
      <c r="EP16" s="107">
        <f>IF(SeilBeregnet=0,EP15,SeilBeregnet^0.5/Depl^0.33333)</f>
        <v>2.9415833829011158</v>
      </c>
      <c r="EQ16" s="107">
        <f>IF(SeilBeregnet=0,EQ15,((Loa+Lwl)/Bredde)^EQ$3)</f>
        <v>1.6253987357541337</v>
      </c>
      <c r="ER16" s="107">
        <f>IF(SeilBeregnet=0,ER15,Lwl^ER$3)</f>
        <v>1.9031957480130537</v>
      </c>
      <c r="ES16" s="107">
        <f t="shared" si="26"/>
        <v>1.1512987759930149</v>
      </c>
      <c r="EU16" s="107">
        <f>IF(SeilBeregnet=0,EU15,(EV:EV*EW:EW)^EU$3)</f>
        <v>1.747839839623595</v>
      </c>
      <c r="EV16" s="107">
        <f>IF(SeilBeregnet=0,EV15,SeilBeregnet^0.5/Depl^0.33333)</f>
        <v>2.9415833829011158</v>
      </c>
      <c r="EW16" s="107">
        <f>IF(SeilBeregnet=0,EW15,((Loa+Lwl)/Bredde/6)^EW$3)</f>
        <v>1.038537313860713</v>
      </c>
      <c r="EX16" s="107">
        <f>IF(SeilBeregnet=0,EX15,(Lwl*0.7+Loa*0.3)^EX$3)</f>
        <v>1.9175033970197257</v>
      </c>
      <c r="EY16" s="107">
        <f t="shared" si="27"/>
        <v>1.1270019676845904</v>
      </c>
      <c r="FA16" s="107">
        <f t="shared" si="20"/>
        <v>1.7479311117584175</v>
      </c>
      <c r="FB16" s="107">
        <f>IF(SeilBeregnet=0,FB15,SeilBeregnet^0.5/Depl^0.3333)</f>
        <v>2.94189060968375</v>
      </c>
      <c r="FC16" s="107">
        <f>IF(SeilBeregnet=0,FC15,((Loa+Lwl)/Bredde/6)^FC$3)</f>
        <v>1.038537313860713</v>
      </c>
      <c r="FD16" s="107">
        <f>IF(SeilBeregnet=0,FD15,(Lwl*0.7+Loa*0.3)^FD$3)</f>
        <v>1.9175033970197257</v>
      </c>
      <c r="FE16" s="107">
        <f t="shared" si="28"/>
        <v>1.1713813865667688</v>
      </c>
      <c r="FF16" s="141" t="str">
        <f t="shared" ref="FF16:FF34" si="100">IF($DY16=0,"-",(FE16-$DW16)*100)</f>
        <v>-</v>
      </c>
      <c r="FG16" s="107">
        <f t="shared" si="21"/>
        <v>3.1730048072183794</v>
      </c>
      <c r="FH16" s="133">
        <f>IF(SeilBeregnet=0,FH15,(SeilBeregnet^0.5/(Depl^0.3333))^FH$3)</f>
        <v>2.94189060968375</v>
      </c>
      <c r="FI16" s="133">
        <f>IF(SeilBeregnet=0,FI15,((Loa+Lwl)/Bredde/6)^FI$3)</f>
        <v>1.0785597522810251</v>
      </c>
      <c r="FJ16" s="107">
        <f>IF(SeilBeregnet=0,FJ15,(Lwl*0.07+Loa*0.03)^FJ$3)</f>
        <v>1.0782914013370686</v>
      </c>
      <c r="FK16" s="107">
        <f t="shared" si="29"/>
        <v>1.1482618350569345</v>
      </c>
      <c r="FL16" s="141" t="str">
        <f t="shared" ref="FL16:FL34" si="101">IF($DY16=0,"-",(FK16-$DW16)*100)</f>
        <v>-</v>
      </c>
      <c r="FM16" s="107">
        <f t="shared" si="22"/>
        <v>5.0700297792275846</v>
      </c>
      <c r="FN16" s="133">
        <f>IF(SeilBeregnet=0,FN15,(SeilBeregnet^0.5/(Depl^0.3333))^FN$3)</f>
        <v>2.94189060968375</v>
      </c>
      <c r="FO16" s="133">
        <f>IF(SeilBeregnet=0,FO15,(SeilBeregnet^0.5/Lwl*FO$7)^FO$3)</f>
        <v>0.7154897379695937</v>
      </c>
      <c r="FP16" s="133">
        <f>IF(SeilBeregnet=0,FP15,((Loa)/Bredde)^FP$3*FP$7)</f>
        <v>1.9126494315742406</v>
      </c>
      <c r="FQ16" s="107">
        <f>IF(SeilBeregnet=0,FQ15,(Lwl)^FQ$3)</f>
        <v>1.9031957480130537</v>
      </c>
      <c r="FR16" s="107">
        <f t="shared" si="30"/>
        <v>1.1725884869587573</v>
      </c>
      <c r="FS16" s="141" t="str">
        <f t="shared" ref="FS16:FS34" si="102">IF($DY16=0,"-",(FR16-$DW16)*100)</f>
        <v>-</v>
      </c>
      <c r="FT16" s="107">
        <f t="shared" si="23"/>
        <v>5.6268054023652203</v>
      </c>
      <c r="FU16" s="133">
        <f>IF(SeilBeregnet=0,FU15,(SeilBeregnet^0.5/(Depl^0.3333))^FU$3)</f>
        <v>2.94189060968375</v>
      </c>
      <c r="FV16" s="133">
        <f>IF(SeilBeregnet=0,FV15,(Loa/Bredde)^FV$3)</f>
        <v>1.9126494315742406</v>
      </c>
      <c r="FW16" s="107">
        <f>IF(SeilBeregnet=0,FW15,Lwl^FW$3)</f>
        <v>1.9031957480130537</v>
      </c>
      <c r="FY16">
        <v>0.95</v>
      </c>
      <c r="FZ16" s="62">
        <f t="shared" si="48"/>
        <v>1.1760743598956844</v>
      </c>
      <c r="GA16" s="62">
        <f t="shared" si="49"/>
        <v>2.1004201260420148</v>
      </c>
      <c r="GB16" s="107">
        <f t="shared" si="50"/>
        <v>1.1743351470456396</v>
      </c>
      <c r="GC16" s="440"/>
      <c r="GD16" s="17"/>
      <c r="GE16" s="442"/>
      <c r="GF16" s="462"/>
      <c r="GG16" s="17"/>
      <c r="GH16" s="17"/>
      <c r="GI16" s="17"/>
      <c r="GJ16" s="17"/>
      <c r="GL16" s="17"/>
      <c r="GM16" s="442"/>
      <c r="GN16" s="8"/>
      <c r="GO16" s="8"/>
      <c r="GP16" s="8"/>
      <c r="GQ16" s="8"/>
      <c r="GS16" s="17"/>
      <c r="GT16" s="17"/>
      <c r="GU16" s="17"/>
      <c r="GV16" s="629"/>
      <c r="GW16" s="17"/>
      <c r="GX16" s="17"/>
      <c r="GY16" s="17"/>
      <c r="GZ16" s="17"/>
    </row>
    <row r="17" spans="1:208" ht="15.6" x14ac:dyDescent="0.3">
      <c r="A17" s="60" t="s">
        <v>24</v>
      </c>
      <c r="B17" s="218"/>
      <c r="C17" s="61" t="str">
        <f t="shared" ref="C17:C19" si="103">C16</f>
        <v>Gaffel</v>
      </c>
      <c r="D17" s="61"/>
      <c r="E17" s="61"/>
      <c r="F17" s="61"/>
      <c r="G17" s="54"/>
      <c r="H17" s="204">
        <f>TBFavrundet</f>
        <v>113.5</v>
      </c>
      <c r="I17" s="63">
        <f>COUNTA(O17:AG17)</f>
        <v>5</v>
      </c>
      <c r="J17" s="222">
        <f>SUM(O17:AG17)</f>
        <v>119.9</v>
      </c>
      <c r="K17" s="116">
        <f>Seilareal/Depl^0.667/K$7</f>
        <v>1.0898043819220204</v>
      </c>
      <c r="L17" s="116">
        <f>Seilareal/Lwl/Lwl/L$7</f>
        <v>1.0568868316431235</v>
      </c>
      <c r="M17" s="92">
        <f>RiggF</f>
        <v>0.71192660550458708</v>
      </c>
      <c r="N17" s="242">
        <f>StHfaktor</f>
        <v>0.97563019635745418</v>
      </c>
      <c r="O17" s="143"/>
      <c r="P17" s="143"/>
      <c r="Q17" s="143"/>
      <c r="R17" s="165">
        <v>26.3</v>
      </c>
      <c r="S17" s="143"/>
      <c r="T17" s="143"/>
      <c r="U17" s="165">
        <v>20.2</v>
      </c>
      <c r="V17" s="559"/>
      <c r="W17" s="559"/>
      <c r="X17" s="165">
        <v>38.5</v>
      </c>
      <c r="Y17" s="143"/>
      <c r="Z17" s="143"/>
      <c r="AA17" s="165">
        <v>13.9</v>
      </c>
      <c r="AB17" s="143"/>
      <c r="AC17" s="165">
        <v>21</v>
      </c>
      <c r="AD17" s="143"/>
      <c r="AE17" s="143"/>
      <c r="AF17" s="143"/>
      <c r="AG17" s="551"/>
      <c r="AH17" s="557"/>
      <c r="AI17" s="557">
        <f t="shared" ref="AI17" si="104">AI16</f>
        <v>10.77</v>
      </c>
      <c r="AJ17" s="337">
        <f t="shared" ref="AJ17:AL17" si="105" xml:space="preserve"> AJ16</f>
        <v>0</v>
      </c>
      <c r="AK17" s="339"/>
      <c r="AL17" s="337">
        <f t="shared" si="105"/>
        <v>0</v>
      </c>
      <c r="AM17" s="339"/>
      <c r="AN17" s="267" t="str">
        <f t="shared" ref="AN17" si="106" xml:space="preserve"> AN16</f>
        <v>RS</v>
      </c>
      <c r="AO17" s="45">
        <f>VLOOKUP(AN17,Skrogform!$1:$1048576,3,FALSE)</f>
        <v>0.97</v>
      </c>
      <c r="AP17" s="64">
        <f t="shared" ref="AP17:AZ17" si="107">AP16</f>
        <v>14.45</v>
      </c>
      <c r="AQ17" s="64">
        <f t="shared" si="107"/>
        <v>13.12</v>
      </c>
      <c r="AR17" s="64">
        <f t="shared" si="107"/>
        <v>3.95</v>
      </c>
      <c r="AS17" s="64">
        <f t="shared" si="107"/>
        <v>2.5499999999999998</v>
      </c>
      <c r="AT17" s="64"/>
      <c r="AU17" s="64">
        <f t="shared" si="107"/>
        <v>32.5</v>
      </c>
      <c r="AV17" s="64">
        <f t="shared" si="107"/>
        <v>7</v>
      </c>
      <c r="AW17" s="64">
        <f t="shared" si="107"/>
        <v>6.1</v>
      </c>
      <c r="AX17" s="256">
        <f>AX16</f>
        <v>300</v>
      </c>
      <c r="AY17" s="256">
        <f t="shared" si="107"/>
        <v>80</v>
      </c>
      <c r="AZ17" s="256">
        <f t="shared" si="107"/>
        <v>560</v>
      </c>
      <c r="BA17" s="256">
        <f t="shared" ref="BA17:BB17" si="108">BA16</f>
        <v>200</v>
      </c>
      <c r="BB17" s="256">
        <f t="shared" si="108"/>
        <v>300</v>
      </c>
      <c r="BC17" s="256"/>
      <c r="BD17" s="66"/>
      <c r="BE17" s="66"/>
      <c r="BF17" s="261"/>
      <c r="BG17" s="66"/>
      <c r="BH17" s="175"/>
      <c r="BI17" s="66"/>
      <c r="BJ17" s="66"/>
      <c r="BK17" s="65" t="str">
        <f t="shared" ref="BK17:BM17" si="109" xml:space="preserve"> BK16</f>
        <v>Seilrett</v>
      </c>
      <c r="BL17" s="267">
        <f t="shared" si="109"/>
        <v>4</v>
      </c>
      <c r="BM17" s="267">
        <f t="shared" si="109"/>
        <v>56</v>
      </c>
      <c r="BN17" s="45">
        <f t="shared" si="11"/>
        <v>1</v>
      </c>
      <c r="BO17" s="59"/>
      <c r="BP17" s="59"/>
      <c r="BR17" s="49">
        <f t="shared" si="79"/>
        <v>0</v>
      </c>
      <c r="BS17" s="49">
        <f t="shared" si="79"/>
        <v>0</v>
      </c>
      <c r="BT17" s="49">
        <f t="shared" si="79"/>
        <v>0</v>
      </c>
      <c r="BU17" s="49">
        <f t="shared" si="79"/>
        <v>26.3</v>
      </c>
      <c r="BV17" s="49">
        <f t="shared" si="79"/>
        <v>0</v>
      </c>
      <c r="BW17" s="49">
        <f t="shared" si="79"/>
        <v>0</v>
      </c>
      <c r="BX17" s="49">
        <f t="shared" si="79"/>
        <v>20.2</v>
      </c>
      <c r="BY17" s="549">
        <f>IF(COUNT(Q17:U17)&gt;1,MINA(Q17:U17)*BY$9,0)</f>
        <v>-10.1</v>
      </c>
      <c r="BZ17" s="85">
        <f t="shared" si="80"/>
        <v>0</v>
      </c>
      <c r="CA17" s="85">
        <f t="shared" si="80"/>
        <v>0</v>
      </c>
      <c r="CB17" s="85">
        <f t="shared" si="80"/>
        <v>30.8</v>
      </c>
      <c r="CC17" s="85">
        <f t="shared" si="80"/>
        <v>0</v>
      </c>
      <c r="CD17" s="85">
        <f t="shared" si="80"/>
        <v>0</v>
      </c>
      <c r="CE17" s="85">
        <f>IF(AC17=0,0,AC17*CE$9)</f>
        <v>12.6</v>
      </c>
      <c r="CF17" s="85">
        <f t="shared" si="81"/>
        <v>5.5600000000000005</v>
      </c>
      <c r="CG17" s="85">
        <f t="shared" si="81"/>
        <v>0</v>
      </c>
      <c r="CH17" s="85">
        <f t="shared" si="82"/>
        <v>0</v>
      </c>
      <c r="CI17" s="85">
        <f t="shared" si="82"/>
        <v>0</v>
      </c>
      <c r="CJ17" s="85">
        <f t="shared" si="82"/>
        <v>0</v>
      </c>
      <c r="CK17" s="85">
        <f t="shared" si="82"/>
        <v>0</v>
      </c>
      <c r="CL17" s="100">
        <f>SUM(BR17:CK17)</f>
        <v>85.36</v>
      </c>
      <c r="CM17" s="50"/>
      <c r="CN17" s="104">
        <f>J17</f>
        <v>119.9</v>
      </c>
      <c r="CO17" s="101">
        <f>CL17/CN17</f>
        <v>0.71192660550458708</v>
      </c>
      <c r="CP17" s="51">
        <f>Seilareal/Lwl/Lwl</f>
        <v>0.69654874330755523</v>
      </c>
      <c r="CQ17" s="116">
        <f>Seilareal/Depl^0.667/K$7</f>
        <v>1.0898043819220204</v>
      </c>
      <c r="CR17" s="51">
        <f>Seilareal/Lwl/Lwl/SApRS1</f>
        <v>1.0568868316431235</v>
      </c>
      <c r="CS17" s="204"/>
      <c r="CT17" s="204">
        <f>(ROUND(TBF/CT$6,3)*CT$6)*CT$4</f>
        <v>113.5</v>
      </c>
      <c r="CU17" s="107">
        <f t="shared" si="83"/>
        <v>1.1346808940983222</v>
      </c>
      <c r="CV17" s="62">
        <f t="shared" si="13"/>
        <v>2.8059237098087317</v>
      </c>
      <c r="CW17" s="62">
        <f t="shared" si="84"/>
        <v>1.8681202899496379</v>
      </c>
      <c r="CX17" s="62">
        <f t="shared" si="15"/>
        <v>1.9031957480130537</v>
      </c>
      <c r="CY17" s="107">
        <f t="shared" si="85"/>
        <v>0.97563019635745418</v>
      </c>
      <c r="CZ17" s="168" t="str">
        <f t="shared" si="86"/>
        <v>-</v>
      </c>
      <c r="DA17" s="158"/>
      <c r="DB17" s="168" t="str">
        <f t="shared" si="87"/>
        <v>-</v>
      </c>
      <c r="DC17" s="160"/>
      <c r="DD17" s="190" t="s">
        <v>134</v>
      </c>
      <c r="DE17" s="62">
        <v>0.92</v>
      </c>
      <c r="DF17" s="62">
        <v>0.89</v>
      </c>
      <c r="DG17" s="62">
        <v>0.91</v>
      </c>
      <c r="DH17" s="150" t="s">
        <v>102</v>
      </c>
      <c r="DI17" s="62">
        <f t="shared" si="88"/>
        <v>2.0866602577254052</v>
      </c>
      <c r="DJ17" s="47">
        <f t="shared" si="89"/>
        <v>14.111787493082456</v>
      </c>
      <c r="DK17" s="48">
        <f t="shared" si="90"/>
        <v>0</v>
      </c>
      <c r="DM17" s="107">
        <f t="shared" si="25"/>
        <v>1.1346941888106168</v>
      </c>
      <c r="DN17" s="141" t="str">
        <f t="shared" si="91"/>
        <v>-</v>
      </c>
      <c r="DO17" s="107">
        <f t="shared" si="92"/>
        <v>4.8081021601355696</v>
      </c>
      <c r="DP17" s="133">
        <f t="shared" si="59"/>
        <v>2.8954527285613292</v>
      </c>
      <c r="DQ17" s="133">
        <f t="shared" si="60"/>
        <v>0</v>
      </c>
      <c r="DR17" s="133">
        <f t="shared" si="61"/>
        <v>0</v>
      </c>
      <c r="DS17" s="133">
        <f t="shared" si="62"/>
        <v>1.9126494315742406</v>
      </c>
      <c r="DT17" s="107">
        <f t="shared" si="63"/>
        <v>1.9031957480130537</v>
      </c>
      <c r="DU17" s="133">
        <f t="shared" si="64"/>
        <v>2.1004201260420148</v>
      </c>
      <c r="DW17" s="107">
        <f t="shared" si="77"/>
        <v>1.1697741176271363</v>
      </c>
      <c r="DX17" s="107">
        <f t="shared" si="93"/>
        <v>1.1527196735668912</v>
      </c>
      <c r="DZ17" s="107">
        <f t="shared" si="94"/>
        <v>1.1713482407930309</v>
      </c>
      <c r="EA17" s="122" t="str">
        <f t="shared" si="95"/>
        <v>-</v>
      </c>
      <c r="EB17" s="107">
        <f t="shared" si="96"/>
        <v>1.1427004191397598</v>
      </c>
      <c r="EC17" s="122" t="str">
        <f t="shared" si="97"/>
        <v>-</v>
      </c>
      <c r="ED17" s="107">
        <f>IF(SeilBeregnet=0,ED16,SeilBeregnet^0.5/Depl^0.33333)</f>
        <v>2.8951503513678549</v>
      </c>
      <c r="EE17" s="107">
        <f>IF(SeilBeregnet=0,EE16,Lwl^0.3333)</f>
        <v>2.3583450504696262</v>
      </c>
      <c r="EF17" s="107">
        <f>IF(SeilBeregnet=0,EF16,((Loa+Lwl)/Bredde)^EF$3)</f>
        <v>1.6253987357541337</v>
      </c>
      <c r="EH17" s="107">
        <f t="shared" si="98"/>
        <v>1.1471534857219694</v>
      </c>
      <c r="EJ17" s="107">
        <f>IF(SeilBeregnet=0,EJ16,SeilBeregnet^0.5/Depl^0.33333)</f>
        <v>2.8951503513678549</v>
      </c>
      <c r="EK17" s="107">
        <f>IF(SeilBeregnet=0,EK16,Lwl^EK$3)</f>
        <v>2.3585271786549109</v>
      </c>
      <c r="EL17" s="107">
        <f>IF(SeilBeregnet=0,EL16,((Loa+Lwl)/Bredde)^EL$3)</f>
        <v>1.9109607287698072</v>
      </c>
      <c r="EM17" s="107">
        <f t="shared" si="99"/>
        <v>1.1375277277551643</v>
      </c>
      <c r="EO17" s="107">
        <f>IF(SeilBeregnet=0,EO16,(EP17*EQ17)^EO$3)</f>
        <v>4.7057737209314476</v>
      </c>
      <c r="EP17" s="107">
        <f>IF(SeilBeregnet=0,EP16,SeilBeregnet^0.5/Depl^0.33333)</f>
        <v>2.8951503513678549</v>
      </c>
      <c r="EQ17" s="107">
        <f>IF(SeilBeregnet=0,EQ16,((Loa+Lwl)/Bredde)^EQ$3)</f>
        <v>1.6253987357541337</v>
      </c>
      <c r="ER17" s="107">
        <f>IF(SeilBeregnet=0,ER16,Lwl^ER$3)</f>
        <v>1.9031957480130537</v>
      </c>
      <c r="ES17" s="107">
        <f t="shared" si="26"/>
        <v>1.138520543540138</v>
      </c>
      <c r="EU17" s="107">
        <f>IF(SeilBeregnet=0,EU16,(EV:EV*EW:EW)^EU$3)</f>
        <v>1.7339901006443121</v>
      </c>
      <c r="EV17" s="107">
        <f>IF(SeilBeregnet=0,EV16,SeilBeregnet^0.5/Depl^0.33333)</f>
        <v>2.8951503513678549</v>
      </c>
      <c r="EW17" s="107">
        <f>IF(SeilBeregnet=0,EW16,((Loa+Lwl)/Bredde/6)^EW$3)</f>
        <v>1.038537313860713</v>
      </c>
      <c r="EX17" s="107">
        <f>IF(SeilBeregnet=0,EX16,(Lwl*0.7+Loa*0.3)^EX$3)</f>
        <v>1.9175033970197257</v>
      </c>
      <c r="EY17" s="107">
        <f t="shared" si="27"/>
        <v>1.1180716968853326</v>
      </c>
      <c r="FA17" s="107">
        <f t="shared" si="20"/>
        <v>1.7340806495462531</v>
      </c>
      <c r="FB17" s="107">
        <f>IF(SeilBeregnet=0,FB16,SeilBeregnet^0.5/Depl^0.3333)</f>
        <v>2.8954527285613292</v>
      </c>
      <c r="FC17" s="107">
        <f>IF(SeilBeregnet=0,FC16,((Loa+Lwl)/Bredde/6)^FC$3)</f>
        <v>1.038537313860713</v>
      </c>
      <c r="FD17" s="107">
        <f>IF(SeilBeregnet=0,FD16,(Lwl*0.7+Loa*0.3)^FD$3)</f>
        <v>1.9175033970197257</v>
      </c>
      <c r="FE17" s="107">
        <f t="shared" si="28"/>
        <v>1.1600398462164527</v>
      </c>
      <c r="FF17" s="141" t="str">
        <f t="shared" si="100"/>
        <v>-</v>
      </c>
      <c r="FG17" s="107">
        <f t="shared" si="21"/>
        <v>3.1229187776585254</v>
      </c>
      <c r="FH17" s="133">
        <f>IF(SeilBeregnet=0,FH16,(SeilBeregnet^0.5/(Depl^0.3333))^FH$3)</f>
        <v>2.8954527285613292</v>
      </c>
      <c r="FI17" s="133">
        <f>IF(SeilBeregnet=0,FI16,((Loa+Lwl)/Bredde/6)^FI$3)</f>
        <v>1.0785597522810251</v>
      </c>
      <c r="FJ17" s="107">
        <f>IF(SeilBeregnet=0,FJ16,(Lwl*0.07+Loa*0.03)^FJ$3)</f>
        <v>1.0782914013370686</v>
      </c>
      <c r="FK17" s="107">
        <f t="shared" si="29"/>
        <v>1.1351866928046619</v>
      </c>
      <c r="FL17" s="141" t="str">
        <f t="shared" si="101"/>
        <v>-</v>
      </c>
      <c r="FM17" s="107">
        <f t="shared" si="22"/>
        <v>5.0122978590655149</v>
      </c>
      <c r="FN17" s="133">
        <f>IF(SeilBeregnet=0,FN16,(SeilBeregnet^0.5/(Depl^0.3333))^FN$3)</f>
        <v>2.8954527285613292</v>
      </c>
      <c r="FO17" s="133">
        <f>IF(SeilBeregnet=0,FO16,(SeilBeregnet^0.5/Lwl*FO$7)^FO$3)</f>
        <v>0.70419569892994505</v>
      </c>
      <c r="FP17" s="133">
        <f>IF(SeilBeregnet=0,FP16,((Loa)/Bredde)^FP$3*FP$7)</f>
        <v>1.9126494315742406</v>
      </c>
      <c r="FQ17" s="107">
        <f>IF(SeilBeregnet=0,FQ16,(Lwl)^FQ$3)</f>
        <v>1.9031957480130537</v>
      </c>
      <c r="FR17" s="107">
        <f t="shared" si="30"/>
        <v>1.1617698834675125</v>
      </c>
      <c r="FS17" s="141" t="str">
        <f t="shared" si="102"/>
        <v>-</v>
      </c>
      <c r="FT17" s="107">
        <f t="shared" si="23"/>
        <v>5.5379860154329101</v>
      </c>
      <c r="FU17" s="133">
        <f>IF(SeilBeregnet=0,FU16,(SeilBeregnet^0.5/(Depl^0.3333))^FU$3)</f>
        <v>2.8954527285613292</v>
      </c>
      <c r="FV17" s="133">
        <f>IF(SeilBeregnet=0,FV16,(Loa/Bredde)^FV$3)</f>
        <v>1.9126494315742406</v>
      </c>
      <c r="FW17" s="107">
        <f>IF(SeilBeregnet=0,FW16,Lwl^FW$3)</f>
        <v>1.9031957480130537</v>
      </c>
      <c r="FY17">
        <v>0.95</v>
      </c>
      <c r="FZ17" s="62">
        <f t="shared" si="48"/>
        <v>1.1682223027697136</v>
      </c>
      <c r="GA17" s="62">
        <f t="shared" si="49"/>
        <v>2.1004201260420148</v>
      </c>
      <c r="GB17" s="107">
        <f t="shared" si="50"/>
        <v>1.1681233686365831</v>
      </c>
      <c r="GC17" s="440"/>
      <c r="GD17" s="17"/>
      <c r="GE17" s="442"/>
      <c r="GF17" s="462"/>
      <c r="GG17" s="17"/>
      <c r="GH17" s="17"/>
      <c r="GI17" s="17"/>
      <c r="GJ17" s="17"/>
      <c r="GL17" s="17"/>
      <c r="GM17" s="442"/>
      <c r="GN17" s="8"/>
      <c r="GO17" s="8"/>
      <c r="GP17" s="8"/>
      <c r="GQ17" s="8"/>
      <c r="GS17" s="17"/>
      <c r="GT17" s="17"/>
      <c r="GU17" s="17"/>
      <c r="GV17" s="629"/>
      <c r="GW17" s="17"/>
      <c r="GX17" s="17"/>
      <c r="GY17" s="17"/>
      <c r="GZ17" s="17"/>
    </row>
    <row r="18" spans="1:208" ht="15.6" x14ac:dyDescent="0.3">
      <c r="A18" s="60" t="s">
        <v>25</v>
      </c>
      <c r="B18" s="218"/>
      <c r="C18" s="61" t="str">
        <f t="shared" si="103"/>
        <v>Gaffel</v>
      </c>
      <c r="D18" s="61"/>
      <c r="E18" s="61"/>
      <c r="F18" s="61"/>
      <c r="G18" s="54"/>
      <c r="H18" s="204">
        <f>TBFavrundet</f>
        <v>111.00000000000001</v>
      </c>
      <c r="I18" s="63">
        <f>COUNTA(O18:AG18)</f>
        <v>4</v>
      </c>
      <c r="J18" s="222">
        <f>SUM(O18:AG18)</f>
        <v>106</v>
      </c>
      <c r="K18" s="116">
        <f>Seilareal/Depl^0.667/K$7</f>
        <v>0.96346342355074344</v>
      </c>
      <c r="L18" s="116">
        <f>Seilareal/Lwl/Lwl/L$7</f>
        <v>0.93436200295388716</v>
      </c>
      <c r="M18" s="92">
        <f>RiggF</f>
        <v>0.75283018867924523</v>
      </c>
      <c r="N18" s="242">
        <f>StHfaktor</f>
        <v>0.97563019635745418</v>
      </c>
      <c r="O18" s="143"/>
      <c r="P18" s="143"/>
      <c r="Q18" s="143"/>
      <c r="R18" s="165">
        <v>26.3</v>
      </c>
      <c r="S18" s="143"/>
      <c r="T18" s="143"/>
      <c r="U18" s="165">
        <v>20.2</v>
      </c>
      <c r="V18" s="559"/>
      <c r="W18" s="559"/>
      <c r="X18" s="165">
        <v>38.5</v>
      </c>
      <c r="Y18" s="143"/>
      <c r="Z18" s="143"/>
      <c r="AA18" s="143"/>
      <c r="AB18" s="143"/>
      <c r="AC18" s="165">
        <v>21</v>
      </c>
      <c r="AD18" s="143"/>
      <c r="AE18" s="143"/>
      <c r="AF18" s="143"/>
      <c r="AG18" s="551"/>
      <c r="AH18" s="557"/>
      <c r="AI18" s="557">
        <f t="shared" ref="AI18" si="110">AI17</f>
        <v>10.77</v>
      </c>
      <c r="AJ18" s="337">
        <f t="shared" ref="AJ18:AL19" si="111" xml:space="preserve"> AJ17</f>
        <v>0</v>
      </c>
      <c r="AK18" s="339"/>
      <c r="AL18" s="337">
        <f t="shared" si="111"/>
        <v>0</v>
      </c>
      <c r="AM18" s="339"/>
      <c r="AN18" s="267" t="str">
        <f t="shared" ref="AN18" si="112" xml:space="preserve"> AN17</f>
        <v>RS</v>
      </c>
      <c r="AO18" s="45">
        <f>VLOOKUP(AN18,Skrogform!$1:$1048576,3,FALSE)</f>
        <v>0.97</v>
      </c>
      <c r="AP18" s="64">
        <f t="shared" ref="AP18:AZ18" si="113">AP17</f>
        <v>14.45</v>
      </c>
      <c r="AQ18" s="64">
        <f t="shared" si="113"/>
        <v>13.12</v>
      </c>
      <c r="AR18" s="64">
        <f t="shared" si="113"/>
        <v>3.95</v>
      </c>
      <c r="AS18" s="64">
        <f t="shared" si="113"/>
        <v>2.5499999999999998</v>
      </c>
      <c r="AT18" s="64"/>
      <c r="AU18" s="64">
        <f t="shared" si="113"/>
        <v>32.5</v>
      </c>
      <c r="AV18" s="64">
        <f t="shared" si="113"/>
        <v>7</v>
      </c>
      <c r="AW18" s="64">
        <f t="shared" si="113"/>
        <v>6.1</v>
      </c>
      <c r="AX18" s="256">
        <f>AX17</f>
        <v>300</v>
      </c>
      <c r="AY18" s="256">
        <f t="shared" si="113"/>
        <v>80</v>
      </c>
      <c r="AZ18" s="256">
        <f t="shared" si="113"/>
        <v>560</v>
      </c>
      <c r="BA18" s="256">
        <f t="shared" ref="BA18:BB18" si="114">BA17</f>
        <v>200</v>
      </c>
      <c r="BB18" s="256">
        <f t="shared" si="114"/>
        <v>300</v>
      </c>
      <c r="BC18" s="256"/>
      <c r="BD18" s="66"/>
      <c r="BE18" s="66"/>
      <c r="BF18" s="261"/>
      <c r="BG18" s="66"/>
      <c r="BH18" s="175"/>
      <c r="BI18" s="66"/>
      <c r="BJ18" s="66"/>
      <c r="BK18" s="65" t="str">
        <f t="shared" ref="BK18:BM18" si="115" xml:space="preserve"> BK17</f>
        <v>Seilrett</v>
      </c>
      <c r="BL18" s="267">
        <f t="shared" si="115"/>
        <v>4</v>
      </c>
      <c r="BM18" s="267">
        <f t="shared" si="115"/>
        <v>56</v>
      </c>
      <c r="BN18" s="45">
        <f t="shared" si="11"/>
        <v>1</v>
      </c>
      <c r="BO18" s="59"/>
      <c r="BP18" s="59"/>
      <c r="BR18" s="49">
        <f t="shared" si="79"/>
        <v>0</v>
      </c>
      <c r="BS18" s="49">
        <f t="shared" si="79"/>
        <v>0</v>
      </c>
      <c r="BT18" s="49">
        <f t="shared" si="79"/>
        <v>0</v>
      </c>
      <c r="BU18" s="49">
        <f t="shared" si="79"/>
        <v>26.3</v>
      </c>
      <c r="BV18" s="49">
        <f t="shared" si="79"/>
        <v>0</v>
      </c>
      <c r="BW18" s="49">
        <f t="shared" si="79"/>
        <v>0</v>
      </c>
      <c r="BX18" s="49">
        <f t="shared" si="79"/>
        <v>20.2</v>
      </c>
      <c r="BY18" s="549">
        <f>IF(COUNT(Q18:U18)&gt;1,MINA(Q18:U18)*BY$9,0)</f>
        <v>-10.1</v>
      </c>
      <c r="BZ18" s="85">
        <f t="shared" si="80"/>
        <v>0</v>
      </c>
      <c r="CA18" s="85">
        <f t="shared" si="80"/>
        <v>0</v>
      </c>
      <c r="CB18" s="85">
        <f t="shared" si="80"/>
        <v>30.8</v>
      </c>
      <c r="CC18" s="85">
        <f t="shared" si="80"/>
        <v>0</v>
      </c>
      <c r="CD18" s="85">
        <f t="shared" si="80"/>
        <v>0</v>
      </c>
      <c r="CE18" s="85">
        <f>IF(AC18=0,0,AC18*CE$9)</f>
        <v>12.6</v>
      </c>
      <c r="CF18" s="85">
        <f t="shared" si="81"/>
        <v>0</v>
      </c>
      <c r="CG18" s="85">
        <f t="shared" si="81"/>
        <v>0</v>
      </c>
      <c r="CH18" s="85">
        <f t="shared" si="82"/>
        <v>0</v>
      </c>
      <c r="CI18" s="85">
        <f t="shared" si="82"/>
        <v>0</v>
      </c>
      <c r="CJ18" s="85">
        <f t="shared" si="82"/>
        <v>0</v>
      </c>
      <c r="CK18" s="85">
        <f t="shared" si="82"/>
        <v>0</v>
      </c>
      <c r="CL18" s="100">
        <f>SUM(BR18:CK18)</f>
        <v>79.8</v>
      </c>
      <c r="CM18" s="50"/>
      <c r="CN18" s="104">
        <f>J18</f>
        <v>106</v>
      </c>
      <c r="CO18" s="101">
        <f>CL18/CN18</f>
        <v>0.75283018867924523</v>
      </c>
      <c r="CP18" s="51">
        <f>Seilareal/Lwl/Lwl</f>
        <v>0.61579788816180858</v>
      </c>
      <c r="CQ18" s="116">
        <f>Seilareal/Depl^0.667/K$7</f>
        <v>0.96346342355074344</v>
      </c>
      <c r="CR18" s="51">
        <f>Seilareal/Lwl/Lwl/SApRS1</f>
        <v>0.93436200295388716</v>
      </c>
      <c r="CS18" s="204"/>
      <c r="CT18" s="204">
        <f>(ROUND(TBF/CT$6,3)*CT$6)*CT$4</f>
        <v>111.00000000000001</v>
      </c>
      <c r="CU18" s="107">
        <f t="shared" si="83"/>
        <v>1.1121230024229711</v>
      </c>
      <c r="CV18" s="62">
        <f t="shared" si="13"/>
        <v>2.7130019211536407</v>
      </c>
      <c r="CW18" s="62">
        <f t="shared" si="84"/>
        <v>1.8681202899496379</v>
      </c>
      <c r="CX18" s="62">
        <f t="shared" si="15"/>
        <v>1.9031957480130537</v>
      </c>
      <c r="CY18" s="107">
        <f t="shared" si="85"/>
        <v>0.97563019635745418</v>
      </c>
      <c r="CZ18" s="168" t="str">
        <f t="shared" si="86"/>
        <v>-</v>
      </c>
      <c r="DA18" s="158"/>
      <c r="DB18" s="168" t="str">
        <f t="shared" si="87"/>
        <v>-</v>
      </c>
      <c r="DC18" s="160"/>
      <c r="DD18" s="190" t="s">
        <v>134</v>
      </c>
      <c r="DE18" s="62">
        <v>0.9</v>
      </c>
      <c r="DF18" s="62">
        <v>0.88</v>
      </c>
      <c r="DG18" s="62">
        <v>0.88</v>
      </c>
      <c r="DH18" s="150" t="s">
        <v>102</v>
      </c>
      <c r="DI18" s="62">
        <f t="shared" si="88"/>
        <v>2.0866602577254052</v>
      </c>
      <c r="DJ18" s="47">
        <f t="shared" si="89"/>
        <v>14.111787493082456</v>
      </c>
      <c r="DK18" s="48">
        <f t="shared" si="90"/>
        <v>0</v>
      </c>
      <c r="DM18" s="107">
        <f t="shared" si="25"/>
        <v>1.112065294969</v>
      </c>
      <c r="DN18" s="141" t="str">
        <f t="shared" si="91"/>
        <v>-</v>
      </c>
      <c r="DO18" s="107">
        <f t="shared" si="92"/>
        <v>4.7122155023609285</v>
      </c>
      <c r="DP18" s="133">
        <f t="shared" si="59"/>
        <v>2.7995660707866876</v>
      </c>
      <c r="DQ18" s="133">
        <f t="shared" si="60"/>
        <v>0</v>
      </c>
      <c r="DR18" s="133">
        <f t="shared" si="61"/>
        <v>0</v>
      </c>
      <c r="DS18" s="133">
        <f t="shared" si="62"/>
        <v>1.9126494315742406</v>
      </c>
      <c r="DT18" s="107">
        <f t="shared" si="63"/>
        <v>1.9031957480130537</v>
      </c>
      <c r="DU18" s="133">
        <f t="shared" si="64"/>
        <v>2.1004201260420148</v>
      </c>
      <c r="DW18" s="107">
        <f t="shared" si="77"/>
        <v>1.1465185591989393</v>
      </c>
      <c r="DX18" s="107">
        <f t="shared" si="93"/>
        <v>1.1226349475974124</v>
      </c>
      <c r="DZ18" s="107">
        <f t="shared" si="94"/>
        <v>1.1462522253002625</v>
      </c>
      <c r="EA18" s="122" t="str">
        <f t="shared" si="95"/>
        <v>-</v>
      </c>
      <c r="EB18" s="107">
        <f t="shared" si="96"/>
        <v>1.1141272103252284</v>
      </c>
      <c r="EC18" s="122" t="str">
        <f t="shared" si="97"/>
        <v>-</v>
      </c>
      <c r="ED18" s="107">
        <f>IF(SeilBeregnet=0,ED17,SeilBeregnet^0.5/Depl^0.33333)</f>
        <v>2.7992737072046197</v>
      </c>
      <c r="EE18" s="107">
        <f>IF(SeilBeregnet=0,EE17,Lwl^0.3333)</f>
        <v>2.3583450504696262</v>
      </c>
      <c r="EF18" s="107">
        <f>IF(SeilBeregnet=0,EF17,((Loa+Lwl)/Bredde)^EF$3)</f>
        <v>1.6253987357541337</v>
      </c>
      <c r="EH18" s="107">
        <f t="shared" si="98"/>
        <v>1.1211300855238215</v>
      </c>
      <c r="EJ18" s="107">
        <f>IF(SeilBeregnet=0,EJ17,SeilBeregnet^0.5/Depl^0.33333)</f>
        <v>2.7992737072046197</v>
      </c>
      <c r="EK18" s="107">
        <f>IF(SeilBeregnet=0,EK17,Lwl^EK$3)</f>
        <v>2.3585271786549109</v>
      </c>
      <c r="EL18" s="107">
        <f>IF(SeilBeregnet=0,EL17,((Loa+Lwl)/Bredde)^EL$3)</f>
        <v>1.9109607287698072</v>
      </c>
      <c r="EM18" s="107">
        <f t="shared" si="99"/>
        <v>1.1110923306109548</v>
      </c>
      <c r="EO18" s="107">
        <f>IF(SeilBeregnet=0,EO17,(EP18*EQ18)^EO$3)</f>
        <v>4.5499359447201755</v>
      </c>
      <c r="EP18" s="107">
        <f>IF(SeilBeregnet=0,EP17,SeilBeregnet^0.5/Depl^0.33333)</f>
        <v>2.7992737072046197</v>
      </c>
      <c r="EQ18" s="107">
        <f>IF(SeilBeregnet=0,EQ17,((Loa+Lwl)/Bredde)^EQ$3)</f>
        <v>1.6253987357541337</v>
      </c>
      <c r="ER18" s="107">
        <f>IF(SeilBeregnet=0,ER17,Lwl^ER$3)</f>
        <v>1.9031957480130537</v>
      </c>
      <c r="ES18" s="107">
        <f t="shared" si="26"/>
        <v>1.1118071806876546</v>
      </c>
      <c r="EU18" s="107">
        <f>IF(SeilBeregnet=0,EU17,(EV:EV*EW:EW)^EU$3)</f>
        <v>1.7050367141622511</v>
      </c>
      <c r="EV18" s="107">
        <f>IF(SeilBeregnet=0,EV17,SeilBeregnet^0.5/Depl^0.33333)</f>
        <v>2.7992737072046197</v>
      </c>
      <c r="EW18" s="107">
        <f>IF(SeilBeregnet=0,EW17,((Loa+Lwl)/Bredde/6)^EW$3)</f>
        <v>1.038537313860713</v>
      </c>
      <c r="EX18" s="107">
        <f>IF(SeilBeregnet=0,EX17,(Lwl*0.7+Loa*0.3)^EX$3)</f>
        <v>1.9175033970197257</v>
      </c>
      <c r="EY18" s="107">
        <f t="shared" si="27"/>
        <v>1.0994026387733249</v>
      </c>
      <c r="FA18" s="107">
        <f t="shared" si="20"/>
        <v>1.7051257511193705</v>
      </c>
      <c r="FB18" s="107">
        <f>IF(SeilBeregnet=0,FB17,SeilBeregnet^0.5/Depl^0.3333)</f>
        <v>2.7995660707866876</v>
      </c>
      <c r="FC18" s="107">
        <f>IF(SeilBeregnet=0,FC17,((Loa+Lwl)/Bredde/6)^FC$3)</f>
        <v>1.038537313860713</v>
      </c>
      <c r="FD18" s="107">
        <f>IF(SeilBeregnet=0,FD17,(Lwl*0.7+Loa*0.3)^FD$3)</f>
        <v>1.9175033970197257</v>
      </c>
      <c r="FE18" s="107">
        <f t="shared" si="28"/>
        <v>1.1366214134214434</v>
      </c>
      <c r="FF18" s="141" t="str">
        <f t="shared" si="100"/>
        <v>-</v>
      </c>
      <c r="FG18" s="107">
        <f t="shared" si="21"/>
        <v>3.0194992878020526</v>
      </c>
      <c r="FH18" s="133">
        <f>IF(SeilBeregnet=0,FH17,(SeilBeregnet^0.5/(Depl^0.3333))^FH$3)</f>
        <v>2.7995660707866876</v>
      </c>
      <c r="FI18" s="133">
        <f>IF(SeilBeregnet=0,FI17,((Loa+Lwl)/Bredde/6)^FI$3)</f>
        <v>1.0785597522810251</v>
      </c>
      <c r="FJ18" s="107">
        <f>IF(SeilBeregnet=0,FJ17,(Lwl*0.07+Loa*0.03)^FJ$3)</f>
        <v>1.0782914013370686</v>
      </c>
      <c r="FK18" s="107">
        <f t="shared" si="29"/>
        <v>1.1081886545609856</v>
      </c>
      <c r="FL18" s="141" t="str">
        <f t="shared" si="101"/>
        <v>-</v>
      </c>
      <c r="FM18" s="107">
        <f t="shared" si="22"/>
        <v>4.8930908509623698</v>
      </c>
      <c r="FN18" s="133">
        <f>IF(SeilBeregnet=0,FN17,(SeilBeregnet^0.5/(Depl^0.3333))^FN$3)</f>
        <v>2.7995660707866876</v>
      </c>
      <c r="FO18" s="133">
        <f>IF(SeilBeregnet=0,FO17,(SeilBeregnet^0.5/Lwl*FO$7)^FO$3)</f>
        <v>0.68087534860144194</v>
      </c>
      <c r="FP18" s="133">
        <f>IF(SeilBeregnet=0,FP17,((Loa)/Bredde)^FP$3*FP$7)</f>
        <v>1.9126494315742406</v>
      </c>
      <c r="FQ18" s="107">
        <f>IF(SeilBeregnet=0,FQ17,(Lwl)^FQ$3)</f>
        <v>1.9031957480130537</v>
      </c>
      <c r="FR18" s="107">
        <f t="shared" si="30"/>
        <v>1.1394312300774105</v>
      </c>
      <c r="FS18" s="141" t="str">
        <f t="shared" si="102"/>
        <v>-</v>
      </c>
      <c r="FT18" s="107">
        <f t="shared" si="23"/>
        <v>5.3545884539446886</v>
      </c>
      <c r="FU18" s="133">
        <f>IF(SeilBeregnet=0,FU17,(SeilBeregnet^0.5/(Depl^0.3333))^FU$3)</f>
        <v>2.7995660707866876</v>
      </c>
      <c r="FV18" s="133">
        <f>IF(SeilBeregnet=0,FV17,(Loa/Bredde)^FV$3)</f>
        <v>1.9126494315742406</v>
      </c>
      <c r="FW18" s="107">
        <f>IF(SeilBeregnet=0,FW17,Lwl^FW$3)</f>
        <v>1.9031957480130537</v>
      </c>
      <c r="FY18">
        <v>0.95</v>
      </c>
      <c r="FZ18" s="62">
        <f t="shared" si="48"/>
        <v>1.1520090842449477</v>
      </c>
      <c r="GA18" s="62">
        <f t="shared" si="49"/>
        <v>2.1004201260420148</v>
      </c>
      <c r="GB18" s="107">
        <f t="shared" si="50"/>
        <v>1.1550837115786208</v>
      </c>
      <c r="GC18" s="440"/>
      <c r="GD18" s="17"/>
      <c r="GE18" s="442"/>
      <c r="GF18" s="462"/>
      <c r="GG18" s="17"/>
      <c r="GH18" s="17"/>
      <c r="GI18" s="17"/>
      <c r="GJ18" s="17"/>
      <c r="GL18" s="17"/>
      <c r="GM18" s="442"/>
      <c r="GN18" s="8"/>
      <c r="GO18" s="8"/>
      <c r="GP18" s="8"/>
      <c r="GQ18" s="8"/>
      <c r="GS18" s="17"/>
      <c r="GT18" s="17"/>
      <c r="GU18" s="17"/>
      <c r="GV18" s="629"/>
      <c r="GW18" s="17"/>
      <c r="GX18" s="17"/>
      <c r="GY18" s="17"/>
      <c r="GZ18" s="17"/>
    </row>
    <row r="19" spans="1:208" ht="15.6" x14ac:dyDescent="0.3">
      <c r="A19" s="60" t="s">
        <v>148</v>
      </c>
      <c r="B19" s="218"/>
      <c r="C19" s="61" t="str">
        <f t="shared" si="103"/>
        <v>Gaffel</v>
      </c>
      <c r="D19" s="61"/>
      <c r="E19" s="61"/>
      <c r="F19" s="61"/>
      <c r="G19" s="54"/>
      <c r="H19" s="204">
        <f>TBFavrundet</f>
        <v>107.5</v>
      </c>
      <c r="I19" s="63">
        <f>COUNTA(O19:AG19)</f>
        <v>4</v>
      </c>
      <c r="J19" s="222">
        <f>SUM(O19:AG19)</f>
        <v>95.5</v>
      </c>
      <c r="K19" s="116">
        <f>Seilareal/Depl^0.667/K$7</f>
        <v>0.86802600895373583</v>
      </c>
      <c r="L19" s="116">
        <f>Seilareal/Lwl/Lwl/L$7</f>
        <v>0.84180727624619067</v>
      </c>
      <c r="M19" s="92">
        <f>RiggF</f>
        <v>0.74869109947643975</v>
      </c>
      <c r="N19" s="242">
        <f>StHfaktor</f>
        <v>0.97563019635745418</v>
      </c>
      <c r="O19" s="143"/>
      <c r="P19" s="143"/>
      <c r="Q19" s="143"/>
      <c r="R19" s="143"/>
      <c r="S19" s="165">
        <v>15.8</v>
      </c>
      <c r="T19" s="143"/>
      <c r="U19" s="165">
        <v>20.2</v>
      </c>
      <c r="V19" s="559"/>
      <c r="W19" s="559"/>
      <c r="X19" s="165">
        <v>38.5</v>
      </c>
      <c r="Y19" s="143"/>
      <c r="Z19" s="143"/>
      <c r="AA19" s="143"/>
      <c r="AB19" s="143"/>
      <c r="AC19" s="165">
        <v>21</v>
      </c>
      <c r="AD19" s="143"/>
      <c r="AE19" s="143"/>
      <c r="AF19" s="143"/>
      <c r="AG19" s="551"/>
      <c r="AH19" s="557"/>
      <c r="AI19" s="557">
        <f t="shared" ref="AI19" si="116">AI18</f>
        <v>10.77</v>
      </c>
      <c r="AJ19" s="337">
        <f t="shared" si="111"/>
        <v>0</v>
      </c>
      <c r="AK19" s="339"/>
      <c r="AL19" s="337">
        <f t="shared" si="111"/>
        <v>0</v>
      </c>
      <c r="AM19" s="339"/>
      <c r="AN19" s="267" t="str">
        <f t="shared" ref="AN19" si="117" xml:space="preserve"> AN18</f>
        <v>RS</v>
      </c>
      <c r="AO19" s="45">
        <f>VLOOKUP(AN19,Skrogform!$1:$1048576,3,FALSE)</f>
        <v>0.97</v>
      </c>
      <c r="AP19" s="64">
        <f t="shared" ref="AP19:AZ19" si="118">AP18</f>
        <v>14.45</v>
      </c>
      <c r="AQ19" s="64">
        <f t="shared" si="118"/>
        <v>13.12</v>
      </c>
      <c r="AR19" s="64">
        <f t="shared" si="118"/>
        <v>3.95</v>
      </c>
      <c r="AS19" s="64">
        <f t="shared" si="118"/>
        <v>2.5499999999999998</v>
      </c>
      <c r="AT19" s="64"/>
      <c r="AU19" s="64">
        <f t="shared" si="118"/>
        <v>32.5</v>
      </c>
      <c r="AV19" s="64">
        <f t="shared" si="118"/>
        <v>7</v>
      </c>
      <c r="AW19" s="64">
        <f t="shared" si="118"/>
        <v>6.1</v>
      </c>
      <c r="AX19" s="256">
        <f>AX18</f>
        <v>300</v>
      </c>
      <c r="AY19" s="256">
        <f t="shared" si="118"/>
        <v>80</v>
      </c>
      <c r="AZ19" s="256">
        <f t="shared" si="118"/>
        <v>560</v>
      </c>
      <c r="BA19" s="256">
        <f t="shared" ref="BA19:BB19" si="119">BA18</f>
        <v>200</v>
      </c>
      <c r="BB19" s="256">
        <f t="shared" si="119"/>
        <v>300</v>
      </c>
      <c r="BC19" s="256"/>
      <c r="BD19" s="66"/>
      <c r="BE19" s="66"/>
      <c r="BF19" s="261"/>
      <c r="BG19" s="66"/>
      <c r="BH19" s="175"/>
      <c r="BI19" s="66"/>
      <c r="BJ19" s="66"/>
      <c r="BK19" s="65" t="str">
        <f t="shared" ref="BK19:BM19" si="120" xml:space="preserve"> BK18</f>
        <v>Seilrett</v>
      </c>
      <c r="BL19" s="267">
        <f t="shared" si="120"/>
        <v>4</v>
      </c>
      <c r="BM19" s="267">
        <f t="shared" si="120"/>
        <v>56</v>
      </c>
      <c r="BN19" s="45">
        <f t="shared" si="11"/>
        <v>1</v>
      </c>
      <c r="BO19" s="59"/>
      <c r="BP19" s="59"/>
      <c r="BR19" s="49">
        <f t="shared" si="79"/>
        <v>0</v>
      </c>
      <c r="BS19" s="49">
        <f t="shared" si="79"/>
        <v>0</v>
      </c>
      <c r="BT19" s="49">
        <f t="shared" si="79"/>
        <v>0</v>
      </c>
      <c r="BU19" s="49">
        <f t="shared" si="79"/>
        <v>0</v>
      </c>
      <c r="BV19" s="49">
        <f t="shared" si="79"/>
        <v>15.8</v>
      </c>
      <c r="BW19" s="49">
        <f t="shared" si="79"/>
        <v>0</v>
      </c>
      <c r="BX19" s="49">
        <f t="shared" si="79"/>
        <v>20.2</v>
      </c>
      <c r="BY19" s="549">
        <f>IF(COUNT(Q19:U19)&gt;1,MINA(Q19:U19)*BY$9,0)</f>
        <v>-7.9</v>
      </c>
      <c r="BZ19" s="85">
        <f t="shared" si="80"/>
        <v>0</v>
      </c>
      <c r="CA19" s="85">
        <f t="shared" si="80"/>
        <v>0</v>
      </c>
      <c r="CB19" s="85">
        <f t="shared" si="80"/>
        <v>30.8</v>
      </c>
      <c r="CC19" s="85">
        <f t="shared" si="80"/>
        <v>0</v>
      </c>
      <c r="CD19" s="85">
        <f t="shared" si="80"/>
        <v>0</v>
      </c>
      <c r="CE19" s="85">
        <f>IF(AC19=0,0,AC19*CE$9)</f>
        <v>12.6</v>
      </c>
      <c r="CF19" s="85">
        <f t="shared" si="81"/>
        <v>0</v>
      </c>
      <c r="CG19" s="85">
        <f t="shared" si="81"/>
        <v>0</v>
      </c>
      <c r="CH19" s="85">
        <f t="shared" si="82"/>
        <v>0</v>
      </c>
      <c r="CI19" s="85">
        <f t="shared" si="82"/>
        <v>0</v>
      </c>
      <c r="CJ19" s="85">
        <f t="shared" si="82"/>
        <v>0</v>
      </c>
      <c r="CK19" s="85">
        <f t="shared" si="82"/>
        <v>0</v>
      </c>
      <c r="CL19" s="100">
        <f>SUM(BR19:CK19)</f>
        <v>71.5</v>
      </c>
      <c r="CM19" s="50"/>
      <c r="CN19" s="104">
        <f>J19</f>
        <v>95.5</v>
      </c>
      <c r="CO19" s="101">
        <f>CL19/CN19</f>
        <v>0.74869109947643975</v>
      </c>
      <c r="CP19" s="51">
        <f>Seilareal/Lwl/Lwl</f>
        <v>0.55479904074955388</v>
      </c>
      <c r="CQ19" s="116">
        <f>Seilareal/Depl^0.667/K$7</f>
        <v>0.86802600895373583</v>
      </c>
      <c r="CR19" s="51">
        <f>Seilareal/Lwl/Lwl/SApRS1</f>
        <v>0.84180727624619067</v>
      </c>
      <c r="CS19" s="204"/>
      <c r="CT19" s="204">
        <f>(ROUND(TBF/CT$6,3)*CT$6)*CT$4</f>
        <v>107.5</v>
      </c>
      <c r="CU19" s="107">
        <f t="shared" si="83"/>
        <v>1.0769315827862036</v>
      </c>
      <c r="CV19" s="62">
        <f t="shared" si="13"/>
        <v>2.5680393641459962</v>
      </c>
      <c r="CW19" s="62">
        <f t="shared" si="84"/>
        <v>1.8681202899496379</v>
      </c>
      <c r="CX19" s="62">
        <f t="shared" si="15"/>
        <v>1.9031957480130537</v>
      </c>
      <c r="CY19" s="107">
        <f t="shared" si="85"/>
        <v>0.97563019635745418</v>
      </c>
      <c r="CZ19" s="168" t="str">
        <f t="shared" si="86"/>
        <v>-</v>
      </c>
      <c r="DA19" s="158"/>
      <c r="DB19" s="168" t="str">
        <f t="shared" si="87"/>
        <v>-</v>
      </c>
      <c r="DC19" s="160"/>
      <c r="DD19" s="190" t="s">
        <v>134</v>
      </c>
      <c r="DE19" s="62">
        <v>0.86</v>
      </c>
      <c r="DF19" s="62">
        <v>0.86</v>
      </c>
      <c r="DG19" s="62">
        <v>0.85</v>
      </c>
      <c r="DH19" s="150" t="s">
        <v>102</v>
      </c>
      <c r="DI19" s="62">
        <f t="shared" si="88"/>
        <v>2.0866602577254052</v>
      </c>
      <c r="DJ19" s="47">
        <f t="shared" si="89"/>
        <v>14.111787493082456</v>
      </c>
      <c r="DK19" s="48">
        <f t="shared" si="90"/>
        <v>0</v>
      </c>
      <c r="DM19" s="107">
        <f t="shared" si="25"/>
        <v>1.0767631084634062</v>
      </c>
      <c r="DN19" s="141" t="str">
        <f t="shared" si="91"/>
        <v>-</v>
      </c>
      <c r="DO19" s="107">
        <f t="shared" si="92"/>
        <v>4.562627603816237</v>
      </c>
      <c r="DP19" s="133">
        <f t="shared" si="59"/>
        <v>2.6499781722419966</v>
      </c>
      <c r="DQ19" s="133">
        <f t="shared" si="60"/>
        <v>0</v>
      </c>
      <c r="DR19" s="133">
        <f t="shared" si="61"/>
        <v>0</v>
      </c>
      <c r="DS19" s="133">
        <f t="shared" si="62"/>
        <v>1.9126494315742406</v>
      </c>
      <c r="DT19" s="107">
        <f t="shared" si="63"/>
        <v>1.9031957480130537</v>
      </c>
      <c r="DU19" s="133">
        <f t="shared" si="64"/>
        <v>2.1004201260420148</v>
      </c>
      <c r="DW19" s="107">
        <f t="shared" si="77"/>
        <v>1.1102387451404161</v>
      </c>
      <c r="DX19" s="107">
        <f t="shared" si="93"/>
        <v>1.0757012965503172</v>
      </c>
      <c r="DZ19" s="107">
        <f t="shared" si="94"/>
        <v>1.1071012077704703</v>
      </c>
      <c r="EA19" s="122" t="str">
        <f t="shared" si="95"/>
        <v>-</v>
      </c>
      <c r="EB19" s="107">
        <f t="shared" si="96"/>
        <v>1.0695516003244101</v>
      </c>
      <c r="EC19" s="122" t="str">
        <f t="shared" si="97"/>
        <v>-</v>
      </c>
      <c r="ED19" s="107">
        <f>IF(SeilBeregnet=0,ED18,SeilBeregnet^0.5/Depl^0.33333)</f>
        <v>2.6497014303858486</v>
      </c>
      <c r="EE19" s="107">
        <f>IF(SeilBeregnet=0,EE18,Lwl^0.3333)</f>
        <v>2.3583450504696262</v>
      </c>
      <c r="EF19" s="107">
        <f>IF(SeilBeregnet=0,EF18,((Loa+Lwl)/Bredde)^EF$3)</f>
        <v>1.6253987357541337</v>
      </c>
      <c r="EH19" s="107">
        <f t="shared" si="98"/>
        <v>1.0805323022766722</v>
      </c>
      <c r="EJ19" s="107">
        <f>IF(SeilBeregnet=0,EJ18,SeilBeregnet^0.5/Depl^0.33333)</f>
        <v>2.6497014303858486</v>
      </c>
      <c r="EK19" s="107">
        <f>IF(SeilBeregnet=0,EK18,Lwl^EK$3)</f>
        <v>2.3585271786549109</v>
      </c>
      <c r="EL19" s="107">
        <f>IF(SeilBeregnet=0,EL18,((Loa+Lwl)/Bredde)^EL$3)</f>
        <v>1.9109607287698072</v>
      </c>
      <c r="EM19" s="107">
        <f t="shared" si="99"/>
        <v>1.0698518118800746</v>
      </c>
      <c r="EO19" s="107">
        <f>IF(SeilBeregnet=0,EO18,(EP19*EQ19)^EO$3)</f>
        <v>4.306821355075078</v>
      </c>
      <c r="EP19" s="107">
        <f>IF(SeilBeregnet=0,EP18,SeilBeregnet^0.5/Depl^0.33333)</f>
        <v>2.6497014303858486</v>
      </c>
      <c r="EQ19" s="107">
        <f>IF(SeilBeregnet=0,EQ18,((Loa+Lwl)/Bredde)^EQ$3)</f>
        <v>1.6253987357541337</v>
      </c>
      <c r="ER19" s="107">
        <f>IF(SeilBeregnet=0,ER18,Lwl^ER$3)</f>
        <v>1.9031957480130537</v>
      </c>
      <c r="ES19" s="107">
        <f t="shared" si="26"/>
        <v>1.0692022505433418</v>
      </c>
      <c r="EU19" s="107">
        <f>IF(SeilBeregnet=0,EU18,(EV:EV*EW:EW)^EU$3)</f>
        <v>1.6588591881307491</v>
      </c>
      <c r="EV19" s="107">
        <f>IF(SeilBeregnet=0,EV18,SeilBeregnet^0.5/Depl^0.33333)</f>
        <v>2.6497014303858486</v>
      </c>
      <c r="EW19" s="107">
        <f>IF(SeilBeregnet=0,EW18,((Loa+Lwl)/Bredde/6)^EW$3)</f>
        <v>1.038537313860713</v>
      </c>
      <c r="EX19" s="107">
        <f>IF(SeilBeregnet=0,EX18,(Lwl*0.7+Loa*0.3)^EX$3)</f>
        <v>1.9175033970197257</v>
      </c>
      <c r="EY19" s="107">
        <f t="shared" si="27"/>
        <v>1.0696275063381262</v>
      </c>
      <c r="FA19" s="107">
        <f t="shared" si="20"/>
        <v>1.6589458136990867</v>
      </c>
      <c r="FB19" s="107">
        <f>IF(SeilBeregnet=0,FB18,SeilBeregnet^0.5/Depl^0.3333)</f>
        <v>2.6499781722419966</v>
      </c>
      <c r="FC19" s="107">
        <f>IF(SeilBeregnet=0,FC18,((Loa+Lwl)/Bredde/6)^FC$3)</f>
        <v>1.038537313860713</v>
      </c>
      <c r="FD19" s="107">
        <f>IF(SeilBeregnet=0,FD18,(Lwl*0.7+Loa*0.3)^FD$3)</f>
        <v>1.9175033970197257</v>
      </c>
      <c r="FE19" s="107">
        <f t="shared" si="28"/>
        <v>1.1000875073461194</v>
      </c>
      <c r="FF19" s="141" t="str">
        <f t="shared" si="100"/>
        <v>-</v>
      </c>
      <c r="FG19" s="107">
        <f t="shared" si="21"/>
        <v>2.8581598010034517</v>
      </c>
      <c r="FH19" s="133">
        <f>IF(SeilBeregnet=0,FH18,(SeilBeregnet^0.5/(Depl^0.3333))^FH$3)</f>
        <v>2.6499781722419966</v>
      </c>
      <c r="FI19" s="133">
        <f>IF(SeilBeregnet=0,FI18,((Loa+Lwl)/Bredde/6)^FI$3)</f>
        <v>1.0785597522810251</v>
      </c>
      <c r="FJ19" s="107">
        <f>IF(SeilBeregnet=0,FJ18,(Lwl*0.07+Loa*0.03)^FJ$3)</f>
        <v>1.0782914013370686</v>
      </c>
      <c r="FK19" s="107">
        <f t="shared" si="29"/>
        <v>1.0660703880635505</v>
      </c>
      <c r="FL19" s="141" t="str">
        <f t="shared" si="101"/>
        <v>-</v>
      </c>
      <c r="FM19" s="107">
        <f t="shared" si="22"/>
        <v>4.7071220598104357</v>
      </c>
      <c r="FN19" s="133">
        <f>IF(SeilBeregnet=0,FN18,(SeilBeregnet^0.5/(Depl^0.3333))^FN$3)</f>
        <v>2.6499781722419966</v>
      </c>
      <c r="FO19" s="133">
        <f>IF(SeilBeregnet=0,FO18,(SeilBeregnet^0.5/Lwl*FO$7)^FO$3)</f>
        <v>0.6444944559941983</v>
      </c>
      <c r="FP19" s="133">
        <f>IF(SeilBeregnet=0,FP18,((Loa)/Bredde)^FP$3*FP$7)</f>
        <v>1.9126494315742406</v>
      </c>
      <c r="FQ19" s="107">
        <f>IF(SeilBeregnet=0,FQ18,(Lwl)^FQ$3)</f>
        <v>1.9031957480130537</v>
      </c>
      <c r="FR19" s="107">
        <f t="shared" si="30"/>
        <v>1.1045818329402484</v>
      </c>
      <c r="FS19" s="141" t="str">
        <f t="shared" si="102"/>
        <v>-</v>
      </c>
      <c r="FT19" s="107">
        <f t="shared" si="23"/>
        <v>5.0684792448228002</v>
      </c>
      <c r="FU19" s="133">
        <f>IF(SeilBeregnet=0,FU18,(SeilBeregnet^0.5/(Depl^0.3333))^FU$3)</f>
        <v>2.6499781722419966</v>
      </c>
      <c r="FV19" s="133">
        <f>IF(SeilBeregnet=0,FV18,(Loa/Bredde)^FV$3)</f>
        <v>1.9126494315742406</v>
      </c>
      <c r="FW19" s="107">
        <f>IF(SeilBeregnet=0,FW18,Lwl^FW$3)</f>
        <v>1.9031957480130537</v>
      </c>
      <c r="FY19">
        <v>0.95</v>
      </c>
      <c r="FZ19" s="62">
        <f t="shared" si="48"/>
        <v>1.1267156665364522</v>
      </c>
      <c r="GA19" s="62">
        <f t="shared" si="49"/>
        <v>2.1004201260420148</v>
      </c>
      <c r="GB19" s="107">
        <f t="shared" si="50"/>
        <v>1.134132993270486</v>
      </c>
      <c r="GC19" s="440"/>
      <c r="GD19" s="17"/>
      <c r="GE19" s="442"/>
      <c r="GF19" s="462"/>
      <c r="GG19" s="17"/>
      <c r="GH19" s="17"/>
      <c r="GI19" s="17"/>
      <c r="GJ19" s="17"/>
      <c r="GL19" s="17"/>
      <c r="GM19" s="442"/>
      <c r="GN19" s="8"/>
      <c r="GO19" s="8"/>
      <c r="GP19" s="8"/>
      <c r="GQ19" s="8"/>
      <c r="GS19" s="17"/>
      <c r="GT19" s="17"/>
      <c r="GU19" s="17"/>
      <c r="GV19" s="629"/>
      <c r="GW19" s="17"/>
      <c r="GX19" s="17"/>
      <c r="GY19" s="17"/>
      <c r="GZ19" s="17"/>
    </row>
    <row r="20" spans="1:208" ht="15.6" x14ac:dyDescent="0.3">
      <c r="A20" s="52" t="s">
        <v>190</v>
      </c>
      <c r="B20" s="218">
        <f t="shared" ref="B20" si="121">Loa/0.3048</f>
        <v>46.423884514435692</v>
      </c>
      <c r="C20" s="53" t="s">
        <v>19</v>
      </c>
      <c r="D20" s="53"/>
      <c r="E20" s="53"/>
      <c r="F20" s="53"/>
      <c r="G20" s="67" t="s">
        <v>20</v>
      </c>
      <c r="H20" s="112">
        <f>J21</f>
        <v>117.10000000000001</v>
      </c>
      <c r="I20" s="601">
        <f>H21/100</f>
        <v>1.115</v>
      </c>
      <c r="J20" s="651">
        <f>IF(DC21=0,"-",DC21)</f>
        <v>1.17</v>
      </c>
      <c r="K20" s="123" t="str">
        <f>A20</f>
        <v>RS 10 Chistiania</v>
      </c>
      <c r="L20" s="116"/>
      <c r="M20" s="116"/>
      <c r="N20" s="92"/>
      <c r="O20" s="165"/>
      <c r="P20" s="165"/>
      <c r="Q20" s="165"/>
      <c r="R20" s="165">
        <v>25</v>
      </c>
      <c r="S20" s="165">
        <v>16</v>
      </c>
      <c r="T20" s="165"/>
      <c r="U20" s="165">
        <v>21.5</v>
      </c>
      <c r="V20" s="559"/>
      <c r="W20" s="559"/>
      <c r="X20" s="165">
        <v>43.7</v>
      </c>
      <c r="Y20" s="165"/>
      <c r="Z20" s="165"/>
      <c r="AA20" s="165">
        <v>14</v>
      </c>
      <c r="AB20" s="165"/>
      <c r="AC20" s="165">
        <v>12.9</v>
      </c>
      <c r="AD20" s="165"/>
      <c r="AE20" s="165"/>
      <c r="AF20" s="165"/>
      <c r="AG20" s="552"/>
      <c r="AH20" s="244">
        <v>6.9</v>
      </c>
      <c r="AI20" s="244">
        <v>11.2</v>
      </c>
      <c r="AJ20" s="554"/>
      <c r="AK20" s="339"/>
      <c r="AL20" s="268"/>
      <c r="AM20" s="339"/>
      <c r="AN20" s="268" t="s">
        <v>233</v>
      </c>
      <c r="AO20" s="45">
        <f>VLOOKUP(AN20,Skrogform!$1:$1048576,3,FALSE)</f>
        <v>0.97</v>
      </c>
      <c r="AP20" s="55">
        <v>14.15</v>
      </c>
      <c r="AQ20" s="55">
        <v>12.58</v>
      </c>
      <c r="AR20" s="55">
        <v>4.6500000000000004</v>
      </c>
      <c r="AS20" s="55">
        <v>2.2999999999999998</v>
      </c>
      <c r="AT20" s="637">
        <v>30</v>
      </c>
      <c r="AU20" s="171">
        <v>28</v>
      </c>
      <c r="AV20" s="55">
        <v>5.5</v>
      </c>
      <c r="AW20" s="171">
        <v>1.8</v>
      </c>
      <c r="AX20" s="253">
        <v>300</v>
      </c>
      <c r="AY20" s="253">
        <v>150</v>
      </c>
      <c r="AZ20" s="254">
        <f>AY20*7</f>
        <v>1050</v>
      </c>
      <c r="BA20" s="253">
        <v>200</v>
      </c>
      <c r="BB20" s="253">
        <v>300</v>
      </c>
      <c r="BC20" s="244">
        <f>Depl+Diesel/1000*0.84+Vann/1000</f>
        <v>28.451999999999998</v>
      </c>
      <c r="BD20" s="95">
        <f>Bredde/(Loa+Lwl)*2</f>
        <v>0.34792368125701462</v>
      </c>
      <c r="BE20" s="95">
        <f>(Kjøl+Ballast)/Depl</f>
        <v>0.26071428571428573</v>
      </c>
      <c r="BF20" s="627">
        <f>BF$7*((Depl-Kjøl-Ballast-VektMotor/1000-VektAnnet/1000)/Lwl/Lwl/Bredde)</f>
        <v>0.99230769230769222</v>
      </c>
      <c r="BG20" s="95">
        <f>BG$7*(Depl/Loa/Lwl/Lwl)</f>
        <v>0.92014134275618364</v>
      </c>
      <c r="BH20" s="174">
        <f>BH$7*(Depl/Loa/Lwl/Bredde)</f>
        <v>0.92014134275618364</v>
      </c>
      <c r="BI20" s="95">
        <f>BI$7*Bredde/(Loa+Lwl)*2</f>
        <v>0.99251777029554811</v>
      </c>
      <c r="BJ20" s="95">
        <f>BJ$7*(Dypg/Lwl)</f>
        <v>1</v>
      </c>
      <c r="BK20" s="68" t="s">
        <v>21</v>
      </c>
      <c r="BL20" s="266">
        <v>3</v>
      </c>
      <c r="BM20" s="266">
        <v>90</v>
      </c>
      <c r="BN20" s="45">
        <f t="shared" si="11"/>
        <v>1</v>
      </c>
      <c r="BO20" s="59"/>
      <c r="BP20" s="59"/>
      <c r="BR20" s="209"/>
      <c r="BS20" s="209"/>
      <c r="BT20" s="209" t="str">
        <f>$A20</f>
        <v>RS 10 Chistiania</v>
      </c>
      <c r="BU20" s="10"/>
      <c r="BV20" s="10"/>
      <c r="BW20" s="10"/>
      <c r="BX20" s="10"/>
      <c r="BY20" s="549"/>
      <c r="BZ20" s="10"/>
      <c r="CA20" s="10"/>
      <c r="CB20" s="209" t="str">
        <f>$A20</f>
        <v>RS 10 Chistiania</v>
      </c>
      <c r="CC20" s="10"/>
      <c r="CD20" s="10"/>
      <c r="CE20" s="10"/>
      <c r="CF20" s="10"/>
      <c r="CG20" s="10"/>
      <c r="CH20" s="10"/>
      <c r="CI20" s="10"/>
      <c r="CJ20" s="10"/>
      <c r="CK20" s="10"/>
      <c r="CL20" s="209"/>
      <c r="CM20" s="10"/>
      <c r="CN20" s="209" t="str">
        <f>$A20</f>
        <v>RS 10 Chistiania</v>
      </c>
      <c r="CO20" s="207"/>
      <c r="CP20" s="207"/>
      <c r="CQ20" s="116"/>
      <c r="CR20" s="207"/>
      <c r="CS20" s="203"/>
      <c r="CT20" s="203" t="s">
        <v>23</v>
      </c>
      <c r="CU20" s="107" t="str">
        <f t="shared" si="83"/>
        <v>-</v>
      </c>
      <c r="CV20" s="62" t="str">
        <f t="shared" si="13"/>
        <v>-</v>
      </c>
      <c r="CW20" s="62" t="str">
        <f t="shared" si="84"/>
        <v>-</v>
      </c>
      <c r="CX20" s="62" t="str">
        <f t="shared" si="15"/>
        <v>-</v>
      </c>
      <c r="CY20" s="107" t="str">
        <f t="shared" si="85"/>
        <v>-</v>
      </c>
      <c r="CZ20" s="168"/>
      <c r="DA20" s="158">
        <v>0.87</v>
      </c>
      <c r="DB20" s="168"/>
      <c r="DC20" s="160">
        <v>1.17</v>
      </c>
      <c r="DD20" s="190" t="s">
        <v>134</v>
      </c>
      <c r="DE20" s="29" t="s">
        <v>23</v>
      </c>
      <c r="DF20" s="29" t="s">
        <v>23</v>
      </c>
      <c r="DG20" s="29" t="s">
        <v>23</v>
      </c>
      <c r="DH20" s="149">
        <v>2022</v>
      </c>
      <c r="DI20" s="62" t="str">
        <f t="shared" si="88"/>
        <v>-</v>
      </c>
      <c r="DJ20" s="47">
        <f t="shared" si="89"/>
        <v>12.616566099835435</v>
      </c>
      <c r="DK20" s="48">
        <f t="shared" ref="DK20:DK23" si="122">DJ$7*IF(DJ20&lt;DJ$5,-0.04,IF(DJ20&lt;DJ$5*1.1,-0.03,IF(DJ20&lt;DJ$5*1.2,-0.02,IF(DJ20&lt;DJ$5*1.3,-0.01,0))))</f>
        <v>0</v>
      </c>
      <c r="DM20" s="107" t="str">
        <f t="shared" si="25"/>
        <v>-</v>
      </c>
      <c r="DN20" s="141" t="str">
        <f t="shared" ref="DN20:DN23" si="123">IF($DY20=0,"-",(DM20-$DW20)*100)</f>
        <v>-</v>
      </c>
      <c r="DO20" s="107" t="e">
        <f t="shared" ref="DO20:DO23" si="124">SUM(DP20:DS20)^DO$3+DO$7</f>
        <v>#REF!</v>
      </c>
      <c r="DP20" s="133" t="e">
        <f>IF(SeilBeregnet=0,#REF!,(SeilBeregnet^0.5/(Depl^0.3333))^DP$3*DP$7)</f>
        <v>#REF!</v>
      </c>
      <c r="DQ20" s="133" t="e">
        <f>IF(SeilBeregnet=0,#REF!,(SeilBeregnet^0.5/Lwl)^DQ$3*DQ$7)</f>
        <v>#REF!</v>
      </c>
      <c r="DR20" s="133" t="e">
        <f>IF(SeilBeregnet=0,#REF!,(0.1*Loa/Depl^0.3333)^DR$3*DR$7)</f>
        <v>#REF!</v>
      </c>
      <c r="DS20" s="133" t="e">
        <f>IF(SeilBeregnet=0,#REF!,((Loa)/Bredde)^DS$3*DS$7)</f>
        <v>#REF!</v>
      </c>
      <c r="DT20" s="107" t="e">
        <f>IF(SeilBeregnet=0,#REF!,(Lwl)^DT$3)</f>
        <v>#REF!</v>
      </c>
      <c r="DU20" s="133" t="e">
        <f>IF(SeilBeregnet=0,#REF!,(Dypg/Loa)^DU$3*5*DU$7)</f>
        <v>#REF!</v>
      </c>
      <c r="DW20" s="107" t="str">
        <f t="shared" ref="DW20:DW43" si="125">IF(SeilBeregnet=0,"-",DW$7*(DW$4*(LBf+SaDeplf)*Lf*PropF+DW$6)+ErfaringsF+Dyp_F)</f>
        <v>-</v>
      </c>
      <c r="DX20" s="107" t="str">
        <f t="shared" si="93"/>
        <v>-</v>
      </c>
      <c r="DZ20" s="107" t="str">
        <f t="shared" si="94"/>
        <v>-</v>
      </c>
      <c r="EB20" s="107" t="str">
        <f t="shared" ref="EB20:EB23" si="126">IF(SeilBeregnet=0,"-",EB$7*(EB$4*ED20*EE20*EF20*PropF+EB$6)+ErfaringsF+Dyp_F)</f>
        <v>-</v>
      </c>
      <c r="ED20" s="107">
        <f>IF(SeilBeregnet=0,ED15,SeilBeregnet^0.5/Depl^0.33333)</f>
        <v>2.8876274487847118</v>
      </c>
      <c r="EE20" s="107">
        <f>IF(SeilBeregnet=0,EE15,Lwl^0.3333)</f>
        <v>2.317501078004538</v>
      </c>
      <c r="EF20" s="107">
        <f>IF(SeilBeregnet=0,EF15,((Loa+Lwl)/Bredde)^EF$3)</f>
        <v>1.6238537419499199</v>
      </c>
      <c r="EH20" s="107" t="str">
        <f t="shared" ref="EH20:EH23" si="127">IF(SeilBeregnet=0,"-",EH$7*(EH$4*EJ20*EK20*EL20*PropF+EH$6)+ErfaringsF+Dyp_F)</f>
        <v>-</v>
      </c>
      <c r="EJ20" s="107">
        <f>IF(SeilBeregnet=0,EJ15,SeilBeregnet^0.5/Depl^0.33333)</f>
        <v>2.8876274487847118</v>
      </c>
      <c r="EK20" s="107">
        <f>IF(SeilBeregnet=0,EK15,Lwl^EK$3)</f>
        <v>2.3176764073442899</v>
      </c>
      <c r="EL20" s="107">
        <f>IF(SeilBeregnet=0,EL15,((Loa+Lwl)/Bredde)^EL$3)</f>
        <v>1.9085394483088816</v>
      </c>
      <c r="EM20" s="107" t="str">
        <f t="shared" ref="EM20:EM23" si="128">IF(SeilBeregnet=0,"-",EM$7*(EM$4*EO20+EM$6)*ER20*PropF+ErfaringsF+Dyp_F)</f>
        <v>-</v>
      </c>
      <c r="EO20" s="107">
        <f>IF(SeilBeregnet=0,EO15,(EP20*EQ20)^EO$3)</f>
        <v>4.6890846380663547</v>
      </c>
      <c r="EP20" s="107">
        <f>IF(SeilBeregnet=0,EP15,SeilBeregnet^0.5/Depl^0.33333)</f>
        <v>2.8876274487847118</v>
      </c>
      <c r="EQ20" s="107">
        <f>IF(SeilBeregnet=0,EQ15,((Loa+Lwl)/Bredde)^EQ$3)</f>
        <v>1.6238537419499199</v>
      </c>
      <c r="ER20" s="107">
        <f>IF(SeilBeregnet=0,ER15,Lwl^ER$3)</f>
        <v>1.878418417945126</v>
      </c>
      <c r="ES20" s="107" t="str">
        <f t="shared" si="26"/>
        <v>-</v>
      </c>
      <c r="EU20" s="107">
        <f>IF(SeilBeregnet=0,EU15,(EV:EV*EW:EW)^EU$3)</f>
        <v>1.7309125612576814</v>
      </c>
      <c r="EV20" s="107">
        <f>IF(SeilBeregnet=0,EV15,SeilBeregnet^0.5/Depl^0.33333)</f>
        <v>2.8876274487847118</v>
      </c>
      <c r="EW20" s="107">
        <f>IF(SeilBeregnet=0,EW15,((Loa+Lwl)/Bredde/6)^EW$3)</f>
        <v>1.0375501507234075</v>
      </c>
      <c r="EX20" s="107">
        <f>IF(SeilBeregnet=0,EX15,(Lwl*0.7+Loa*0.3)^EX$3)</f>
        <v>1.8992304700730467</v>
      </c>
      <c r="EY20" s="107" t="str">
        <f t="shared" si="27"/>
        <v>-</v>
      </c>
      <c r="FA20" s="107">
        <f t="shared" si="20"/>
        <v>1.7309939721670038</v>
      </c>
      <c r="FB20" s="107">
        <f>IF(SeilBeregnet=0,FB15,SeilBeregnet^0.5/Depl^0.3333)</f>
        <v>2.8878990857351559</v>
      </c>
      <c r="FC20" s="107">
        <f>IF(SeilBeregnet=0,FC15,((Loa+Lwl)/Bredde/6)^FC$3)</f>
        <v>1.0375501507234075</v>
      </c>
      <c r="FD20" s="107">
        <f>IF(SeilBeregnet=0,FD15,(Lwl*0.7+Loa*0.3)^FD$3)</f>
        <v>1.8992304700730467</v>
      </c>
      <c r="FE20" s="107" t="str">
        <f t="shared" si="28"/>
        <v>-</v>
      </c>
      <c r="FF20" s="141" t="str">
        <f t="shared" ref="FF20:FF23" si="129">IF($DY20=0,"-",(FE20-$DW20)*100)</f>
        <v>-</v>
      </c>
      <c r="FG20" s="107">
        <f t="shared" si="21"/>
        <v>3.1088531552416239</v>
      </c>
      <c r="FH20" s="133">
        <f>IF(SeilBeregnet=0,FH15,(SeilBeregnet^0.5/(Depl^0.3333))^FH$3)</f>
        <v>2.8878990857351559</v>
      </c>
      <c r="FI20" s="133">
        <f>IF(SeilBeregnet=0,FI15,((Loa+Lwl)/Bredde/6)^FI$3)</f>
        <v>1.0765103152661655</v>
      </c>
      <c r="FJ20" s="107">
        <f>IF(SeilBeregnet=0,FJ15,(Lwl*0.07+Loa*0.03)^FJ$3)</f>
        <v>1.0680157793827667</v>
      </c>
      <c r="FK20" s="107" t="str">
        <f t="shared" si="29"/>
        <v>-</v>
      </c>
      <c r="FL20" s="141" t="str">
        <f t="shared" ref="FL20:FL23" si="130">IF($DY20=0,"-",(FK20-$DW20)*100)</f>
        <v>-</v>
      </c>
      <c r="FM20" s="107">
        <f t="shared" si="22"/>
        <v>4.9760883411233081</v>
      </c>
      <c r="FN20" s="133">
        <f>IF(SeilBeregnet=0,FN15,(SeilBeregnet^0.5/(Depl^0.3333))^FN$3)</f>
        <v>2.8878990857351559</v>
      </c>
      <c r="FO20" s="133">
        <f>IF(SeilBeregnet=0,FO15,(SeilBeregnet^0.5/Lwl*FO$7)^FO$3)</f>
        <v>0.65959377694262877</v>
      </c>
      <c r="FP20" s="133">
        <f>IF(SeilBeregnet=0,FP15,((Loa)/Bredde)^FP$3*FP$7)</f>
        <v>1.9285954784455239</v>
      </c>
      <c r="FQ20" s="107">
        <f>IF(SeilBeregnet=0,FQ15,(Lwl)^FQ$3)</f>
        <v>1.878418417945126</v>
      </c>
      <c r="FR20" s="107" t="str">
        <f t="shared" si="30"/>
        <v>-</v>
      </c>
      <c r="FS20" s="141" t="str">
        <f t="shared" ref="FS20:FS23" si="131">IF($DY20=0,"-",(FR20-$DW20)*100)</f>
        <v>-</v>
      </c>
      <c r="FT20" s="107">
        <f t="shared" si="23"/>
        <v>5.5695891189557845</v>
      </c>
      <c r="FU20" s="133">
        <f>IF(SeilBeregnet=0,FU15,(SeilBeregnet^0.5/(Depl^0.3333))^FU$3)</f>
        <v>2.8878990857351559</v>
      </c>
      <c r="FV20" s="133">
        <f>IF(SeilBeregnet=0,FV15,(Loa/Bredde)^FV$3)</f>
        <v>1.9285954784455239</v>
      </c>
      <c r="FW20" s="107">
        <f>IF(SeilBeregnet=0,FW15,Lwl^FW$3)</f>
        <v>1.878418417945126</v>
      </c>
      <c r="FY20">
        <v>0.95</v>
      </c>
      <c r="FZ20" s="62" t="str">
        <f t="shared" si="48"/>
        <v>-</v>
      </c>
      <c r="GA20" s="62">
        <f t="shared" si="49"/>
        <v>2.0158383467636201</v>
      </c>
      <c r="GB20" s="107" t="str">
        <f t="shared" si="50"/>
        <v>-</v>
      </c>
      <c r="GC20" s="441" t="s">
        <v>442</v>
      </c>
      <c r="GD20" s="57"/>
      <c r="GE20" s="436"/>
      <c r="GF20" s="75"/>
      <c r="GG20" s="57"/>
      <c r="GH20" s="57"/>
      <c r="GI20" s="57" t="s">
        <v>416</v>
      </c>
      <c r="GJ20" s="57"/>
      <c r="GL20" s="57" t="s">
        <v>478</v>
      </c>
      <c r="GM20" s="436" t="s">
        <v>478</v>
      </c>
      <c r="GN20" s="58" t="s">
        <v>478</v>
      </c>
      <c r="GO20" s="58" t="s">
        <v>478</v>
      </c>
      <c r="GP20" s="58" t="s">
        <v>478</v>
      </c>
      <c r="GQ20" s="58" t="s">
        <v>478</v>
      </c>
      <c r="GS20" s="57"/>
      <c r="GT20" s="57" t="s">
        <v>925</v>
      </c>
      <c r="GU20" s="57" t="s">
        <v>465</v>
      </c>
      <c r="GV20" s="632" t="s">
        <v>926</v>
      </c>
      <c r="GW20" s="57">
        <v>1895</v>
      </c>
      <c r="GX20" s="57" t="s">
        <v>431</v>
      </c>
      <c r="GY20" s="57"/>
      <c r="GZ20" s="57"/>
    </row>
    <row r="21" spans="1:208" ht="15.6" x14ac:dyDescent="0.3">
      <c r="A21" s="60" t="s">
        <v>24</v>
      </c>
      <c r="B21" s="218"/>
      <c r="C21" s="61" t="str">
        <f>C20</f>
        <v>Gaffel</v>
      </c>
      <c r="D21" s="61"/>
      <c r="E21" s="61"/>
      <c r="F21" s="61"/>
      <c r="G21" s="54"/>
      <c r="H21" s="204">
        <f>TBFavrundet</f>
        <v>111.5</v>
      </c>
      <c r="I21" s="63">
        <f>COUNTA(O21:AG21)</f>
        <v>5</v>
      </c>
      <c r="J21" s="222">
        <f>SUM(O21:AG21)</f>
        <v>117.10000000000001</v>
      </c>
      <c r="K21" s="116">
        <f>Seilareal/Depl^0.667/K$7</f>
        <v>1.1755958834276339</v>
      </c>
      <c r="L21" s="116">
        <f>Seilareal/Lwl/Lwl/L$7</f>
        <v>1.1227229146692235</v>
      </c>
      <c r="M21" s="92">
        <f>RiggF</f>
        <v>0.71776259607173354</v>
      </c>
      <c r="N21" s="242">
        <f>StHfaktor</f>
        <v>0.98558065984125853</v>
      </c>
      <c r="O21" s="143"/>
      <c r="P21" s="143"/>
      <c r="Q21" s="143"/>
      <c r="R21" s="165">
        <v>25</v>
      </c>
      <c r="S21" s="143"/>
      <c r="T21" s="143"/>
      <c r="U21" s="165">
        <v>21.5</v>
      </c>
      <c r="V21" s="559"/>
      <c r="W21" s="559"/>
      <c r="X21" s="165">
        <v>43.7</v>
      </c>
      <c r="Y21" s="143"/>
      <c r="Z21" s="143"/>
      <c r="AA21" s="165">
        <v>14</v>
      </c>
      <c r="AB21" s="143"/>
      <c r="AC21" s="165">
        <v>12.9</v>
      </c>
      <c r="AD21" s="143"/>
      <c r="AE21" s="143"/>
      <c r="AF21" s="143"/>
      <c r="AG21" s="551"/>
      <c r="AH21" s="557"/>
      <c r="AI21" s="557">
        <f t="shared" ref="AI21:AI23" si="132">AI20</f>
        <v>11.2</v>
      </c>
      <c r="AJ21" s="337">
        <f t="shared" ref="AJ21:AL21" si="133" xml:space="preserve"> AJ20</f>
        <v>0</v>
      </c>
      <c r="AK21" s="339"/>
      <c r="AL21" s="337">
        <f t="shared" si="133"/>
        <v>0</v>
      </c>
      <c r="AM21" s="339"/>
      <c r="AN21" s="267" t="str">
        <f t="shared" ref="AN21" si="134" xml:space="preserve"> AN20</f>
        <v>RS</v>
      </c>
      <c r="AO21" s="45">
        <f>VLOOKUP(AN21,Skrogform!$1:$1048576,3,FALSE)</f>
        <v>0.97</v>
      </c>
      <c r="AP21" s="64">
        <f t="shared" ref="AP21:AZ21" si="135">AP20</f>
        <v>14.15</v>
      </c>
      <c r="AQ21" s="64">
        <f t="shared" si="135"/>
        <v>12.58</v>
      </c>
      <c r="AR21" s="64">
        <f t="shared" si="135"/>
        <v>4.6500000000000004</v>
      </c>
      <c r="AS21" s="64">
        <f t="shared" si="135"/>
        <v>2.2999999999999998</v>
      </c>
      <c r="AT21" s="64"/>
      <c r="AU21" s="64">
        <f t="shared" si="135"/>
        <v>28</v>
      </c>
      <c r="AV21" s="64">
        <f t="shared" si="135"/>
        <v>5.5</v>
      </c>
      <c r="AW21" s="64">
        <f t="shared" si="135"/>
        <v>1.8</v>
      </c>
      <c r="AX21" s="256">
        <f>AX20</f>
        <v>300</v>
      </c>
      <c r="AY21" s="256">
        <f t="shared" si="135"/>
        <v>150</v>
      </c>
      <c r="AZ21" s="256">
        <f t="shared" si="135"/>
        <v>1050</v>
      </c>
      <c r="BA21" s="256">
        <f t="shared" ref="BA21:BB21" si="136">BA20</f>
        <v>200</v>
      </c>
      <c r="BB21" s="256">
        <f t="shared" si="136"/>
        <v>300</v>
      </c>
      <c r="BC21" s="256"/>
      <c r="BD21" s="66"/>
      <c r="BE21" s="66"/>
      <c r="BF21" s="261"/>
      <c r="BG21" s="66"/>
      <c r="BH21" s="175"/>
      <c r="BI21" s="66"/>
      <c r="BJ21" s="66"/>
      <c r="BK21" s="65" t="str">
        <f t="shared" ref="BK21:BM21" si="137" xml:space="preserve"> BK20</f>
        <v>Seilrett</v>
      </c>
      <c r="BL21" s="267">
        <f t="shared" si="137"/>
        <v>3</v>
      </c>
      <c r="BM21" s="267">
        <f t="shared" si="137"/>
        <v>90</v>
      </c>
      <c r="BN21" s="45">
        <f t="shared" si="11"/>
        <v>1</v>
      </c>
      <c r="BO21" s="59"/>
      <c r="BP21" s="59"/>
      <c r="BR21" s="49">
        <f t="shared" ref="BR21:BX23" si="138">IF(O21=0,0,O21*BR$9)</f>
        <v>0</v>
      </c>
      <c r="BS21" s="49">
        <f t="shared" si="138"/>
        <v>0</v>
      </c>
      <c r="BT21" s="49">
        <f t="shared" si="138"/>
        <v>0</v>
      </c>
      <c r="BU21" s="49">
        <f t="shared" si="138"/>
        <v>25</v>
      </c>
      <c r="BV21" s="49">
        <f t="shared" si="138"/>
        <v>0</v>
      </c>
      <c r="BW21" s="49">
        <f t="shared" si="138"/>
        <v>0</v>
      </c>
      <c r="BX21" s="49">
        <f t="shared" si="138"/>
        <v>21.5</v>
      </c>
      <c r="BY21" s="549">
        <f>IF(COUNT(Q21:U21)&gt;1,MINA(Q21:U21)*BY$9,0)</f>
        <v>-10.75</v>
      </c>
      <c r="BZ21" s="85">
        <f t="shared" ref="BZ21:CD23" si="139">IF(V21=0,0,V21*BZ$9)</f>
        <v>0</v>
      </c>
      <c r="CA21" s="85">
        <f t="shared" si="139"/>
        <v>0</v>
      </c>
      <c r="CB21" s="85">
        <f t="shared" si="139"/>
        <v>34.96</v>
      </c>
      <c r="CC21" s="85">
        <f t="shared" si="139"/>
        <v>0</v>
      </c>
      <c r="CD21" s="85">
        <f t="shared" si="139"/>
        <v>0</v>
      </c>
      <c r="CE21" s="85">
        <f>IF(AC21=0,0,AC21*CE$9)</f>
        <v>7.74</v>
      </c>
      <c r="CF21" s="85">
        <f t="shared" ref="CF21:CG23" si="140">IF(AA21=0,0,AA21*CF$9)</f>
        <v>5.6000000000000005</v>
      </c>
      <c r="CG21" s="85">
        <f t="shared" si="140"/>
        <v>0</v>
      </c>
      <c r="CH21" s="85">
        <f t="shared" ref="CH21:CK23" si="141">IF(AD21=0,0,AD21*CH$9)</f>
        <v>0</v>
      </c>
      <c r="CI21" s="85">
        <f t="shared" si="141"/>
        <v>0</v>
      </c>
      <c r="CJ21" s="85">
        <f t="shared" si="141"/>
        <v>0</v>
      </c>
      <c r="CK21" s="85">
        <f t="shared" si="141"/>
        <v>0</v>
      </c>
      <c r="CL21" s="100">
        <f>SUM(BR21:CK21)</f>
        <v>84.05</v>
      </c>
      <c r="CM21" s="50"/>
      <c r="CN21" s="104">
        <f>J21</f>
        <v>117.10000000000001</v>
      </c>
      <c r="CO21" s="101">
        <f>CL21/CN21</f>
        <v>0.71776259607173354</v>
      </c>
      <c r="CP21" s="51">
        <f>Seilareal/Lwl/Lwl</f>
        <v>0.7399384795812366</v>
      </c>
      <c r="CQ21" s="116">
        <f>Seilareal/Depl^0.667/K$7</f>
        <v>1.1755958834276339</v>
      </c>
      <c r="CR21" s="51">
        <f>Seilareal/Lwl/Lwl/SApRS1</f>
        <v>1.1227229146692235</v>
      </c>
      <c r="CS21" s="204"/>
      <c r="CT21" s="204">
        <f>(ROUND(TBF/CT$6,3)*CT$6)*CT$4</f>
        <v>111.5</v>
      </c>
      <c r="CU21" s="107">
        <f t="shared" si="83"/>
        <v>1.116613312873642</v>
      </c>
      <c r="CV21" s="62">
        <f t="shared" si="13"/>
        <v>2.9528590521263922</v>
      </c>
      <c r="CW21" s="62">
        <f t="shared" si="84"/>
        <v>1.6953446694955856</v>
      </c>
      <c r="CX21" s="62">
        <f t="shared" si="15"/>
        <v>1.8833028354976902</v>
      </c>
      <c r="CY21" s="107">
        <f t="shared" si="85"/>
        <v>0.98558065984125853</v>
      </c>
      <c r="CZ21" s="168">
        <f>IF(DA21=0,"-",IF(CP21="TBF","-",CZ$7*DA21))</f>
        <v>1.0849411764705883</v>
      </c>
      <c r="DA21" s="159">
        <f>DA20</f>
        <v>0.87</v>
      </c>
      <c r="DB21" s="168">
        <f>IF(DC21=0,"-",IF(CT21="TBF","-",DB$7*DC21))</f>
        <v>1.0878947368421052</v>
      </c>
      <c r="DC21" s="159">
        <f>DC20</f>
        <v>1.17</v>
      </c>
      <c r="DD21" s="190" t="s">
        <v>134</v>
      </c>
      <c r="DE21" s="62">
        <v>0.88</v>
      </c>
      <c r="DF21" s="62">
        <v>0.87</v>
      </c>
      <c r="DG21" s="62">
        <v>0.88</v>
      </c>
      <c r="DH21" s="150">
        <v>0.91</v>
      </c>
      <c r="DI21" s="62">
        <f t="shared" si="88"/>
        <v>2.0499999999999998</v>
      </c>
      <c r="DJ21" s="47">
        <f t="shared" si="89"/>
        <v>12.616566099835435</v>
      </c>
      <c r="DK21" s="48">
        <f t="shared" si="122"/>
        <v>0</v>
      </c>
      <c r="DM21" s="107">
        <f t="shared" si="25"/>
        <v>1.1125103367812379</v>
      </c>
      <c r="DN21" s="141">
        <f t="shared" si="123"/>
        <v>-0.73506791361166446</v>
      </c>
      <c r="DO21" s="107">
        <f t="shared" si="124"/>
        <v>4.7638953149648176</v>
      </c>
      <c r="DP21" s="133">
        <f>IF(SeilBeregnet=0,DP20,(SeilBeregnet^0.5/(Depl^0.3333))^DP$3*DP$7)</f>
        <v>3.0194725586674309</v>
      </c>
      <c r="DQ21" s="133">
        <f>IF(SeilBeregnet=0,DQ20,(SeilBeregnet^0.5/Lwl)^DQ$3*DQ$7)</f>
        <v>0</v>
      </c>
      <c r="DR21" s="133">
        <f>IF(SeilBeregnet=0,DR20,(0.1*Loa/Depl^0.3333)^DR$3*DR$7)</f>
        <v>0</v>
      </c>
      <c r="DS21" s="133">
        <f>IF(SeilBeregnet=0,DS20,((Loa)/Bredde)^DS$3*DS$7)</f>
        <v>1.7444227562973869</v>
      </c>
      <c r="DT21" s="107">
        <f>IF(SeilBeregnet=0,DT20,(Lwl)^DT$3)</f>
        <v>1.8833028354976902</v>
      </c>
      <c r="DU21" s="133">
        <f>IF(SeilBeregnet=0,DU20,(Dypg/Loa)^DU$3*5*DU$7)</f>
        <v>2.0158383467636201</v>
      </c>
      <c r="DW21" s="107">
        <f t="shared" si="125"/>
        <v>1.1198610159173545</v>
      </c>
      <c r="DX21" s="107">
        <f t="shared" si="93"/>
        <v>1.1143347277548044</v>
      </c>
      <c r="DY21" s="122">
        <f>DX21-DW21</f>
        <v>-5.5262881625501858E-3</v>
      </c>
      <c r="DZ21" s="107">
        <f t="shared" si="94"/>
        <v>1.1033061035841703</v>
      </c>
      <c r="EA21" s="122">
        <f>IF($DY21=0,"-",DZ21-$DW21)</f>
        <v>-1.6554912333184291E-2</v>
      </c>
      <c r="EB21" s="107">
        <f t="shared" si="126"/>
        <v>1.1251195750574203</v>
      </c>
      <c r="EC21" s="122">
        <f>IF($DY21=0,"-",EB21-$DW21)</f>
        <v>5.2585591400657883E-3</v>
      </c>
      <c r="ED21" s="107">
        <f>IF(SeilBeregnet=0,ED20,SeilBeregnet^0.5/Depl^0.33333)</f>
        <v>3.0191707287517167</v>
      </c>
      <c r="EE21" s="107">
        <f>IF(SeilBeregnet=0,EE20,Lwl^0.3333)</f>
        <v>2.3255386279619175</v>
      </c>
      <c r="EF21" s="107">
        <f>IF(SeilBeregnet=0,EF20,((Loa+Lwl)/Bredde)^EF$3)</f>
        <v>1.5484119040157207</v>
      </c>
      <c r="EH21" s="107">
        <f t="shared" si="127"/>
        <v>1.1187944211211969</v>
      </c>
      <c r="EJ21" s="107">
        <f>IF(SeilBeregnet=0,EJ20,SeilBeregnet^0.5/Depl^0.33333)</f>
        <v>3.0191707287517167</v>
      </c>
      <c r="EK21" s="107">
        <f>IF(SeilBeregnet=0,EK20,Lwl^EK$3)</f>
        <v>2.3257152901382043</v>
      </c>
      <c r="EL21" s="107">
        <f>IF(SeilBeregnet=0,EL20,((Loa+Lwl)/Bredde)^EL$3)</f>
        <v>1.7912519812070522</v>
      </c>
      <c r="EM21" s="107">
        <f t="shared" si="128"/>
        <v>1.120458709541309</v>
      </c>
      <c r="EO21" s="107">
        <f>IF(SeilBeregnet=0,EO20,(EP21*EQ21)^EO$3)</f>
        <v>4.674919896654977</v>
      </c>
      <c r="EP21" s="107">
        <f>IF(SeilBeregnet=0,EP20,SeilBeregnet^0.5/Depl^0.33333)</f>
        <v>3.0191707287517167</v>
      </c>
      <c r="EQ21" s="107">
        <f>IF(SeilBeregnet=0,EQ20,((Loa+Lwl)/Bredde)^EQ$3)</f>
        <v>1.5484119040157207</v>
      </c>
      <c r="ER21" s="107">
        <f>IF(SeilBeregnet=0,ER20,Lwl^ER$3)</f>
        <v>1.8833028354976902</v>
      </c>
      <c r="ES21" s="107">
        <f t="shared" si="26"/>
        <v>1.1233293785998444</v>
      </c>
      <c r="EU21" s="107">
        <f>IF(SeilBeregnet=0,EU20,(EV:EV*EW:EW)^EU$3)</f>
        <v>1.7282962219687323</v>
      </c>
      <c r="EV21" s="107">
        <f>IF(SeilBeregnet=0,EV20,SeilBeregnet^0.5/Depl^0.33333)</f>
        <v>3.0191707287517167</v>
      </c>
      <c r="EW21" s="107">
        <f>IF(SeilBeregnet=0,EW20,((Loa+Lwl)/Bredde/6)^EW$3)</f>
        <v>0.98934710860368591</v>
      </c>
      <c r="EX21" s="107">
        <f>IF(SeilBeregnet=0,EX20,(Lwl*0.7+Loa*0.3)^EX$3)</f>
        <v>1.9006885016012918</v>
      </c>
      <c r="EY21" s="107">
        <f t="shared" si="27"/>
        <v>1.1046254759838443</v>
      </c>
      <c r="FA21" s="107">
        <f t="shared" si="20"/>
        <v>1.7283826096746624</v>
      </c>
      <c r="FB21" s="107">
        <f>IF(SeilBeregnet=0,FB20,SeilBeregnet^0.5/Depl^0.3333)</f>
        <v>3.0194725586674309</v>
      </c>
      <c r="FC21" s="107">
        <f>IF(SeilBeregnet=0,FC20,((Loa+Lwl)/Bredde/6)^FC$3)</f>
        <v>0.98934710860368591</v>
      </c>
      <c r="FD21" s="107">
        <f>IF(SeilBeregnet=0,FD20,(Lwl*0.7+Loa*0.3)^FD$3)</f>
        <v>1.9006885016012918</v>
      </c>
      <c r="FE21" s="107">
        <f t="shared" si="28"/>
        <v>1.1122853887486639</v>
      </c>
      <c r="FF21" s="141">
        <f t="shared" si="129"/>
        <v>-0.75756271686906462</v>
      </c>
      <c r="FG21" s="107">
        <f t="shared" si="21"/>
        <v>2.9554829942951661</v>
      </c>
      <c r="FH21" s="133">
        <f>IF(SeilBeregnet=0,FH20,(SeilBeregnet^0.5/(Depl^0.3333))^FH$3)</f>
        <v>3.0194725586674309</v>
      </c>
      <c r="FI21" s="133">
        <f>IF(SeilBeregnet=0,FI20,((Loa+Lwl)/Bredde/6)^FI$3)</f>
        <v>0.97880770130247352</v>
      </c>
      <c r="FJ21" s="107">
        <f>IF(SeilBeregnet=0,FJ20,(Lwl*0.07+Loa*0.03)^FJ$3)</f>
        <v>1.0688356907645293</v>
      </c>
      <c r="FK21" s="107">
        <f t="shared" si="29"/>
        <v>1.1189205353776073</v>
      </c>
      <c r="FL21" s="141">
        <f t="shared" si="130"/>
        <v>-9.404805397472682E-2</v>
      </c>
      <c r="FM21" s="107">
        <f t="shared" si="22"/>
        <v>4.9926615079496459</v>
      </c>
      <c r="FN21" s="133">
        <f>IF(SeilBeregnet=0,FN20,(SeilBeregnet^0.5/(Depl^0.3333))^FN$3)</f>
        <v>3.0194725586674309</v>
      </c>
      <c r="FO21" s="133">
        <f>IF(SeilBeregnet=0,FO20,(SeilBeregnet^0.5/Lwl*FO$7)^FO$3)</f>
        <v>0.72876619298482814</v>
      </c>
      <c r="FP21" s="133">
        <f>IF(SeilBeregnet=0,FP20,((Loa)/Bredde)^FP$3*FP$7)</f>
        <v>1.7444227562973869</v>
      </c>
      <c r="FQ21" s="107">
        <f>IF(SeilBeregnet=0,FQ20,(Lwl)^FQ$3)</f>
        <v>1.8833028354976902</v>
      </c>
      <c r="FR21" s="107">
        <f t="shared" si="30"/>
        <v>1.1169928350501439</v>
      </c>
      <c r="FS21" s="141">
        <f t="shared" si="131"/>
        <v>-0.28681808672106346</v>
      </c>
      <c r="FT21" s="107">
        <f t="shared" si="23"/>
        <v>5.2672366433549627</v>
      </c>
      <c r="FU21" s="133">
        <f>IF(SeilBeregnet=0,FU20,(SeilBeregnet^0.5/(Depl^0.3333))^FU$3)</f>
        <v>3.0194725586674309</v>
      </c>
      <c r="FV21" s="133">
        <f>IF(SeilBeregnet=0,FV20,(Loa/Bredde)^FV$3)</f>
        <v>1.7444227562973869</v>
      </c>
      <c r="FW21" s="107">
        <f>IF(SeilBeregnet=0,FW20,Lwl^FW$3)</f>
        <v>1.8833028354976902</v>
      </c>
      <c r="FY21">
        <v>0.95</v>
      </c>
      <c r="FZ21" s="62">
        <f t="shared" si="48"/>
        <v>1.134460300421966</v>
      </c>
      <c r="GA21" s="62">
        <f t="shared" si="49"/>
        <v>2.0158383467636201</v>
      </c>
      <c r="GB21" s="107">
        <f t="shared" si="50"/>
        <v>1.090615482567485</v>
      </c>
      <c r="GC21" s="440"/>
      <c r="GD21" s="17"/>
      <c r="GE21" s="442"/>
      <c r="GF21" s="462"/>
      <c r="GG21" s="17"/>
      <c r="GH21" s="17"/>
      <c r="GI21" s="17"/>
      <c r="GJ21" s="17"/>
      <c r="GL21" s="17"/>
      <c r="GM21" s="442"/>
      <c r="GN21" s="8"/>
      <c r="GO21" s="8"/>
      <c r="GP21" s="8"/>
      <c r="GQ21" s="8"/>
      <c r="GS21" s="17"/>
      <c r="GT21" s="17"/>
      <c r="GU21" s="17"/>
      <c r="GV21" s="629"/>
      <c r="GW21" s="17"/>
      <c r="GX21" s="17"/>
      <c r="GY21" s="17"/>
      <c r="GZ21" s="17"/>
    </row>
    <row r="22" spans="1:208" ht="15.6" x14ac:dyDescent="0.3">
      <c r="A22" s="60" t="s">
        <v>25</v>
      </c>
      <c r="B22" s="218"/>
      <c r="C22" s="14" t="str">
        <f>C20</f>
        <v>Gaffel</v>
      </c>
      <c r="G22" s="54"/>
      <c r="H22" s="204">
        <f>TBFavrundet</f>
        <v>109.5</v>
      </c>
      <c r="I22" s="63">
        <f>COUNTA(O22:AG22)</f>
        <v>4</v>
      </c>
      <c r="J22" s="222">
        <f>SUM(O22:AG22)</f>
        <v>103.10000000000001</v>
      </c>
      <c r="K22" s="116">
        <f>Seilareal/Depl^0.667/K$7</f>
        <v>1.0350464182868409</v>
      </c>
      <c r="L22" s="116">
        <f>Seilareal/Lwl/Lwl/L$7</f>
        <v>0.98849472674976024</v>
      </c>
      <c r="M22" s="92">
        <f>RiggF</f>
        <v>0.76091173617846752</v>
      </c>
      <c r="N22" s="242">
        <f>StHfaktor</f>
        <v>0.98558065984125853</v>
      </c>
      <c r="O22" s="143"/>
      <c r="P22" s="143"/>
      <c r="Q22" s="143"/>
      <c r="R22" s="165">
        <v>25</v>
      </c>
      <c r="S22" s="143"/>
      <c r="T22" s="143"/>
      <c r="U22" s="165">
        <v>21.5</v>
      </c>
      <c r="V22" s="559"/>
      <c r="W22" s="559"/>
      <c r="X22" s="165">
        <v>43.7</v>
      </c>
      <c r="Y22" s="143"/>
      <c r="Z22" s="143"/>
      <c r="AA22" s="143"/>
      <c r="AB22" s="143"/>
      <c r="AC22" s="165">
        <v>12.9</v>
      </c>
      <c r="AD22" s="143"/>
      <c r="AE22" s="143"/>
      <c r="AF22" s="143"/>
      <c r="AG22" s="551"/>
      <c r="AH22" s="557"/>
      <c r="AI22" s="557">
        <f t="shared" si="132"/>
        <v>11.2</v>
      </c>
      <c r="AJ22" s="337">
        <f t="shared" ref="AJ22:AL22" si="142" xml:space="preserve"> AJ21</f>
        <v>0</v>
      </c>
      <c r="AK22" s="339"/>
      <c r="AL22" s="337">
        <f t="shared" si="142"/>
        <v>0</v>
      </c>
      <c r="AM22" s="339"/>
      <c r="AN22" s="267" t="str">
        <f t="shared" ref="AN22" si="143" xml:space="preserve"> AN21</f>
        <v>RS</v>
      </c>
      <c r="AO22" s="45">
        <f>VLOOKUP(AN22,Skrogform!$1:$1048576,3,FALSE)</f>
        <v>0.97</v>
      </c>
      <c r="AP22" s="64">
        <f t="shared" ref="AP22:AZ22" si="144">AP21</f>
        <v>14.15</v>
      </c>
      <c r="AQ22" s="64">
        <f t="shared" si="144"/>
        <v>12.58</v>
      </c>
      <c r="AR22" s="64">
        <f t="shared" si="144"/>
        <v>4.6500000000000004</v>
      </c>
      <c r="AS22" s="64">
        <f t="shared" si="144"/>
        <v>2.2999999999999998</v>
      </c>
      <c r="AT22" s="64"/>
      <c r="AU22" s="64">
        <f t="shared" si="144"/>
        <v>28</v>
      </c>
      <c r="AV22" s="64">
        <f t="shared" si="144"/>
        <v>5.5</v>
      </c>
      <c r="AW22" s="64">
        <f t="shared" si="144"/>
        <v>1.8</v>
      </c>
      <c r="AX22" s="256">
        <f>AX21</f>
        <v>300</v>
      </c>
      <c r="AY22" s="256">
        <f t="shared" si="144"/>
        <v>150</v>
      </c>
      <c r="AZ22" s="256">
        <f t="shared" si="144"/>
        <v>1050</v>
      </c>
      <c r="BA22" s="256">
        <f t="shared" ref="BA22:BB22" si="145">BA21</f>
        <v>200</v>
      </c>
      <c r="BB22" s="256">
        <f t="shared" si="145"/>
        <v>300</v>
      </c>
      <c r="BC22" s="256"/>
      <c r="BD22" s="66"/>
      <c r="BE22" s="66"/>
      <c r="BF22" s="261"/>
      <c r="BG22" s="66"/>
      <c r="BH22" s="175"/>
      <c r="BI22" s="66"/>
      <c r="BJ22" s="66"/>
      <c r="BK22" s="65" t="str">
        <f t="shared" ref="BK22:BM22" si="146" xml:space="preserve"> BK21</f>
        <v>Seilrett</v>
      </c>
      <c r="BL22" s="267">
        <f t="shared" si="146"/>
        <v>3</v>
      </c>
      <c r="BM22" s="267">
        <f t="shared" si="146"/>
        <v>90</v>
      </c>
      <c r="BN22" s="45">
        <f t="shared" si="11"/>
        <v>1</v>
      </c>
      <c r="BO22" s="59"/>
      <c r="BP22" s="59"/>
      <c r="BR22" s="49">
        <f t="shared" si="138"/>
        <v>0</v>
      </c>
      <c r="BS22" s="49">
        <f t="shared" si="138"/>
        <v>0</v>
      </c>
      <c r="BT22" s="49">
        <f t="shared" si="138"/>
        <v>0</v>
      </c>
      <c r="BU22" s="49">
        <f t="shared" si="138"/>
        <v>25</v>
      </c>
      <c r="BV22" s="49">
        <f t="shared" si="138"/>
        <v>0</v>
      </c>
      <c r="BW22" s="49">
        <f t="shared" si="138"/>
        <v>0</v>
      </c>
      <c r="BX22" s="49">
        <f t="shared" si="138"/>
        <v>21.5</v>
      </c>
      <c r="BY22" s="549">
        <f>IF(COUNT(Q22:U22)&gt;1,MINA(Q22:U22)*BY$9,0)</f>
        <v>-10.75</v>
      </c>
      <c r="BZ22" s="85">
        <f t="shared" si="139"/>
        <v>0</v>
      </c>
      <c r="CA22" s="85">
        <f t="shared" si="139"/>
        <v>0</v>
      </c>
      <c r="CB22" s="85">
        <f t="shared" si="139"/>
        <v>34.96</v>
      </c>
      <c r="CC22" s="85">
        <f t="shared" si="139"/>
        <v>0</v>
      </c>
      <c r="CD22" s="85">
        <f t="shared" si="139"/>
        <v>0</v>
      </c>
      <c r="CE22" s="85">
        <f>IF(AC22=0,0,AC22*CE$9)</f>
        <v>7.74</v>
      </c>
      <c r="CF22" s="85">
        <f t="shared" si="140"/>
        <v>0</v>
      </c>
      <c r="CG22" s="85">
        <f t="shared" si="140"/>
        <v>0</v>
      </c>
      <c r="CH22" s="85">
        <f t="shared" si="141"/>
        <v>0</v>
      </c>
      <c r="CI22" s="85">
        <f t="shared" si="141"/>
        <v>0</v>
      </c>
      <c r="CJ22" s="85">
        <f t="shared" si="141"/>
        <v>0</v>
      </c>
      <c r="CK22" s="85">
        <f t="shared" si="141"/>
        <v>0</v>
      </c>
      <c r="CL22" s="100">
        <f>SUM(BR22:CK22)</f>
        <v>78.45</v>
      </c>
      <c r="CM22" s="50"/>
      <c r="CN22" s="104">
        <f>J22</f>
        <v>103.10000000000001</v>
      </c>
      <c r="CO22" s="101">
        <f>CL22/CN22</f>
        <v>0.76091173617846752</v>
      </c>
      <c r="CP22" s="51">
        <f>Seilareal/Lwl/Lwl</f>
        <v>0.65147444273975652</v>
      </c>
      <c r="CQ22" s="116">
        <f>Seilareal/Depl^0.667/K$7</f>
        <v>1.0350464182868409</v>
      </c>
      <c r="CR22" s="51">
        <f>Seilareal/Lwl/Lwl/SApRS1</f>
        <v>0.98849472674976024</v>
      </c>
      <c r="CS22" s="204"/>
      <c r="CT22" s="204">
        <f>(ROUND(TBF/CT$6,3)*CT$6)*CT$4</f>
        <v>109.5</v>
      </c>
      <c r="CU22" s="107">
        <f t="shared" si="83"/>
        <v>1.0925750903011378</v>
      </c>
      <c r="CV22" s="62">
        <f t="shared" si="13"/>
        <v>2.8527934749615111</v>
      </c>
      <c r="CW22" s="62">
        <f t="shared" si="84"/>
        <v>1.6953446694955856</v>
      </c>
      <c r="CX22" s="62">
        <f t="shared" si="15"/>
        <v>1.8833028354976902</v>
      </c>
      <c r="CY22" s="107">
        <f t="shared" si="85"/>
        <v>0.98558065984125853</v>
      </c>
      <c r="CZ22" s="168" t="str">
        <f>IF(DA22=0,"-",IF(CP22="TBF","-",CZ$7*DA22))</f>
        <v>-</v>
      </c>
      <c r="DA22" s="158"/>
      <c r="DB22" s="168" t="str">
        <f>IF(DC22=0,"-",IF(CT22="TBF","-",DB$7*DC22))</f>
        <v>-</v>
      </c>
      <c r="DC22" s="160"/>
      <c r="DD22" s="190" t="s">
        <v>134</v>
      </c>
      <c r="DE22" s="62">
        <v>0.86</v>
      </c>
      <c r="DF22" s="62">
        <v>0.86</v>
      </c>
      <c r="DG22" s="62">
        <v>0.86</v>
      </c>
      <c r="DH22" s="150">
        <v>0.88</v>
      </c>
      <c r="DI22" s="62">
        <f t="shared" si="88"/>
        <v>2.0499999999999998</v>
      </c>
      <c r="DJ22" s="47">
        <f t="shared" si="89"/>
        <v>12.616566099835435</v>
      </c>
      <c r="DK22" s="48">
        <f t="shared" si="122"/>
        <v>0</v>
      </c>
      <c r="DM22" s="107">
        <f t="shared" si="25"/>
        <v>1.0886149029495349</v>
      </c>
      <c r="DN22" s="141" t="str">
        <f t="shared" si="123"/>
        <v>-</v>
      </c>
      <c r="DO22" s="107">
        <f t="shared" si="124"/>
        <v>4.6615723598278294</v>
      </c>
      <c r="DP22" s="133">
        <f>IF(SeilBeregnet=0,DP21,(SeilBeregnet^0.5/(Depl^0.3333))^DP$3*DP$7)</f>
        <v>2.9171496035304427</v>
      </c>
      <c r="DQ22" s="133">
        <f>IF(SeilBeregnet=0,DQ21,(SeilBeregnet^0.5/Lwl)^DQ$3*DQ$7)</f>
        <v>0</v>
      </c>
      <c r="DR22" s="133">
        <f>IF(SeilBeregnet=0,DR21,(0.1*Loa/Depl^0.3333)^DR$3*DR$7)</f>
        <v>0</v>
      </c>
      <c r="DS22" s="133">
        <f>IF(SeilBeregnet=0,DS21,((Loa)/Bredde)^DS$3*DS$7)</f>
        <v>1.7444227562973869</v>
      </c>
      <c r="DT22" s="107">
        <f>IF(SeilBeregnet=0,DT21,(Lwl)^DT$3)</f>
        <v>1.8833028354976902</v>
      </c>
      <c r="DU22" s="133">
        <f>IF(SeilBeregnet=0,DU21,(Dypg/Loa)^DU$3*5*DU$7)</f>
        <v>2.0158383467636201</v>
      </c>
      <c r="DW22" s="107">
        <f t="shared" si="125"/>
        <v>1.0943228156574478</v>
      </c>
      <c r="DX22" s="107">
        <f t="shared" si="93"/>
        <v>1.0848499954938366</v>
      </c>
      <c r="DZ22" s="107">
        <f t="shared" si="94"/>
        <v>1.0799313009044305</v>
      </c>
      <c r="EA22" s="122" t="str">
        <f>IF($DY22=0,"-",DZ22-$DW22)</f>
        <v>-</v>
      </c>
      <c r="EB22" s="107">
        <f t="shared" si="126"/>
        <v>1.0964765657389404</v>
      </c>
      <c r="EC22" s="122" t="str">
        <f>IF($DY22=0,"-",EB22-$DW22)</f>
        <v>-</v>
      </c>
      <c r="ED22" s="107">
        <f>IF(SeilBeregnet=0,ED21,SeilBeregnet^0.5/Depl^0.33333)</f>
        <v>2.9168580019338552</v>
      </c>
      <c r="EE22" s="107">
        <f>IF(SeilBeregnet=0,EE21,Lwl^0.3333)</f>
        <v>2.3255386279619175</v>
      </c>
      <c r="EF22" s="107">
        <f>IF(SeilBeregnet=0,EF21,((Loa+Lwl)/Bredde)^EF$3)</f>
        <v>1.5484119040157207</v>
      </c>
      <c r="EH22" s="107">
        <f t="shared" si="127"/>
        <v>1.0931258638183878</v>
      </c>
      <c r="EJ22" s="107">
        <f>IF(SeilBeregnet=0,EJ21,SeilBeregnet^0.5/Depl^0.33333)</f>
        <v>2.9168580019338552</v>
      </c>
      <c r="EK22" s="107">
        <f>IF(SeilBeregnet=0,EK21,Lwl^EK$3)</f>
        <v>2.3257152901382043</v>
      </c>
      <c r="EL22" s="107">
        <f>IF(SeilBeregnet=0,EL21,((Loa+Lwl)/Bredde)^EL$3)</f>
        <v>1.7912519812070522</v>
      </c>
      <c r="EM22" s="107">
        <f t="shared" si="128"/>
        <v>1.0938657936746436</v>
      </c>
      <c r="EO22" s="107">
        <f>IF(SeilBeregnet=0,EO21,(EP22*EQ22)^EO$3)</f>
        <v>4.5164976525178915</v>
      </c>
      <c r="EP22" s="107">
        <f>IF(SeilBeregnet=0,EP21,SeilBeregnet^0.5/Depl^0.33333)</f>
        <v>2.9168580019338552</v>
      </c>
      <c r="EQ22" s="107">
        <f>IF(SeilBeregnet=0,EQ21,((Loa+Lwl)/Bredde)^EQ$3)</f>
        <v>1.5484119040157207</v>
      </c>
      <c r="ER22" s="107">
        <f>IF(SeilBeregnet=0,ER21,Lwl^ER$3)</f>
        <v>1.8833028354976902</v>
      </c>
      <c r="ES22" s="107">
        <f t="shared" si="26"/>
        <v>1.0963171050402054</v>
      </c>
      <c r="EU22" s="107">
        <f>IF(SeilBeregnet=0,EU21,(EV:EV*EW:EW)^EU$3)</f>
        <v>1.69875985072075</v>
      </c>
      <c r="EV22" s="107">
        <f>IF(SeilBeregnet=0,EV21,SeilBeregnet^0.5/Depl^0.33333)</f>
        <v>2.9168580019338552</v>
      </c>
      <c r="EW22" s="107">
        <f>IF(SeilBeregnet=0,EW21,((Loa+Lwl)/Bredde/6)^EW$3)</f>
        <v>0.98934710860368591</v>
      </c>
      <c r="EX22" s="107">
        <f>IF(SeilBeregnet=0,EX21,(Lwl*0.7+Loa*0.3)^EX$3)</f>
        <v>1.9006885016012918</v>
      </c>
      <c r="EY22" s="107">
        <f t="shared" si="27"/>
        <v>1.0857475615766294</v>
      </c>
      <c r="FA22" s="107">
        <f t="shared" si="20"/>
        <v>1.6988447620713412</v>
      </c>
      <c r="FB22" s="107">
        <f>IF(SeilBeregnet=0,FB21,SeilBeregnet^0.5/Depl^0.3333)</f>
        <v>2.9171496035304427</v>
      </c>
      <c r="FC22" s="107">
        <f>IF(SeilBeregnet=0,FC21,((Loa+Lwl)/Bredde/6)^FC$3)</f>
        <v>0.98934710860368591</v>
      </c>
      <c r="FD22" s="107">
        <f>IF(SeilBeregnet=0,FD21,(Lwl*0.7+Loa*0.3)^FD$3)</f>
        <v>1.9006885016012918</v>
      </c>
      <c r="FE22" s="107">
        <f t="shared" si="28"/>
        <v>1.0898051616523954</v>
      </c>
      <c r="FF22" s="141" t="str">
        <f t="shared" si="129"/>
        <v>-</v>
      </c>
      <c r="FG22" s="107">
        <f t="shared" si="21"/>
        <v>2.8553284977870548</v>
      </c>
      <c r="FH22" s="133">
        <f>IF(SeilBeregnet=0,FH21,(SeilBeregnet^0.5/(Depl^0.3333))^FH$3)</f>
        <v>2.9171496035304427</v>
      </c>
      <c r="FI22" s="133">
        <f>IF(SeilBeregnet=0,FI21,((Loa+Lwl)/Bredde/6)^FI$3)</f>
        <v>0.97880770130247352</v>
      </c>
      <c r="FJ22" s="107">
        <f>IF(SeilBeregnet=0,FJ21,(Lwl*0.07+Loa*0.03)^FJ$3)</f>
        <v>1.0688356907645293</v>
      </c>
      <c r="FK22" s="107">
        <f t="shared" si="29"/>
        <v>1.0904538857983259</v>
      </c>
      <c r="FL22" s="141" t="str">
        <f t="shared" si="130"/>
        <v>-</v>
      </c>
      <c r="FM22" s="107">
        <f t="shared" si="22"/>
        <v>4.865642348750101</v>
      </c>
      <c r="FN22" s="133">
        <f>IF(SeilBeregnet=0,FN21,(SeilBeregnet^0.5/(Depl^0.3333))^FN$3)</f>
        <v>2.9171496035304427</v>
      </c>
      <c r="FO22" s="133">
        <f>IF(SeilBeregnet=0,FO21,(SeilBeregnet^0.5/Lwl*FO$7)^FO$3)</f>
        <v>0.70406998892227168</v>
      </c>
      <c r="FP22" s="133">
        <f>IF(SeilBeregnet=0,FP21,((Loa)/Bredde)^FP$3*FP$7)</f>
        <v>1.7444227562973869</v>
      </c>
      <c r="FQ22" s="107">
        <f>IF(SeilBeregnet=0,FQ21,(Lwl)^FQ$3)</f>
        <v>1.8833028354976902</v>
      </c>
      <c r="FR22" s="107">
        <f t="shared" si="30"/>
        <v>1.0954786474126619</v>
      </c>
      <c r="FS22" s="141" t="str">
        <f t="shared" si="131"/>
        <v>-</v>
      </c>
      <c r="FT22" s="107">
        <f t="shared" si="23"/>
        <v>5.0887421519224043</v>
      </c>
      <c r="FU22" s="133">
        <f>IF(SeilBeregnet=0,FU21,(SeilBeregnet^0.5/(Depl^0.3333))^FU$3)</f>
        <v>2.9171496035304427</v>
      </c>
      <c r="FV22" s="133">
        <f>IF(SeilBeregnet=0,FV21,(Loa/Bredde)^FV$3)</f>
        <v>1.7444227562973869</v>
      </c>
      <c r="FW22" s="107">
        <f>IF(SeilBeregnet=0,FW21,Lwl^FW$3)</f>
        <v>1.8833028354976902</v>
      </c>
      <c r="FY22">
        <v>0.95</v>
      </c>
      <c r="FZ22" s="62">
        <f t="shared" si="48"/>
        <v>1.1173395424287227</v>
      </c>
      <c r="GA22" s="62">
        <f t="shared" si="49"/>
        <v>2.0158383467636201</v>
      </c>
      <c r="GB22" s="107">
        <f t="shared" si="50"/>
        <v>1.0781541619880592</v>
      </c>
      <c r="GC22" s="440"/>
      <c r="GD22" s="17"/>
      <c r="GE22" s="442"/>
      <c r="GF22" s="462"/>
      <c r="GG22" s="17"/>
      <c r="GH22" s="17"/>
      <c r="GI22" s="17"/>
      <c r="GJ22" s="17"/>
      <c r="GL22" s="17"/>
      <c r="GM22" s="442"/>
      <c r="GN22" s="8"/>
      <c r="GO22" s="8"/>
      <c r="GP22" s="8"/>
      <c r="GQ22" s="8"/>
      <c r="GS22" s="17"/>
      <c r="GT22" s="17"/>
      <c r="GU22" s="17"/>
      <c r="GV22" s="629"/>
      <c r="GW22" s="17"/>
      <c r="GX22" s="17"/>
      <c r="GY22" s="17"/>
      <c r="GZ22" s="17"/>
    </row>
    <row r="23" spans="1:208" ht="15.6" x14ac:dyDescent="0.3">
      <c r="A23" s="60" t="s">
        <v>148</v>
      </c>
      <c r="B23" s="218"/>
      <c r="C23" s="14" t="str">
        <f>C21</f>
        <v>Gaffel</v>
      </c>
      <c r="G23" s="54"/>
      <c r="H23" s="204">
        <f>TBFavrundet</f>
        <v>106.5</v>
      </c>
      <c r="I23" s="63">
        <f>COUNTA(O23:AG23)</f>
        <v>4</v>
      </c>
      <c r="J23" s="222">
        <f>SUM(O23:AG23)</f>
        <v>94.100000000000009</v>
      </c>
      <c r="K23" s="116">
        <f>Seilareal/Depl^0.667/K$7</f>
        <v>0.94469319069633106</v>
      </c>
      <c r="L23" s="116">
        <f>Seilareal/Lwl/Lwl/L$7</f>
        <v>0.90220517737296257</v>
      </c>
      <c r="M23" s="92">
        <f>RiggF</f>
        <v>0.76726886291179597</v>
      </c>
      <c r="N23" s="242">
        <f>StHfaktor</f>
        <v>0.98558065984125853</v>
      </c>
      <c r="O23" s="143"/>
      <c r="P23" s="143"/>
      <c r="Q23" s="143"/>
      <c r="R23" s="143"/>
      <c r="S23" s="165">
        <v>16</v>
      </c>
      <c r="T23" s="143"/>
      <c r="U23" s="165">
        <v>21.5</v>
      </c>
      <c r="V23" s="559"/>
      <c r="W23" s="559"/>
      <c r="X23" s="165">
        <v>43.7</v>
      </c>
      <c r="Y23" s="143"/>
      <c r="Z23" s="143"/>
      <c r="AA23" s="143"/>
      <c r="AB23" s="143"/>
      <c r="AC23" s="165">
        <v>12.9</v>
      </c>
      <c r="AD23" s="143"/>
      <c r="AE23" s="143"/>
      <c r="AF23" s="143"/>
      <c r="AG23" s="551"/>
      <c r="AH23" s="557"/>
      <c r="AI23" s="557">
        <f t="shared" si="132"/>
        <v>11.2</v>
      </c>
      <c r="AJ23" s="337">
        <f t="shared" ref="AJ23:AL23" si="147" xml:space="preserve"> AJ22</f>
        <v>0</v>
      </c>
      <c r="AK23" s="339"/>
      <c r="AL23" s="337">
        <f t="shared" si="147"/>
        <v>0</v>
      </c>
      <c r="AM23" s="339"/>
      <c r="AN23" s="267" t="str">
        <f t="shared" ref="AN23" si="148" xml:space="preserve"> AN22</f>
        <v>RS</v>
      </c>
      <c r="AO23" s="45">
        <f>VLOOKUP(AN23,Skrogform!$1:$1048576,3,FALSE)</f>
        <v>0.97</v>
      </c>
      <c r="AP23" s="64">
        <f t="shared" ref="AP23:AZ23" si="149">AP22</f>
        <v>14.15</v>
      </c>
      <c r="AQ23" s="64">
        <f t="shared" si="149"/>
        <v>12.58</v>
      </c>
      <c r="AR23" s="64">
        <f t="shared" si="149"/>
        <v>4.6500000000000004</v>
      </c>
      <c r="AS23" s="64">
        <f t="shared" si="149"/>
        <v>2.2999999999999998</v>
      </c>
      <c r="AT23" s="64"/>
      <c r="AU23" s="64">
        <f t="shared" si="149"/>
        <v>28</v>
      </c>
      <c r="AV23" s="64">
        <f t="shared" si="149"/>
        <v>5.5</v>
      </c>
      <c r="AW23" s="64">
        <f t="shared" si="149"/>
        <v>1.8</v>
      </c>
      <c r="AX23" s="256">
        <f>AX22</f>
        <v>300</v>
      </c>
      <c r="AY23" s="256">
        <f t="shared" si="149"/>
        <v>150</v>
      </c>
      <c r="AZ23" s="256">
        <f t="shared" si="149"/>
        <v>1050</v>
      </c>
      <c r="BA23" s="256">
        <f t="shared" ref="BA23:BB23" si="150">BA22</f>
        <v>200</v>
      </c>
      <c r="BB23" s="256">
        <f t="shared" si="150"/>
        <v>300</v>
      </c>
      <c r="BC23" s="256"/>
      <c r="BD23" s="66"/>
      <c r="BE23" s="66"/>
      <c r="BF23" s="261"/>
      <c r="BG23" s="66"/>
      <c r="BH23" s="175"/>
      <c r="BI23" s="66"/>
      <c r="BJ23" s="66"/>
      <c r="BK23" s="65" t="str">
        <f t="shared" ref="BK23:BM23" si="151" xml:space="preserve"> BK22</f>
        <v>Seilrett</v>
      </c>
      <c r="BL23" s="267">
        <f t="shared" si="151"/>
        <v>3</v>
      </c>
      <c r="BM23" s="267">
        <f t="shared" si="151"/>
        <v>90</v>
      </c>
      <c r="BN23" s="45">
        <f t="shared" si="11"/>
        <v>1</v>
      </c>
      <c r="BO23" s="59"/>
      <c r="BP23" s="59"/>
      <c r="BR23" s="49">
        <f t="shared" si="138"/>
        <v>0</v>
      </c>
      <c r="BS23" s="49">
        <f t="shared" si="138"/>
        <v>0</v>
      </c>
      <c r="BT23" s="49">
        <f t="shared" si="138"/>
        <v>0</v>
      </c>
      <c r="BU23" s="49">
        <f t="shared" si="138"/>
        <v>0</v>
      </c>
      <c r="BV23" s="49">
        <f t="shared" si="138"/>
        <v>16</v>
      </c>
      <c r="BW23" s="49">
        <f t="shared" si="138"/>
        <v>0</v>
      </c>
      <c r="BX23" s="49">
        <f t="shared" si="138"/>
        <v>21.5</v>
      </c>
      <c r="BY23" s="549">
        <f>IF(COUNT(Q23:U23)&gt;1,MINA(Q23:U23)*BY$9,0)</f>
        <v>-8</v>
      </c>
      <c r="BZ23" s="85">
        <f t="shared" si="139"/>
        <v>0</v>
      </c>
      <c r="CA23" s="85">
        <f t="shared" si="139"/>
        <v>0</v>
      </c>
      <c r="CB23" s="85">
        <f t="shared" si="139"/>
        <v>34.96</v>
      </c>
      <c r="CC23" s="85">
        <f t="shared" si="139"/>
        <v>0</v>
      </c>
      <c r="CD23" s="85">
        <f t="shared" si="139"/>
        <v>0</v>
      </c>
      <c r="CE23" s="85">
        <f>IF(AC23=0,0,AC23*CE$9)</f>
        <v>7.74</v>
      </c>
      <c r="CF23" s="85">
        <f t="shared" si="140"/>
        <v>0</v>
      </c>
      <c r="CG23" s="85">
        <f t="shared" si="140"/>
        <v>0</v>
      </c>
      <c r="CH23" s="85">
        <f t="shared" si="141"/>
        <v>0</v>
      </c>
      <c r="CI23" s="85">
        <f t="shared" si="141"/>
        <v>0</v>
      </c>
      <c r="CJ23" s="85">
        <f t="shared" si="141"/>
        <v>0</v>
      </c>
      <c r="CK23" s="85">
        <f t="shared" si="141"/>
        <v>0</v>
      </c>
      <c r="CL23" s="100">
        <f>SUM(BR23:CK23)</f>
        <v>72.2</v>
      </c>
      <c r="CM23" s="50"/>
      <c r="CN23" s="104">
        <f>J23</f>
        <v>94.100000000000009</v>
      </c>
      <c r="CO23" s="101">
        <f>CL23/CN23</f>
        <v>0.76726886291179597</v>
      </c>
      <c r="CP23" s="51">
        <f>Seilareal/Lwl/Lwl</f>
        <v>0.59460470477023364</v>
      </c>
      <c r="CQ23" s="116">
        <f>Seilareal/Depl^0.667/K$7</f>
        <v>0.94469319069633106</v>
      </c>
      <c r="CR23" s="51">
        <f>Seilareal/Lwl/Lwl/SApRS1</f>
        <v>0.90220517737296257</v>
      </c>
      <c r="CS23" s="204"/>
      <c r="CT23" s="204">
        <f>(ROUND(TBF/CT$6,3)*CT$6)*CT$4</f>
        <v>106.5</v>
      </c>
      <c r="CU23" s="107">
        <f t="shared" si="83"/>
        <v>1.0647096792292652</v>
      </c>
      <c r="CV23" s="62">
        <f t="shared" si="13"/>
        <v>2.7367961946537296</v>
      </c>
      <c r="CW23" s="62">
        <f t="shared" si="84"/>
        <v>1.6953446694955856</v>
      </c>
      <c r="CX23" s="62">
        <f t="shared" si="15"/>
        <v>1.8833028354976902</v>
      </c>
      <c r="CY23" s="107">
        <f t="shared" si="85"/>
        <v>0.98558065984125853</v>
      </c>
      <c r="CZ23" s="168" t="str">
        <f>IF(DA23=0,"-",IF(CP23="TBF","-",CZ$7*DA23))</f>
        <v>-</v>
      </c>
      <c r="DA23" s="158"/>
      <c r="DB23" s="168" t="str">
        <f>IF(DC23=0,"-",IF(CT23="TBF","-",DB$7*DC23))</f>
        <v>-</v>
      </c>
      <c r="DC23" s="160"/>
      <c r="DD23" s="190" t="s">
        <v>134</v>
      </c>
      <c r="DE23" s="62">
        <v>0.83</v>
      </c>
      <c r="DF23" s="62">
        <v>0.84</v>
      </c>
      <c r="DG23" s="62">
        <v>0.83</v>
      </c>
      <c r="DH23" s="150">
        <v>0.84</v>
      </c>
      <c r="DI23" s="62">
        <f t="shared" si="88"/>
        <v>2.0499999999999998</v>
      </c>
      <c r="DJ23" s="47">
        <f t="shared" si="89"/>
        <v>12.616566099835435</v>
      </c>
      <c r="DK23" s="48">
        <f t="shared" si="122"/>
        <v>0</v>
      </c>
      <c r="DM23" s="107">
        <f t="shared" si="25"/>
        <v>1.0609150143886075</v>
      </c>
      <c r="DN23" s="141" t="str">
        <f t="shared" si="123"/>
        <v>-</v>
      </c>
      <c r="DO23" s="107">
        <f t="shared" si="124"/>
        <v>4.5429582984769574</v>
      </c>
      <c r="DP23" s="133">
        <f>IF(SeilBeregnet=0,DP22,(SeilBeregnet^0.5/(Depl^0.3333))^DP$3*DP$7)</f>
        <v>2.7985355421795703</v>
      </c>
      <c r="DQ23" s="133">
        <f>IF(SeilBeregnet=0,DQ22,(SeilBeregnet^0.5/Lwl)^DQ$3*DQ$7)</f>
        <v>0</v>
      </c>
      <c r="DR23" s="133">
        <f>IF(SeilBeregnet=0,DR22,(0.1*Loa/Depl^0.3333)^DR$3*DR$7)</f>
        <v>0</v>
      </c>
      <c r="DS23" s="133">
        <f>IF(SeilBeregnet=0,DS22,((Loa)/Bredde)^DS$3*DS$7)</f>
        <v>1.7444227562973869</v>
      </c>
      <c r="DT23" s="107">
        <f>IF(SeilBeregnet=0,DT22,(Lwl)^DT$3)</f>
        <v>1.8833028354976902</v>
      </c>
      <c r="DU23" s="133">
        <f>IF(SeilBeregnet=0,DU22,(Dypg/Loa)^DU$3*5*DU$7)</f>
        <v>2.0158383467636201</v>
      </c>
      <c r="DW23" s="107">
        <f t="shared" si="125"/>
        <v>1.0647186115141638</v>
      </c>
      <c r="DX23" s="107">
        <f t="shared" si="93"/>
        <v>1.0506709216327044</v>
      </c>
      <c r="DZ23" s="107">
        <f t="shared" si="94"/>
        <v>1.0528349345474648</v>
      </c>
      <c r="EA23" s="122" t="str">
        <f>IF($DY23=0,"-",DZ23-$DW23)</f>
        <v>-</v>
      </c>
      <c r="EB23" s="107">
        <f t="shared" si="126"/>
        <v>1.0632732277389059</v>
      </c>
      <c r="EC23" s="122" t="str">
        <f>IF($DY23=0,"-",EB23-$DW23)</f>
        <v>-</v>
      </c>
      <c r="ED23" s="107">
        <f>IF(SeilBeregnet=0,ED22,SeilBeregnet^0.5/Depl^0.33333)</f>
        <v>2.7982557973796403</v>
      </c>
      <c r="EE23" s="107">
        <f>IF(SeilBeregnet=0,EE22,Lwl^0.3333)</f>
        <v>2.3255386279619175</v>
      </c>
      <c r="EF23" s="107">
        <f>IF(SeilBeregnet=0,EF22,((Loa+Lwl)/Bredde)^EF$3)</f>
        <v>1.5484119040157207</v>
      </c>
      <c r="EH23" s="107">
        <f t="shared" si="127"/>
        <v>1.0633705481453055</v>
      </c>
      <c r="EJ23" s="107">
        <f>IF(SeilBeregnet=0,EJ22,SeilBeregnet^0.5/Depl^0.33333)</f>
        <v>2.7982557973796403</v>
      </c>
      <c r="EK23" s="107">
        <f>IF(SeilBeregnet=0,EK22,Lwl^EK$3)</f>
        <v>2.3257152901382043</v>
      </c>
      <c r="EL23" s="107">
        <f>IF(SeilBeregnet=0,EL22,((Loa+Lwl)/Bredde)^EL$3)</f>
        <v>1.7912519812070522</v>
      </c>
      <c r="EM23" s="107">
        <f t="shared" si="128"/>
        <v>1.0630389498849553</v>
      </c>
      <c r="EO23" s="107">
        <f>IF(SeilBeregnet=0,EO22,(EP23*EQ23)^EO$3)</f>
        <v>4.3328525871436376</v>
      </c>
      <c r="EP23" s="107">
        <f>IF(SeilBeregnet=0,EP22,SeilBeregnet^0.5/Depl^0.33333)</f>
        <v>2.7982557973796403</v>
      </c>
      <c r="EQ23" s="107">
        <f>IF(SeilBeregnet=0,EQ22,((Loa+Lwl)/Bredde)^EQ$3)</f>
        <v>1.5484119040157207</v>
      </c>
      <c r="ER23" s="107">
        <f>IF(SeilBeregnet=0,ER22,Lwl^ER$3)</f>
        <v>1.8833028354976902</v>
      </c>
      <c r="ES23" s="107">
        <f t="shared" si="26"/>
        <v>1.0644041477339268</v>
      </c>
      <c r="EU23" s="107">
        <f>IF(SeilBeregnet=0,EU22,(EV:EV*EW:EW)^EU$3)</f>
        <v>1.6638648629834842</v>
      </c>
      <c r="EV23" s="107">
        <f>IF(SeilBeregnet=0,EV22,SeilBeregnet^0.5/Depl^0.33333)</f>
        <v>2.7982557973796403</v>
      </c>
      <c r="EW23" s="107">
        <f>IF(SeilBeregnet=0,EW22,((Loa+Lwl)/Bredde/6)^EW$3)</f>
        <v>0.98934710860368591</v>
      </c>
      <c r="EX23" s="107">
        <f>IF(SeilBeregnet=0,EX22,(Lwl*0.7+Loa*0.3)^EX$3)</f>
        <v>1.9006885016012918</v>
      </c>
      <c r="EY23" s="107">
        <f t="shared" si="27"/>
        <v>1.0634447341164046</v>
      </c>
      <c r="FA23" s="107">
        <f t="shared" si="20"/>
        <v>1.6639480301319529</v>
      </c>
      <c r="FB23" s="107">
        <f>IF(SeilBeregnet=0,FB22,SeilBeregnet^0.5/Depl^0.3333)</f>
        <v>2.7985355421795703</v>
      </c>
      <c r="FC23" s="107">
        <f>IF(SeilBeregnet=0,FC22,((Loa+Lwl)/Bredde/6)^FC$3)</f>
        <v>0.98934710860368591</v>
      </c>
      <c r="FD23" s="107">
        <f>IF(SeilBeregnet=0,FD22,(Lwl*0.7+Loa*0.3)^FD$3)</f>
        <v>1.9006885016012918</v>
      </c>
      <c r="FE23" s="107">
        <f t="shared" si="28"/>
        <v>1.0637457986051837</v>
      </c>
      <c r="FF23" s="141" t="str">
        <f t="shared" si="129"/>
        <v>-</v>
      </c>
      <c r="FG23" s="107">
        <f t="shared" si="21"/>
        <v>2.7392281410540567</v>
      </c>
      <c r="FH23" s="133">
        <f>IF(SeilBeregnet=0,FH22,(SeilBeregnet^0.5/(Depl^0.3333))^FH$3)</f>
        <v>2.7985355421795703</v>
      </c>
      <c r="FI23" s="133">
        <f>IF(SeilBeregnet=0,FI22,((Loa+Lwl)/Bredde/6)^FI$3)</f>
        <v>0.97880770130247352</v>
      </c>
      <c r="FJ23" s="107">
        <f>IF(SeilBeregnet=0,FJ22,(Lwl*0.07+Loa*0.03)^FJ$3)</f>
        <v>1.0688356907645293</v>
      </c>
      <c r="FK23" s="107">
        <f t="shared" si="29"/>
        <v>1.0574549862343896</v>
      </c>
      <c r="FL23" s="141" t="str">
        <f t="shared" si="130"/>
        <v>-</v>
      </c>
      <c r="FM23" s="107">
        <f t="shared" si="22"/>
        <v>4.7184001358775296</v>
      </c>
      <c r="FN23" s="133">
        <f>IF(SeilBeregnet=0,FN22,(SeilBeregnet^0.5/(Depl^0.3333))^FN$3)</f>
        <v>2.7985355421795703</v>
      </c>
      <c r="FO23" s="133">
        <f>IF(SeilBeregnet=0,FO22,(SeilBeregnet^0.5/Lwl*FO$7)^FO$3)</f>
        <v>0.6754418374005724</v>
      </c>
      <c r="FP23" s="133">
        <f>IF(SeilBeregnet=0,FP22,((Loa)/Bredde)^FP$3*FP$7)</f>
        <v>1.7444227562973869</v>
      </c>
      <c r="FQ23" s="107">
        <f>IF(SeilBeregnet=0,FQ22,(Lwl)^FQ$3)</f>
        <v>1.8833028354976902</v>
      </c>
      <c r="FR23" s="107">
        <f t="shared" si="30"/>
        <v>1.0705391295016511</v>
      </c>
      <c r="FS23" s="141" t="str">
        <f t="shared" si="131"/>
        <v>-</v>
      </c>
      <c r="FT23" s="107">
        <f t="shared" si="23"/>
        <v>4.881829084085088</v>
      </c>
      <c r="FU23" s="133">
        <f>IF(SeilBeregnet=0,FU22,(SeilBeregnet^0.5/(Depl^0.3333))^FU$3)</f>
        <v>2.7985355421795703</v>
      </c>
      <c r="FV23" s="133">
        <f>IF(SeilBeregnet=0,FV22,(Loa/Bredde)^FV$3)</f>
        <v>1.7444227562973869</v>
      </c>
      <c r="FW23" s="107">
        <f>IF(SeilBeregnet=0,FW22,Lwl^FW$3)</f>
        <v>1.8833028354976902</v>
      </c>
      <c r="FY23">
        <v>0.95</v>
      </c>
      <c r="FZ23" s="62">
        <f t="shared" si="48"/>
        <v>1.0974929436253036</v>
      </c>
      <c r="GA23" s="62">
        <f t="shared" si="49"/>
        <v>2.0158383467636201</v>
      </c>
      <c r="GB23" s="107">
        <f t="shared" si="50"/>
        <v>1.0633385819563668</v>
      </c>
      <c r="GC23" s="440"/>
      <c r="GD23" s="17"/>
      <c r="GE23" s="442"/>
      <c r="GF23" s="462"/>
      <c r="GG23" s="17"/>
      <c r="GH23" s="17"/>
      <c r="GI23" s="17"/>
      <c r="GJ23" s="17"/>
      <c r="GL23" s="17"/>
      <c r="GM23" s="442"/>
      <c r="GN23" s="8"/>
      <c r="GO23" s="8"/>
      <c r="GP23" s="8"/>
      <c r="GQ23" s="8"/>
      <c r="GS23" s="17"/>
      <c r="GT23" s="17"/>
      <c r="GU23" s="17"/>
      <c r="GV23" s="629"/>
      <c r="GW23" s="17"/>
      <c r="GX23" s="17"/>
      <c r="GY23" s="17"/>
      <c r="GZ23" s="17"/>
    </row>
    <row r="24" spans="1:208" ht="15.6" x14ac:dyDescent="0.3">
      <c r="A24" s="52" t="s">
        <v>257</v>
      </c>
      <c r="B24" s="218">
        <f t="shared" si="10"/>
        <v>46.751968503937007</v>
      </c>
      <c r="C24" s="53" t="s">
        <v>19</v>
      </c>
      <c r="D24" s="53"/>
      <c r="E24" s="53"/>
      <c r="F24" s="53"/>
      <c r="G24" s="54" t="s">
        <v>20</v>
      </c>
      <c r="H24" s="112">
        <f>J25</f>
        <v>132</v>
      </c>
      <c r="I24" s="601">
        <f>H25/100</f>
        <v>1.075</v>
      </c>
      <c r="J24" s="651">
        <f>IF(DC25=0,"-",DC25)</f>
        <v>1.19</v>
      </c>
      <c r="K24" s="123" t="str">
        <f>A24</f>
        <v>RS 28 Sandefjord</v>
      </c>
      <c r="L24" s="116"/>
      <c r="M24" s="116"/>
      <c r="N24" s="92"/>
      <c r="O24" s="165"/>
      <c r="P24" s="165"/>
      <c r="Q24" s="165"/>
      <c r="R24" s="165">
        <v>31.5</v>
      </c>
      <c r="S24" s="165">
        <v>19</v>
      </c>
      <c r="T24" s="165"/>
      <c r="U24" s="165">
        <v>24.2</v>
      </c>
      <c r="V24" s="559"/>
      <c r="W24" s="559"/>
      <c r="X24" s="165">
        <v>45.5</v>
      </c>
      <c r="Y24" s="165"/>
      <c r="Z24" s="165"/>
      <c r="AA24" s="165">
        <v>16</v>
      </c>
      <c r="AB24" s="165"/>
      <c r="AC24" s="165">
        <v>14.8</v>
      </c>
      <c r="AD24" s="165"/>
      <c r="AE24" s="165"/>
      <c r="AF24" s="165"/>
      <c r="AG24" s="552"/>
      <c r="AH24" s="244">
        <v>7</v>
      </c>
      <c r="AI24" s="241">
        <v>11.17</v>
      </c>
      <c r="AJ24" s="554"/>
      <c r="AK24" s="339"/>
      <c r="AL24" s="268"/>
      <c r="AM24" s="339"/>
      <c r="AN24" s="268" t="s">
        <v>233</v>
      </c>
      <c r="AO24" s="45">
        <f>VLOOKUP(AN24,Skrogform!$1:$1048576,3,FALSE)</f>
        <v>0.97</v>
      </c>
      <c r="AP24" s="55">
        <v>14.25</v>
      </c>
      <c r="AQ24" s="55">
        <v>12.4</v>
      </c>
      <c r="AR24" s="55">
        <v>5.05</v>
      </c>
      <c r="AS24" s="55">
        <v>2.35</v>
      </c>
      <c r="AT24" s="637">
        <v>32</v>
      </c>
      <c r="AU24" s="650">
        <v>33</v>
      </c>
      <c r="AV24" s="55">
        <v>5</v>
      </c>
      <c r="AW24" s="55">
        <v>5</v>
      </c>
      <c r="AX24" s="253">
        <v>300</v>
      </c>
      <c r="AY24" s="253">
        <v>115</v>
      </c>
      <c r="AZ24" s="254">
        <v>1300</v>
      </c>
      <c r="BA24" s="253">
        <v>500</v>
      </c>
      <c r="BB24" s="253">
        <v>300</v>
      </c>
      <c r="BC24" s="244">
        <f>Depl+Diesel/1000*0.84+Vann/1000</f>
        <v>33.752000000000002</v>
      </c>
      <c r="BD24" s="95">
        <f>Bredde/(Loa+Lwl)*2</f>
        <v>0.37898686679174487</v>
      </c>
      <c r="BE24" s="95">
        <f>(Kjøl+Ballast)/Depl</f>
        <v>0.30303030303030304</v>
      </c>
      <c r="BF24" s="627">
        <f>BF$7*((Depl-Kjøl-Ballast-VektMotor/1000-VektAnnet/1000)/Lwl/Lwl/Bredde)</f>
        <v>1.0400606097830625</v>
      </c>
      <c r="BG24" s="95">
        <f>BG$7*(Depl/Loa/Lwl/Lwl)</f>
        <v>1.1083321731748728</v>
      </c>
      <c r="BH24" s="174">
        <f>BH$7*(Depl/Loa/Lwl/Bredde)</f>
        <v>1.0059411151641482</v>
      </c>
      <c r="BI24" s="95">
        <f>BI$7*Bredde/(Loa+Lwl)*2</f>
        <v>1.0811313522564505</v>
      </c>
      <c r="BJ24" s="95">
        <f>BJ$7*(Dypg/Lwl)</f>
        <v>1.0365708274894812</v>
      </c>
      <c r="BK24" s="56" t="s">
        <v>39</v>
      </c>
      <c r="BL24" s="268">
        <v>3</v>
      </c>
      <c r="BM24" s="268">
        <v>90</v>
      </c>
      <c r="BN24" s="45">
        <f t="shared" si="11"/>
        <v>0.97507141914790385</v>
      </c>
      <c r="BO24" s="59"/>
      <c r="BP24" s="59"/>
      <c r="BR24" s="209"/>
      <c r="BS24" s="209"/>
      <c r="BT24" s="209" t="str">
        <f>$A24</f>
        <v>RS 28 Sandefjord</v>
      </c>
      <c r="BU24" s="10"/>
      <c r="BV24" s="10"/>
      <c r="BW24" s="10"/>
      <c r="BX24" s="10"/>
      <c r="BY24" s="549"/>
      <c r="BZ24" s="10"/>
      <c r="CA24" s="10"/>
      <c r="CB24" s="209" t="str">
        <f>$A24</f>
        <v>RS 28 Sandefjord</v>
      </c>
      <c r="CC24" s="10"/>
      <c r="CD24" s="10"/>
      <c r="CE24" s="10"/>
      <c r="CF24" s="10"/>
      <c r="CG24" s="10"/>
      <c r="CH24" s="10"/>
      <c r="CI24" s="10"/>
      <c r="CJ24" s="10"/>
      <c r="CK24" s="10"/>
      <c r="CL24" s="209"/>
      <c r="CM24" s="10"/>
      <c r="CN24" s="209" t="str">
        <f>$A24</f>
        <v>RS 28 Sandefjord</v>
      </c>
      <c r="CO24" s="207"/>
      <c r="CP24" s="207"/>
      <c r="CQ24" s="116"/>
      <c r="CR24" s="207"/>
      <c r="CS24" s="203"/>
      <c r="CT24" s="203" t="s">
        <v>23</v>
      </c>
      <c r="CU24" s="107" t="str">
        <f t="shared" si="36"/>
        <v>-</v>
      </c>
      <c r="CV24" s="62" t="str">
        <f t="shared" si="13"/>
        <v>-</v>
      </c>
      <c r="CW24" s="62" t="str">
        <f t="shared" si="14"/>
        <v>-</v>
      </c>
      <c r="CX24" s="62" t="str">
        <f t="shared" si="15"/>
        <v>-</v>
      </c>
      <c r="CY24" s="107" t="str">
        <f t="shared" si="16"/>
        <v>-</v>
      </c>
      <c r="CZ24" s="168">
        <f t="shared" si="86"/>
        <v>1.0974117647058823</v>
      </c>
      <c r="DA24" s="158">
        <v>0.88</v>
      </c>
      <c r="DB24" s="168" t="str">
        <f t="shared" si="87"/>
        <v>-</v>
      </c>
      <c r="DC24" s="160">
        <v>1.19</v>
      </c>
      <c r="DD24" s="190" t="s">
        <v>134</v>
      </c>
      <c r="DE24" s="29" t="s">
        <v>23</v>
      </c>
      <c r="DF24" s="29" t="s">
        <v>23</v>
      </c>
      <c r="DG24" s="29" t="s">
        <v>23</v>
      </c>
      <c r="DH24" s="149">
        <v>2022</v>
      </c>
      <c r="DI24" s="62" t="str">
        <f t="shared" si="39"/>
        <v>-</v>
      </c>
      <c r="DJ24" s="47">
        <f t="shared" si="17"/>
        <v>12.737127371273713</v>
      </c>
      <c r="DK24" s="48">
        <f t="shared" si="90"/>
        <v>0</v>
      </c>
      <c r="DM24" s="107" t="str">
        <f t="shared" si="25"/>
        <v>-</v>
      </c>
      <c r="DN24" s="141" t="str">
        <f t="shared" si="91"/>
        <v>-</v>
      </c>
      <c r="DO24" s="107" t="e">
        <f t="shared" si="92"/>
        <v>#REF!</v>
      </c>
      <c r="DP24" s="133" t="e">
        <f>IF(SeilBeregnet=0,#REF!,(SeilBeregnet^0.5/(Depl^0.3333))^DP$3*DP$7)</f>
        <v>#REF!</v>
      </c>
      <c r="DQ24" s="133" t="e">
        <f>IF(SeilBeregnet=0,#REF!,(SeilBeregnet^0.5/Lwl)^DQ$3*DQ$7)</f>
        <v>#REF!</v>
      </c>
      <c r="DR24" s="133" t="e">
        <f>IF(SeilBeregnet=0,#REF!,(0.1*Loa/Depl^0.3333)^DR$3*DR$7)</f>
        <v>#REF!</v>
      </c>
      <c r="DS24" s="133" t="e">
        <f>IF(SeilBeregnet=0,#REF!,((Loa)/Bredde)^DS$3*DS$7)</f>
        <v>#REF!</v>
      </c>
      <c r="DT24" s="107" t="e">
        <f>IF(SeilBeregnet=0,#REF!,(Lwl)^DT$3)</f>
        <v>#REF!</v>
      </c>
      <c r="DU24" s="133" t="e">
        <f>IF(SeilBeregnet=0,#REF!,(Dypg/Loa)^DU$3*5*DU$7)</f>
        <v>#REF!</v>
      </c>
      <c r="DW24" s="107" t="str">
        <f t="shared" ref="DW24:DW34" si="152">IF(SeilBeregnet=0,"-",Skaleringsfaktor*(1*(LBf+SaDeplf)*Lf*PropF+Strikkf2)+ErfaringsF+Dyp_F)</f>
        <v>-</v>
      </c>
      <c r="DX24" s="107" t="str">
        <f t="shared" si="40"/>
        <v>-</v>
      </c>
      <c r="DZ24" s="107" t="str">
        <f t="shared" si="41"/>
        <v>-</v>
      </c>
      <c r="EA24" s="122" t="str">
        <f t="shared" si="95"/>
        <v>-</v>
      </c>
      <c r="EB24" s="107" t="str">
        <f t="shared" si="96"/>
        <v>-</v>
      </c>
      <c r="EC24" s="122" t="str">
        <f t="shared" si="97"/>
        <v>-</v>
      </c>
      <c r="ED24" s="107" t="e">
        <f>IF(SeilBeregnet=0,#REF!,SeilBeregnet^0.5/Depl^0.33333)</f>
        <v>#REF!</v>
      </c>
      <c r="EE24" s="107" t="e">
        <f>IF(SeilBeregnet=0,#REF!,Lwl^0.3333)</f>
        <v>#REF!</v>
      </c>
      <c r="EF24" s="107" t="e">
        <f>IF(SeilBeregnet=0,#REF!,((Loa+Lwl)/Bredde)^EF$3)</f>
        <v>#REF!</v>
      </c>
      <c r="EH24" s="107" t="str">
        <f t="shared" si="98"/>
        <v>-</v>
      </c>
      <c r="EJ24" s="107" t="e">
        <f>IF(SeilBeregnet=0,#REF!,SeilBeregnet^0.5/Depl^0.33333)</f>
        <v>#REF!</v>
      </c>
      <c r="EK24" s="107" t="e">
        <f>IF(SeilBeregnet=0,#REF!,Lwl^EK$3)</f>
        <v>#REF!</v>
      </c>
      <c r="EL24" s="107" t="e">
        <f>IF(SeilBeregnet=0,#REF!,((Loa+Lwl)/Bredde)^EL$3)</f>
        <v>#REF!</v>
      </c>
      <c r="EM24" s="107" t="str">
        <f t="shared" si="99"/>
        <v>-</v>
      </c>
      <c r="EO24" s="107" t="e">
        <f>IF(SeilBeregnet=0,#REF!,(EP24*EQ24)^EO$3)</f>
        <v>#REF!</v>
      </c>
      <c r="EP24" s="107" t="e">
        <f>IF(SeilBeregnet=0,#REF!,SeilBeregnet^0.5/Depl^0.33333)</f>
        <v>#REF!</v>
      </c>
      <c r="EQ24" s="107" t="e">
        <f>IF(SeilBeregnet=0,#REF!,((Loa+Lwl)/Bredde)^EQ$3)</f>
        <v>#REF!</v>
      </c>
      <c r="ER24" s="107" t="e">
        <f>IF(SeilBeregnet=0,#REF!,Lwl^ER$3)</f>
        <v>#REF!</v>
      </c>
      <c r="ES24" s="107" t="str">
        <f t="shared" si="26"/>
        <v>-</v>
      </c>
      <c r="EU24" s="107" t="e">
        <f>IF(SeilBeregnet=0,#REF!,(EV:EV*EW:EW)^EU$3)</f>
        <v>#REF!</v>
      </c>
      <c r="EV24" s="107" t="e">
        <f>IF(SeilBeregnet=0,#REF!,SeilBeregnet^0.5/Depl^0.33333)</f>
        <v>#REF!</v>
      </c>
      <c r="EW24" s="107" t="e">
        <f>IF(SeilBeregnet=0,#REF!,((Loa+Lwl)/Bredde/6)^EW$3)</f>
        <v>#REF!</v>
      </c>
      <c r="EX24" s="107" t="e">
        <f>IF(SeilBeregnet=0,#REF!,(Lwl*0.7+Loa*0.3)^EX$3)</f>
        <v>#REF!</v>
      </c>
      <c r="EY24" s="107" t="str">
        <f t="shared" si="27"/>
        <v>-</v>
      </c>
      <c r="FA24" s="107" t="e">
        <f t="shared" si="20"/>
        <v>#REF!</v>
      </c>
      <c r="FB24" s="107" t="e">
        <f>IF(SeilBeregnet=0,#REF!,SeilBeregnet^0.5/Depl^0.3333)</f>
        <v>#REF!</v>
      </c>
      <c r="FC24" s="107" t="e">
        <f>IF(SeilBeregnet=0,#REF!,((Loa+Lwl)/Bredde/6)^FC$3)</f>
        <v>#REF!</v>
      </c>
      <c r="FD24" s="107" t="e">
        <f>IF(SeilBeregnet=0,#REF!,(Lwl*0.7+Loa*0.3)^FD$3)</f>
        <v>#REF!</v>
      </c>
      <c r="FE24" s="107" t="str">
        <f t="shared" si="28"/>
        <v>-</v>
      </c>
      <c r="FF24" s="141" t="str">
        <f t="shared" si="100"/>
        <v>-</v>
      </c>
      <c r="FG24" s="107" t="e">
        <f t="shared" si="21"/>
        <v>#REF!</v>
      </c>
      <c r="FH24" s="133" t="e">
        <f>IF(SeilBeregnet=0,#REF!,(SeilBeregnet^0.5/(Depl^0.3333))^FH$3)</f>
        <v>#REF!</v>
      </c>
      <c r="FI24" s="133" t="e">
        <f>IF(SeilBeregnet=0,#REF!,((Loa+Lwl)/Bredde/6)^FI$3)</f>
        <v>#REF!</v>
      </c>
      <c r="FJ24" s="107" t="e">
        <f>IF(SeilBeregnet=0,#REF!,(Lwl*0.07+Loa*0.03)^FJ$3)</f>
        <v>#REF!</v>
      </c>
      <c r="FK24" s="107" t="str">
        <f t="shared" si="29"/>
        <v>-</v>
      </c>
      <c r="FL24" s="141" t="str">
        <f t="shared" si="101"/>
        <v>-</v>
      </c>
      <c r="FM24" s="107" t="e">
        <f t="shared" si="22"/>
        <v>#REF!</v>
      </c>
      <c r="FN24" s="133" t="e">
        <f>IF(SeilBeregnet=0,#REF!,(SeilBeregnet^0.5/(Depl^0.3333))^FN$3)</f>
        <v>#REF!</v>
      </c>
      <c r="FO24" s="133" t="e">
        <f>IF(SeilBeregnet=0,#REF!,(SeilBeregnet^0.5/Lwl*FO$7)^FO$3)</f>
        <v>#REF!</v>
      </c>
      <c r="FP24" s="133" t="e">
        <f>IF(SeilBeregnet=0,#REF!,((Loa)/Bredde)^FP$3*FP$7)</f>
        <v>#REF!</v>
      </c>
      <c r="FQ24" s="107" t="e">
        <f>IF(SeilBeregnet=0,#REF!,(Lwl)^FQ$3)</f>
        <v>#REF!</v>
      </c>
      <c r="FR24" s="107" t="str">
        <f t="shared" si="30"/>
        <v>-</v>
      </c>
      <c r="FS24" s="141" t="str">
        <f t="shared" si="102"/>
        <v>-</v>
      </c>
      <c r="FT24" s="107" t="e">
        <f t="shared" si="23"/>
        <v>#REF!</v>
      </c>
      <c r="FU24" s="133" t="e">
        <f>IF(SeilBeregnet=0,#REF!,(SeilBeregnet^0.5/(Depl^0.3333))^FU$3)</f>
        <v>#REF!</v>
      </c>
      <c r="FV24" s="133" t="e">
        <f>IF(SeilBeregnet=0,#REF!,(Loa/Bredde)^FV$3)</f>
        <v>#REF!</v>
      </c>
      <c r="FW24" s="107" t="e">
        <f>IF(SeilBeregnet=0,#REF!,Lwl^FW$3)</f>
        <v>#REF!</v>
      </c>
      <c r="FY24">
        <v>0.95</v>
      </c>
      <c r="FZ24" s="62" t="str">
        <f t="shared" si="48"/>
        <v>-</v>
      </c>
      <c r="GA24" s="62">
        <f t="shared" si="49"/>
        <v>2.0304696544257586</v>
      </c>
      <c r="GB24" s="107" t="str">
        <f t="shared" si="50"/>
        <v>-</v>
      </c>
      <c r="GC24" s="441" t="s">
        <v>444</v>
      </c>
      <c r="GD24" s="57" t="s">
        <v>496</v>
      </c>
      <c r="GE24" s="436" t="s">
        <v>497</v>
      </c>
      <c r="GF24" s="496" t="s">
        <v>638</v>
      </c>
      <c r="GG24" s="57" t="s">
        <v>639</v>
      </c>
      <c r="GH24" s="57" t="s">
        <v>640</v>
      </c>
      <c r="GI24" s="57" t="s">
        <v>416</v>
      </c>
      <c r="GJ24" s="57" t="s">
        <v>478</v>
      </c>
      <c r="GL24" s="57" t="s">
        <v>478</v>
      </c>
      <c r="GM24" s="436" t="s">
        <v>478</v>
      </c>
      <c r="GN24" s="58" t="s">
        <v>478</v>
      </c>
      <c r="GO24" s="58" t="s">
        <v>478</v>
      </c>
      <c r="GP24" s="58" t="s">
        <v>478</v>
      </c>
      <c r="GQ24" s="58" t="s">
        <v>478</v>
      </c>
      <c r="GS24" s="57" t="s">
        <v>470</v>
      </c>
      <c r="GT24" s="57" t="s">
        <v>927</v>
      </c>
      <c r="GU24" s="57" t="s">
        <v>465</v>
      </c>
      <c r="GV24" s="599" t="s">
        <v>872</v>
      </c>
      <c r="GW24" s="57">
        <v>1913</v>
      </c>
      <c r="GX24" s="57" t="s">
        <v>431</v>
      </c>
      <c r="GY24" s="57" t="s">
        <v>467</v>
      </c>
      <c r="GZ24" s="57" t="s">
        <v>478</v>
      </c>
    </row>
    <row r="25" spans="1:208" ht="15.6" x14ac:dyDescent="0.3">
      <c r="A25" s="60" t="s">
        <v>24</v>
      </c>
      <c r="B25" s="218"/>
      <c r="C25" s="61" t="str">
        <f>C24</f>
        <v>Gaffel</v>
      </c>
      <c r="D25" s="61"/>
      <c r="E25" s="61"/>
      <c r="F25" s="61"/>
      <c r="G25" s="54"/>
      <c r="H25" s="204">
        <f>TBFavrundet</f>
        <v>107.5</v>
      </c>
      <c r="I25" s="63">
        <f>COUNTA(O25:AG25)</f>
        <v>5</v>
      </c>
      <c r="J25" s="222">
        <f>SUM(O25:AG25)</f>
        <v>132</v>
      </c>
      <c r="K25" s="116">
        <f>Seilareal/Depl^0.667/K$7</f>
        <v>1.1876287482755701</v>
      </c>
      <c r="L25" s="116">
        <f>Seilareal/Lwl/Lwl/L$7</f>
        <v>1.3025893848589722</v>
      </c>
      <c r="M25" s="92">
        <f>RiggF</f>
        <v>0.7218181818181818</v>
      </c>
      <c r="N25" s="242">
        <f>StHfaktor</f>
        <v>0.98702677975331765</v>
      </c>
      <c r="O25" s="143"/>
      <c r="P25" s="143"/>
      <c r="Q25" s="143"/>
      <c r="R25" s="165">
        <v>31.5</v>
      </c>
      <c r="S25" s="143"/>
      <c r="T25" s="143"/>
      <c r="U25" s="165">
        <v>24.2</v>
      </c>
      <c r="V25" s="143"/>
      <c r="W25" s="143"/>
      <c r="X25" s="165">
        <f>X24</f>
        <v>45.5</v>
      </c>
      <c r="Y25" s="143"/>
      <c r="Z25" s="143"/>
      <c r="AA25" s="165">
        <v>16</v>
      </c>
      <c r="AB25" s="143"/>
      <c r="AC25" s="165">
        <v>14.8</v>
      </c>
      <c r="AD25" s="143"/>
      <c r="AE25" s="143"/>
      <c r="AF25" s="143"/>
      <c r="AG25" s="551"/>
      <c r="AH25" s="557"/>
      <c r="AI25" s="557">
        <f t="shared" ref="AI25:AI27" si="153">AI24</f>
        <v>11.17</v>
      </c>
      <c r="AJ25" s="337">
        <f t="shared" ref="AJ25:AL27" si="154" xml:space="preserve"> AJ24</f>
        <v>0</v>
      </c>
      <c r="AK25" s="339"/>
      <c r="AL25" s="337">
        <f t="shared" si="154"/>
        <v>0</v>
      </c>
      <c r="AM25" s="339"/>
      <c r="AN25" s="267" t="str">
        <f t="shared" ref="AN25:AN27" si="155" xml:space="preserve"> AN24</f>
        <v>RS</v>
      </c>
      <c r="AO25" s="45">
        <f>VLOOKUP(AN25,Skrogform!$1:$1048576,3,FALSE)</f>
        <v>0.97</v>
      </c>
      <c r="AP25" s="64">
        <f t="shared" ref="AP25:AZ25" si="156">AP24</f>
        <v>14.25</v>
      </c>
      <c r="AQ25" s="64">
        <f t="shared" si="156"/>
        <v>12.4</v>
      </c>
      <c r="AR25" s="64">
        <f t="shared" si="156"/>
        <v>5.05</v>
      </c>
      <c r="AS25" s="64">
        <f t="shared" si="156"/>
        <v>2.35</v>
      </c>
      <c r="AT25" s="64"/>
      <c r="AU25" s="64">
        <f t="shared" si="156"/>
        <v>33</v>
      </c>
      <c r="AV25" s="64">
        <f t="shared" si="156"/>
        <v>5</v>
      </c>
      <c r="AW25" s="64">
        <f t="shared" si="156"/>
        <v>5</v>
      </c>
      <c r="AX25" s="256">
        <f>AX24</f>
        <v>300</v>
      </c>
      <c r="AY25" s="256">
        <f t="shared" si="156"/>
        <v>115</v>
      </c>
      <c r="AZ25" s="256">
        <f t="shared" si="156"/>
        <v>1300</v>
      </c>
      <c r="BA25" s="256">
        <f t="shared" ref="BA25:BB25" si="157">BA24</f>
        <v>500</v>
      </c>
      <c r="BB25" s="256">
        <f t="shared" si="157"/>
        <v>300</v>
      </c>
      <c r="BC25" s="256"/>
      <c r="BD25" s="66"/>
      <c r="BE25" s="66"/>
      <c r="BF25" s="261"/>
      <c r="BG25" s="66"/>
      <c r="BH25" s="175"/>
      <c r="BI25" s="66"/>
      <c r="BJ25" s="66"/>
      <c r="BK25" s="65" t="str">
        <f t="shared" ref="BK25:BM25" si="158" xml:space="preserve"> BK24</f>
        <v>Fast</v>
      </c>
      <c r="BL25" s="267">
        <f t="shared" si="158"/>
        <v>3</v>
      </c>
      <c r="BM25" s="267">
        <f t="shared" si="158"/>
        <v>90</v>
      </c>
      <c r="BN25" s="45">
        <f t="shared" si="11"/>
        <v>0.97507141914790385</v>
      </c>
      <c r="BO25" s="59"/>
      <c r="BP25" s="59"/>
      <c r="BR25" s="49">
        <f t="shared" ref="BR25:BX27" si="159">IF(O25=0,0,O25*BR$9)</f>
        <v>0</v>
      </c>
      <c r="BS25" s="49">
        <f t="shared" si="159"/>
        <v>0</v>
      </c>
      <c r="BT25" s="49">
        <f t="shared" si="159"/>
        <v>0</v>
      </c>
      <c r="BU25" s="49">
        <f t="shared" si="159"/>
        <v>31.5</v>
      </c>
      <c r="BV25" s="49">
        <f t="shared" si="159"/>
        <v>0</v>
      </c>
      <c r="BW25" s="49">
        <f t="shared" si="159"/>
        <v>0</v>
      </c>
      <c r="BX25" s="49">
        <f t="shared" si="159"/>
        <v>24.2</v>
      </c>
      <c r="BY25" s="549">
        <f>IF(COUNT(Q25:U25)&gt;1,MINA(Q25:U25)*BY$9,0)</f>
        <v>-12.1</v>
      </c>
      <c r="BZ25" s="85">
        <f t="shared" ref="BZ25:CD27" si="160">IF(V25=0,0,V25*BZ$9)</f>
        <v>0</v>
      </c>
      <c r="CA25" s="85">
        <f t="shared" si="160"/>
        <v>0</v>
      </c>
      <c r="CB25" s="85">
        <f t="shared" si="160"/>
        <v>36.4</v>
      </c>
      <c r="CC25" s="85">
        <f t="shared" si="160"/>
        <v>0</v>
      </c>
      <c r="CD25" s="85">
        <f t="shared" si="160"/>
        <v>0</v>
      </c>
      <c r="CE25" s="85">
        <f>IF(AC25=0,0,AC25*CE$9)</f>
        <v>8.8800000000000008</v>
      </c>
      <c r="CF25" s="85">
        <f t="shared" ref="CF25:CG27" si="161">IF(AA25=0,0,AA25*CF$9)</f>
        <v>6.4</v>
      </c>
      <c r="CG25" s="85">
        <f t="shared" si="161"/>
        <v>0</v>
      </c>
      <c r="CH25" s="85">
        <f t="shared" ref="CH25:CK27" si="162">IF(AD25=0,0,AD25*CH$9)</f>
        <v>0</v>
      </c>
      <c r="CI25" s="85">
        <f t="shared" si="162"/>
        <v>0</v>
      </c>
      <c r="CJ25" s="85">
        <f t="shared" si="162"/>
        <v>0</v>
      </c>
      <c r="CK25" s="85">
        <f t="shared" si="162"/>
        <v>0</v>
      </c>
      <c r="CL25" s="100">
        <f>SUM(BR25:CK25)</f>
        <v>95.28</v>
      </c>
      <c r="CM25" s="50"/>
      <c r="CN25" s="104">
        <f>J25</f>
        <v>132</v>
      </c>
      <c r="CO25" s="101">
        <f>CL25/CN25</f>
        <v>0.7218181818181818</v>
      </c>
      <c r="CP25" s="51">
        <f>Seilareal/Lwl/Lwl</f>
        <v>0.85848074921956286</v>
      </c>
      <c r="CQ25" s="116">
        <f>Seilareal/Depl^0.667/K$7</f>
        <v>1.1876287482755701</v>
      </c>
      <c r="CR25" s="51">
        <f>Seilareal/Lwl/Lwl/SApRS1</f>
        <v>1.3025893848589722</v>
      </c>
      <c r="CS25" s="204"/>
      <c r="CT25" s="204">
        <f>_xlfn.SINGLE(IF((ROUND(_xlfn.SINGLE(TBF)/CT$6,3)*CT$6)*CT$4&lt;0.5,"-",(ROUND(_xlfn.SINGLE(TBF)/CT$6,3)*CT$6)*CT$4))</f>
        <v>107.5</v>
      </c>
      <c r="CU25" s="107">
        <f t="shared" si="36"/>
        <v>1.073554032907255</v>
      </c>
      <c r="CV25" s="62">
        <f t="shared" si="13"/>
        <v>2.9753725784355738</v>
      </c>
      <c r="CW25" s="62">
        <f t="shared" si="14"/>
        <v>1.624381070249878</v>
      </c>
      <c r="CX25" s="62">
        <f t="shared" si="15"/>
        <v>1.876529608701073</v>
      </c>
      <c r="CY25" s="107">
        <f t="shared" si="16"/>
        <v>0.98702677975331765</v>
      </c>
      <c r="CZ25" s="168">
        <f t="shared" si="86"/>
        <v>1.0974117647058823</v>
      </c>
      <c r="DA25" s="159">
        <f>DA24</f>
        <v>0.88</v>
      </c>
      <c r="DB25" s="168">
        <f t="shared" si="87"/>
        <v>1.1064912280701755</v>
      </c>
      <c r="DC25" s="159">
        <f>DC24</f>
        <v>1.19</v>
      </c>
      <c r="DD25" s="190" t="s">
        <v>134</v>
      </c>
      <c r="DE25" s="62">
        <v>0.88</v>
      </c>
      <c r="DF25" s="62">
        <v>0.87</v>
      </c>
      <c r="DG25" s="62">
        <v>0.87</v>
      </c>
      <c r="DH25" s="150">
        <v>0.92</v>
      </c>
      <c r="DI25" s="62">
        <f t="shared" si="39"/>
        <v>2.1022200593437423</v>
      </c>
      <c r="DJ25" s="47">
        <f t="shared" si="17"/>
        <v>12.737127371273713</v>
      </c>
      <c r="DK25" s="48">
        <f t="shared" si="90"/>
        <v>0</v>
      </c>
      <c r="DM25" s="107">
        <f t="shared" si="25"/>
        <v>1.0716796241799416</v>
      </c>
      <c r="DN25" s="141">
        <f t="shared" si="91"/>
        <v>-3.5077110775991738</v>
      </c>
      <c r="DO25" s="107">
        <f t="shared" si="92"/>
        <v>4.723364273106716</v>
      </c>
      <c r="DP25" s="133">
        <f>IF(SeilBeregnet=0,DP24,(SeilBeregnet^0.5/(Depl^0.3333))^DP$3*DP$7)</f>
        <v>3.0435481587007907</v>
      </c>
      <c r="DQ25" s="133">
        <f>IF(SeilBeregnet=0,DQ24,(SeilBeregnet^0.5/Lwl)^DQ$3*DQ$7)</f>
        <v>0</v>
      </c>
      <c r="DR25" s="133">
        <f>IF(SeilBeregnet=0,DR24,(0.1*Loa/Depl^0.3333)^DR$3*DR$7)</f>
        <v>0</v>
      </c>
      <c r="DS25" s="133">
        <f>IF(SeilBeregnet=0,DS24,((Loa)/Bredde)^DS$3*DS$7)</f>
        <v>1.6798161144059256</v>
      </c>
      <c r="DT25" s="107">
        <f>IF(SeilBeregnet=0,DT24,(Lwl)^DT$3)</f>
        <v>1.876529608701073</v>
      </c>
      <c r="DU25" s="133">
        <f>IF(SeilBeregnet=0,DU24,(Dypg/Loa)^DU$3*5*DU$7)</f>
        <v>2.0304696544257586</v>
      </c>
      <c r="DW25" s="72">
        <f t="shared" si="152"/>
        <v>1.1067567349559333</v>
      </c>
      <c r="DX25" s="107">
        <f t="shared" si="40"/>
        <v>1.1091890868678347</v>
      </c>
      <c r="DY25" s="122">
        <f>DX25-DW25</f>
        <v>2.432351911901387E-3</v>
      </c>
      <c r="DZ25" s="107">
        <f t="shared" si="41"/>
        <v>1.0831356361684539</v>
      </c>
      <c r="EA25" s="122">
        <f t="shared" si="95"/>
        <v>-2.3621098787479422E-2</v>
      </c>
      <c r="EB25" s="107">
        <f t="shared" si="96"/>
        <v>1.0891476651475935</v>
      </c>
      <c r="EC25" s="122">
        <f t="shared" si="97"/>
        <v>-1.7609069808339761E-2</v>
      </c>
      <c r="ED25" s="107">
        <f>IF(SeilBeregnet=0,ED24,SeilBeregnet^0.5/Depl^0.33333)</f>
        <v>3.0432289217697801</v>
      </c>
      <c r="EE25" s="107">
        <f>IF(SeilBeregnet=0,EE24,Lwl^0.3333)</f>
        <v>2.3143948149199915</v>
      </c>
      <c r="EF25" s="107">
        <f>IF(SeilBeregnet=0,EF24,((Loa+Lwl)/Bredde)^EF$3)</f>
        <v>1.5156588468416963</v>
      </c>
      <c r="EH25" s="107">
        <f t="shared" si="98"/>
        <v>1.0814098238807666</v>
      </c>
      <c r="EJ25" s="107">
        <f>IF(SeilBeregnet=0,EJ24,SeilBeregnet^0.5/Depl^0.33333)</f>
        <v>3.0432289217697801</v>
      </c>
      <c r="EK25" s="107">
        <f>IF(SeilBeregnet=0,EK24,Lwl^EK$3)</f>
        <v>2.3145696298317247</v>
      </c>
      <c r="EL25" s="107">
        <f>IF(SeilBeregnet=0,EL24,((Loa+Lwl)/Bredde)^EL$3)</f>
        <v>1.7409161931067094</v>
      </c>
      <c r="EM25" s="107">
        <f t="shared" si="99"/>
        <v>1.0784175918374628</v>
      </c>
      <c r="EO25" s="107">
        <f>IF(SeilBeregnet=0,EO24,(EP25*EQ25)^EO$3)</f>
        <v>4.6124968382448834</v>
      </c>
      <c r="EP25" s="107">
        <f>IF(SeilBeregnet=0,EP24,SeilBeregnet^0.5/Depl^0.33333)</f>
        <v>3.0432289217697801</v>
      </c>
      <c r="EQ25" s="107">
        <f>IF(SeilBeregnet=0,EQ24,((Loa+Lwl)/Bredde)^EQ$3)</f>
        <v>1.5156588468416963</v>
      </c>
      <c r="ER25" s="107">
        <f>IF(SeilBeregnet=0,ER24,Lwl^ER$3)</f>
        <v>1.876529608701073</v>
      </c>
      <c r="ES25" s="107">
        <f t="shared" si="26"/>
        <v>1.0830013870925892</v>
      </c>
      <c r="EU25" s="107">
        <f>IF(SeilBeregnet=0,EU24,(EV:EV*EW:EW)^EU$3)</f>
        <v>1.7167186863765136</v>
      </c>
      <c r="EV25" s="107">
        <f>IF(SeilBeregnet=0,EV24,SeilBeregnet^0.5/Depl^0.33333)</f>
        <v>3.0432289217697801</v>
      </c>
      <c r="EW25" s="107">
        <f>IF(SeilBeregnet=0,EW24,((Loa+Lwl)/Bredde/6)^EW$3)</f>
        <v>0.96841976857935907</v>
      </c>
      <c r="EX25" s="107">
        <f>IF(SeilBeregnet=0,EX24,(Lwl*0.7+Loa*0.3)^EX$3)</f>
        <v>1.8971835674396498</v>
      </c>
      <c r="EY25" s="107">
        <f t="shared" si="27"/>
        <v>1.0679032618059696</v>
      </c>
      <c r="FA25" s="107">
        <f t="shared" si="20"/>
        <v>1.7168087265357064</v>
      </c>
      <c r="FB25" s="107">
        <f>IF(SeilBeregnet=0,FB24,SeilBeregnet^0.5/Depl^0.3333)</f>
        <v>3.0435481587007907</v>
      </c>
      <c r="FC25" s="107">
        <f>IF(SeilBeregnet=0,FC24,((Loa+Lwl)/Bredde/6)^FC$3)</f>
        <v>0.96841976857935907</v>
      </c>
      <c r="FD25" s="107">
        <f>IF(SeilBeregnet=0,FD24,(Lwl*0.7+Loa*0.3)^FD$3)</f>
        <v>1.8971835674396498</v>
      </c>
      <c r="FE25" s="107">
        <f t="shared" si="28"/>
        <v>1.0604649182378423</v>
      </c>
      <c r="FF25" s="141">
        <f t="shared" si="100"/>
        <v>-4.6291816718091017</v>
      </c>
      <c r="FG25" s="107">
        <f t="shared" si="21"/>
        <v>2.8543516124256856</v>
      </c>
      <c r="FH25" s="133">
        <f>IF(SeilBeregnet=0,FH24,(SeilBeregnet^0.5/(Depl^0.3333))^FH$3)</f>
        <v>3.0435481587007907</v>
      </c>
      <c r="FI25" s="133">
        <f>IF(SeilBeregnet=0,FI24,((Loa+Lwl)/Bredde/6)^FI$3)</f>
        <v>0.93783684817529944</v>
      </c>
      <c r="FJ25" s="107">
        <f>IF(SeilBeregnet=0,FJ24,(Lwl*0.07+Loa*0.03)^FJ$3)</f>
        <v>1.0668647214433669</v>
      </c>
      <c r="FK25" s="107">
        <f t="shared" si="29"/>
        <v>1.0909994220650427</v>
      </c>
      <c r="FL25" s="141">
        <f t="shared" si="101"/>
        <v>-1.5757312890890551</v>
      </c>
      <c r="FM25" s="107">
        <f t="shared" si="22"/>
        <v>5.0105535854881635</v>
      </c>
      <c r="FN25" s="133">
        <f>IF(SeilBeregnet=0,FN24,(SeilBeregnet^0.5/(Depl^0.3333))^FN$3)</f>
        <v>3.0435481587007907</v>
      </c>
      <c r="FO25" s="133">
        <f>IF(SeilBeregnet=0,FO24,(SeilBeregnet^0.5/Lwl*FO$7)^FO$3)</f>
        <v>0.78718931238144707</v>
      </c>
      <c r="FP25" s="133">
        <f>IF(SeilBeregnet=0,FP24,((Loa)/Bredde)^FP$3*FP$7)</f>
        <v>1.6798161144059256</v>
      </c>
      <c r="FQ25" s="107">
        <f>IF(SeilBeregnet=0,FQ24,(Lwl)^FQ$3)</f>
        <v>1.876529608701073</v>
      </c>
      <c r="FR25" s="107">
        <f t="shared" si="30"/>
        <v>1.0671222824891005</v>
      </c>
      <c r="FS25" s="141">
        <f t="shared" si="102"/>
        <v>-3.9634452466832837</v>
      </c>
      <c r="FT25" s="107">
        <f t="shared" si="23"/>
        <v>5.1126012419560718</v>
      </c>
      <c r="FU25" s="133">
        <f>IF(SeilBeregnet=0,FU24,(SeilBeregnet^0.5/(Depl^0.3333))^FU$3)</f>
        <v>3.0435481587007907</v>
      </c>
      <c r="FV25" s="133">
        <f>IF(SeilBeregnet=0,FV24,(Loa/Bredde)^FV$3)</f>
        <v>1.6798161144059256</v>
      </c>
      <c r="FW25" s="107">
        <f>IF(SeilBeregnet=0,FW24,Lwl^FW$3)</f>
        <v>1.876529608701073</v>
      </c>
      <c r="FY25">
        <v>0.95</v>
      </c>
      <c r="FZ25" s="62">
        <f t="shared" si="48"/>
        <v>1.1260585741696274</v>
      </c>
      <c r="GA25" s="62">
        <f t="shared" si="49"/>
        <v>2.0304696544257586</v>
      </c>
      <c r="GB25" s="107">
        <f t="shared" si="50"/>
        <v>1.0095376716539228</v>
      </c>
      <c r="GC25" s="440"/>
      <c r="GD25" s="17"/>
      <c r="GE25" s="442"/>
      <c r="GF25" s="462"/>
      <c r="GG25" s="17"/>
      <c r="GH25" s="17"/>
      <c r="GI25" s="17"/>
      <c r="GJ25" s="17"/>
      <c r="GL25" s="17"/>
      <c r="GM25" s="442"/>
      <c r="GN25" s="8"/>
      <c r="GO25" s="8"/>
      <c r="GP25" s="8"/>
      <c r="GQ25" s="8"/>
      <c r="GS25" s="17"/>
      <c r="GT25" s="17"/>
      <c r="GU25" s="17"/>
      <c r="GV25" s="629"/>
      <c r="GW25" s="17"/>
      <c r="GX25" s="17"/>
      <c r="GY25" s="17"/>
      <c r="GZ25" s="17"/>
    </row>
    <row r="26" spans="1:208" ht="15.6" x14ac:dyDescent="0.3">
      <c r="A26" s="60" t="s">
        <v>25</v>
      </c>
      <c r="B26" s="218"/>
      <c r="C26" s="61" t="str">
        <f t="shared" ref="C26:C27" si="163">C25</f>
        <v>Gaffel</v>
      </c>
      <c r="G26" s="54"/>
      <c r="H26" s="204">
        <f>TBFavrundet</f>
        <v>105</v>
      </c>
      <c r="I26" s="63">
        <f>COUNTA(O26:AG26)</f>
        <v>4</v>
      </c>
      <c r="J26" s="222">
        <f>SUM(O26:AG26)</f>
        <v>116</v>
      </c>
      <c r="K26" s="116">
        <f>Seilareal/Depl^0.667/K$7</f>
        <v>1.0436737484845919</v>
      </c>
      <c r="L26" s="116">
        <f>Seilareal/Lwl/Lwl/L$7</f>
        <v>1.1446997624518243</v>
      </c>
      <c r="M26" s="92">
        <f>RiggF</f>
        <v>0.76620689655172414</v>
      </c>
      <c r="N26" s="242">
        <f>StHfaktor</f>
        <v>0.98702677975331765</v>
      </c>
      <c r="O26" s="143"/>
      <c r="P26" s="143"/>
      <c r="Q26" s="143"/>
      <c r="R26" s="165">
        <v>31.5</v>
      </c>
      <c r="S26" s="143"/>
      <c r="T26" s="143"/>
      <c r="U26" s="165">
        <v>24.2</v>
      </c>
      <c r="V26" s="143"/>
      <c r="W26" s="143"/>
      <c r="X26" s="165">
        <f t="shared" ref="X26:X27" si="164">X25</f>
        <v>45.5</v>
      </c>
      <c r="Y26" s="143"/>
      <c r="Z26" s="143"/>
      <c r="AA26" s="143"/>
      <c r="AB26" s="143"/>
      <c r="AC26" s="165">
        <v>14.8</v>
      </c>
      <c r="AD26" s="143"/>
      <c r="AE26" s="143"/>
      <c r="AF26" s="143"/>
      <c r="AG26" s="551"/>
      <c r="AH26" s="557"/>
      <c r="AI26" s="557">
        <f t="shared" si="153"/>
        <v>11.17</v>
      </c>
      <c r="AJ26" s="337">
        <f t="shared" si="154"/>
        <v>0</v>
      </c>
      <c r="AK26" s="339"/>
      <c r="AL26" s="337">
        <f t="shared" si="154"/>
        <v>0</v>
      </c>
      <c r="AM26" s="339"/>
      <c r="AN26" s="267" t="str">
        <f t="shared" si="155"/>
        <v>RS</v>
      </c>
      <c r="AO26" s="45">
        <f>VLOOKUP(AN26,Skrogform!$1:$1048576,3,FALSE)</f>
        <v>0.97</v>
      </c>
      <c r="AP26" s="64">
        <f t="shared" ref="AP26:AZ26" si="165">AP25</f>
        <v>14.25</v>
      </c>
      <c r="AQ26" s="64">
        <f t="shared" si="165"/>
        <v>12.4</v>
      </c>
      <c r="AR26" s="64">
        <f t="shared" si="165"/>
        <v>5.05</v>
      </c>
      <c r="AS26" s="64">
        <f t="shared" si="165"/>
        <v>2.35</v>
      </c>
      <c r="AT26" s="64"/>
      <c r="AU26" s="64">
        <f t="shared" si="165"/>
        <v>33</v>
      </c>
      <c r="AV26" s="64">
        <f t="shared" si="165"/>
        <v>5</v>
      </c>
      <c r="AW26" s="64">
        <f t="shared" si="165"/>
        <v>5</v>
      </c>
      <c r="AX26" s="256">
        <f>AX25</f>
        <v>300</v>
      </c>
      <c r="AY26" s="256">
        <f t="shared" si="165"/>
        <v>115</v>
      </c>
      <c r="AZ26" s="256">
        <f t="shared" si="165"/>
        <v>1300</v>
      </c>
      <c r="BA26" s="256">
        <f t="shared" ref="BA26:BB26" si="166">BA25</f>
        <v>500</v>
      </c>
      <c r="BB26" s="256">
        <f t="shared" si="166"/>
        <v>300</v>
      </c>
      <c r="BC26" s="256"/>
      <c r="BD26" s="66"/>
      <c r="BE26" s="66"/>
      <c r="BF26" s="261"/>
      <c r="BG26" s="66"/>
      <c r="BH26" s="175"/>
      <c r="BI26" s="66"/>
      <c r="BJ26" s="66"/>
      <c r="BK26" s="65" t="str">
        <f t="shared" ref="BK26:BM26" si="167" xml:space="preserve"> BK25</f>
        <v>Fast</v>
      </c>
      <c r="BL26" s="267">
        <f t="shared" si="167"/>
        <v>3</v>
      </c>
      <c r="BM26" s="267">
        <f t="shared" si="167"/>
        <v>90</v>
      </c>
      <c r="BN26" s="45">
        <f t="shared" si="11"/>
        <v>0.97507141914790385</v>
      </c>
      <c r="BO26" s="59"/>
      <c r="BP26" s="59"/>
      <c r="BR26" s="49">
        <f t="shared" si="159"/>
        <v>0</v>
      </c>
      <c r="BS26" s="49">
        <f t="shared" si="159"/>
        <v>0</v>
      </c>
      <c r="BT26" s="49">
        <f t="shared" si="159"/>
        <v>0</v>
      </c>
      <c r="BU26" s="49">
        <f t="shared" si="159"/>
        <v>31.5</v>
      </c>
      <c r="BV26" s="49">
        <f t="shared" si="159"/>
        <v>0</v>
      </c>
      <c r="BW26" s="49">
        <f t="shared" si="159"/>
        <v>0</v>
      </c>
      <c r="BX26" s="49">
        <f t="shared" si="159"/>
        <v>24.2</v>
      </c>
      <c r="BY26" s="549">
        <f>IF(COUNT(Q26:U26)&gt;1,MINA(Q26:U26)*BY$9,0)</f>
        <v>-12.1</v>
      </c>
      <c r="BZ26" s="85">
        <f t="shared" si="160"/>
        <v>0</v>
      </c>
      <c r="CA26" s="85">
        <f t="shared" si="160"/>
        <v>0</v>
      </c>
      <c r="CB26" s="85">
        <f t="shared" si="160"/>
        <v>36.4</v>
      </c>
      <c r="CC26" s="85">
        <f t="shared" si="160"/>
        <v>0</v>
      </c>
      <c r="CD26" s="85">
        <f t="shared" si="160"/>
        <v>0</v>
      </c>
      <c r="CE26" s="85">
        <f>IF(AC26=0,0,AC26*CE$9)</f>
        <v>8.8800000000000008</v>
      </c>
      <c r="CF26" s="85">
        <f t="shared" si="161"/>
        <v>0</v>
      </c>
      <c r="CG26" s="85">
        <f t="shared" si="161"/>
        <v>0</v>
      </c>
      <c r="CH26" s="85">
        <f t="shared" si="162"/>
        <v>0</v>
      </c>
      <c r="CI26" s="85">
        <f t="shared" si="162"/>
        <v>0</v>
      </c>
      <c r="CJ26" s="85">
        <f t="shared" si="162"/>
        <v>0</v>
      </c>
      <c r="CK26" s="85">
        <f t="shared" si="162"/>
        <v>0</v>
      </c>
      <c r="CL26" s="100">
        <f>SUM(BR26:CK26)</f>
        <v>88.88</v>
      </c>
      <c r="CM26" s="50"/>
      <c r="CN26" s="104">
        <f>J26</f>
        <v>116</v>
      </c>
      <c r="CO26" s="101">
        <f>CL26/CN26</f>
        <v>0.76620689655172414</v>
      </c>
      <c r="CP26" s="51">
        <f>Seilareal/Lwl/Lwl</f>
        <v>0.75442247658688866</v>
      </c>
      <c r="CQ26" s="116">
        <f>Seilareal/Depl^0.667/K$7</f>
        <v>1.0436737484845919</v>
      </c>
      <c r="CR26" s="51">
        <f>Seilareal/Lwl/Lwl/SApRS1</f>
        <v>1.1446997624518243</v>
      </c>
      <c r="CS26" s="204"/>
      <c r="CT26" s="204">
        <f>(ROUND(TBF/CT$6,3)*CT$6)*CT$4</f>
        <v>105</v>
      </c>
      <c r="CU26" s="107">
        <f t="shared" si="36"/>
        <v>1.0498259454978958</v>
      </c>
      <c r="CV26" s="62">
        <f t="shared" si="13"/>
        <v>2.8737071258435321</v>
      </c>
      <c r="CW26" s="62">
        <f t="shared" si="14"/>
        <v>1.624381070249878</v>
      </c>
      <c r="CX26" s="62">
        <f t="shared" si="15"/>
        <v>1.876529608701073</v>
      </c>
      <c r="CY26" s="107">
        <f t="shared" si="16"/>
        <v>0.98702677975331765</v>
      </c>
      <c r="CZ26" s="168" t="str">
        <f t="shared" si="86"/>
        <v>-</v>
      </c>
      <c r="DA26" s="158"/>
      <c r="DB26" s="168" t="str">
        <f t="shared" si="87"/>
        <v>-</v>
      </c>
      <c r="DC26" s="160"/>
      <c r="DD26" s="190" t="s">
        <v>134</v>
      </c>
      <c r="DE26" s="62">
        <v>0.86</v>
      </c>
      <c r="DF26" s="62">
        <v>0.86</v>
      </c>
      <c r="DG26" s="62">
        <v>0.86</v>
      </c>
      <c r="DH26" s="150">
        <v>0.89</v>
      </c>
      <c r="DI26" s="62">
        <f t="shared" si="39"/>
        <v>2.1022200593437423</v>
      </c>
      <c r="DJ26" s="47">
        <f t="shared" si="17"/>
        <v>12.737127371273713</v>
      </c>
      <c r="DK26" s="48">
        <f t="shared" si="90"/>
        <v>0</v>
      </c>
      <c r="DM26" s="107">
        <f t="shared" si="25"/>
        <v>1.048084310596286</v>
      </c>
      <c r="DN26" s="141" t="str">
        <f t="shared" si="91"/>
        <v>-</v>
      </c>
      <c r="DO26" s="107">
        <f t="shared" si="92"/>
        <v>4.6193693303279257</v>
      </c>
      <c r="DP26" s="133">
        <f>IF(SeilBeregnet=0,DP25,(SeilBeregnet^0.5/(Depl^0.3333))^DP$3*DP$7)</f>
        <v>2.9395532159219999</v>
      </c>
      <c r="DQ26" s="133">
        <f>IF(SeilBeregnet=0,DQ25,(SeilBeregnet^0.5/Lwl)^DQ$3*DQ$7)</f>
        <v>0</v>
      </c>
      <c r="DR26" s="133">
        <f>IF(SeilBeregnet=0,DR25,(0.1*Loa/Depl^0.3333)^DR$3*DR$7)</f>
        <v>0</v>
      </c>
      <c r="DS26" s="133">
        <f>IF(SeilBeregnet=0,DS25,((Loa)/Bredde)^DS$3*DS$7)</f>
        <v>1.6798161144059256</v>
      </c>
      <c r="DT26" s="107">
        <f>IF(SeilBeregnet=0,DT25,(Lwl)^DT$3)</f>
        <v>1.876529608701073</v>
      </c>
      <c r="DU26" s="133">
        <f>IF(SeilBeregnet=0,DU25,(Dypg/Loa)^DU$3*5*DU$7)</f>
        <v>2.0304696544257586</v>
      </c>
      <c r="DW26" s="107">
        <f t="shared" si="152"/>
        <v>1.0822947891730885</v>
      </c>
      <c r="DX26" s="107">
        <f t="shared" si="40"/>
        <v>1.0796354329409819</v>
      </c>
      <c r="DZ26" s="107">
        <f t="shared" si="41"/>
        <v>1.0602560113504471</v>
      </c>
      <c r="EA26" s="122" t="str">
        <f t="shared" si="95"/>
        <v>-</v>
      </c>
      <c r="EB26" s="107">
        <f t="shared" si="96"/>
        <v>1.0614960232627548</v>
      </c>
      <c r="EC26" s="122" t="str">
        <f t="shared" si="97"/>
        <v>-</v>
      </c>
      <c r="ED26" s="107">
        <f>IF(SeilBeregnet=0,ED25,SeilBeregnet^0.5/Depl^0.33333)</f>
        <v>2.939244886991994</v>
      </c>
      <c r="EE26" s="107">
        <f>IF(SeilBeregnet=0,EE25,Lwl^0.3333)</f>
        <v>2.3143948149199915</v>
      </c>
      <c r="EF26" s="107">
        <f>IF(SeilBeregnet=0,EF25,((Loa+Lwl)/Bredde)^EF$3)</f>
        <v>1.5156588468416963</v>
      </c>
      <c r="EH26" s="107">
        <f t="shared" si="98"/>
        <v>1.0568055940388883</v>
      </c>
      <c r="EJ26" s="107">
        <f>IF(SeilBeregnet=0,EJ25,SeilBeregnet^0.5/Depl^0.33333)</f>
        <v>2.939244886991994</v>
      </c>
      <c r="EK26" s="107">
        <f>IF(SeilBeregnet=0,EK25,Lwl^EK$3)</f>
        <v>2.3145696298317247</v>
      </c>
      <c r="EL26" s="107">
        <f>IF(SeilBeregnet=0,EL25,((Loa+Lwl)/Bredde)^EL$3)</f>
        <v>1.7409161931067094</v>
      </c>
      <c r="EM26" s="107">
        <f t="shared" si="99"/>
        <v>1.0527142489380665</v>
      </c>
      <c r="EO26" s="107">
        <f>IF(SeilBeregnet=0,EO25,(EP26*EQ26)^EO$3)</f>
        <v>4.4548925160036372</v>
      </c>
      <c r="EP26" s="107">
        <f>IF(SeilBeregnet=0,EP25,SeilBeregnet^0.5/Depl^0.33333)</f>
        <v>2.939244886991994</v>
      </c>
      <c r="EQ26" s="107">
        <f>IF(SeilBeregnet=0,EQ25,((Loa+Lwl)/Bredde)^EQ$3)</f>
        <v>1.5156588468416963</v>
      </c>
      <c r="ER26" s="107">
        <f>IF(SeilBeregnet=0,ER25,Lwl^ER$3)</f>
        <v>1.876529608701073</v>
      </c>
      <c r="ES26" s="107">
        <f t="shared" si="26"/>
        <v>1.0566685092337058</v>
      </c>
      <c r="EU26" s="107">
        <f>IF(SeilBeregnet=0,EU25,(EV:EV*EW:EW)^EU$3)</f>
        <v>1.6871345095335022</v>
      </c>
      <c r="EV26" s="107">
        <f>IF(SeilBeregnet=0,EV25,SeilBeregnet^0.5/Depl^0.33333)</f>
        <v>2.939244886991994</v>
      </c>
      <c r="EW26" s="107">
        <f>IF(SeilBeregnet=0,EW25,((Loa+Lwl)/Bredde/6)^EW$3)</f>
        <v>0.96841976857935907</v>
      </c>
      <c r="EX26" s="107">
        <f>IF(SeilBeregnet=0,EX25,(Lwl*0.7+Loa*0.3)^EX$3)</f>
        <v>1.8971835674396498</v>
      </c>
      <c r="EY26" s="107">
        <f t="shared" si="27"/>
        <v>1.0495001074632042</v>
      </c>
      <c r="FA26" s="107">
        <f t="shared" si="20"/>
        <v>1.6872229980325344</v>
      </c>
      <c r="FB26" s="107">
        <f>IF(SeilBeregnet=0,FB25,SeilBeregnet^0.5/Depl^0.3333)</f>
        <v>2.9395532159219999</v>
      </c>
      <c r="FC26" s="107">
        <f>IF(SeilBeregnet=0,FC25,((Loa+Lwl)/Bredde/6)^FC$3)</f>
        <v>0.96841976857935907</v>
      </c>
      <c r="FD26" s="107">
        <f>IF(SeilBeregnet=0,FD25,(Lwl*0.7+Loa*0.3)^FD$3)</f>
        <v>1.8971835674396498</v>
      </c>
      <c r="FE26" s="107">
        <f t="shared" si="28"/>
        <v>1.0391587874522055</v>
      </c>
      <c r="FF26" s="141" t="str">
        <f t="shared" si="100"/>
        <v>-</v>
      </c>
      <c r="FG26" s="107">
        <f t="shared" si="21"/>
        <v>2.7568213230638539</v>
      </c>
      <c r="FH26" s="133">
        <f>IF(SeilBeregnet=0,FH25,(SeilBeregnet^0.5/(Depl^0.3333))^FH$3)</f>
        <v>2.9395532159219999</v>
      </c>
      <c r="FI26" s="133">
        <f>IF(SeilBeregnet=0,FI25,((Loa+Lwl)/Bredde/6)^FI$3)</f>
        <v>0.93783684817529944</v>
      </c>
      <c r="FJ26" s="107">
        <f>IF(SeilBeregnet=0,FJ25,(Lwl*0.07+Loa*0.03)^FJ$3)</f>
        <v>1.0668647214433669</v>
      </c>
      <c r="FK26" s="107">
        <f t="shared" si="29"/>
        <v>1.0624988720340371</v>
      </c>
      <c r="FL26" s="141" t="str">
        <f t="shared" si="101"/>
        <v>-</v>
      </c>
      <c r="FM26" s="107">
        <f t="shared" si="22"/>
        <v>4.8796611851274525</v>
      </c>
      <c r="FN26" s="133">
        <f>IF(SeilBeregnet=0,FN25,(SeilBeregnet^0.5/(Depl^0.3333))^FN$3)</f>
        <v>2.9395532159219999</v>
      </c>
      <c r="FO26" s="133">
        <f>IF(SeilBeregnet=0,FO25,(SeilBeregnet^0.5/Lwl*FO$7)^FO$3)</f>
        <v>0.76029185479952732</v>
      </c>
      <c r="FP26" s="133">
        <f>IF(SeilBeregnet=0,FP25,((Loa)/Bredde)^FP$3*FP$7)</f>
        <v>1.6798161144059256</v>
      </c>
      <c r="FQ26" s="107">
        <f>IF(SeilBeregnet=0,FQ25,(Lwl)^FQ$3)</f>
        <v>1.876529608701073</v>
      </c>
      <c r="FR26" s="107">
        <f t="shared" si="30"/>
        <v>1.0466651015950177</v>
      </c>
      <c r="FS26" s="141" t="str">
        <f t="shared" si="102"/>
        <v>-</v>
      </c>
      <c r="FT26" s="107">
        <f t="shared" si="23"/>
        <v>4.9379088612595368</v>
      </c>
      <c r="FU26" s="133">
        <f>IF(SeilBeregnet=0,FU25,(SeilBeregnet^0.5/(Depl^0.3333))^FU$3)</f>
        <v>2.9395532159219999</v>
      </c>
      <c r="FV26" s="133">
        <f>IF(SeilBeregnet=0,FV25,(Loa/Bredde)^FV$3)</f>
        <v>1.6798161144059256</v>
      </c>
      <c r="FW26" s="107">
        <f>IF(SeilBeregnet=0,FW25,Lwl^FW$3)</f>
        <v>1.876529608701073</v>
      </c>
      <c r="FY26">
        <v>0.95</v>
      </c>
      <c r="FZ26" s="62">
        <f t="shared" si="48"/>
        <v>1.1087207331268918</v>
      </c>
      <c r="GA26" s="62">
        <f t="shared" si="49"/>
        <v>2.0304696544257586</v>
      </c>
      <c r="GB26" s="107">
        <f t="shared" si="50"/>
        <v>0.9979058743434075</v>
      </c>
      <c r="GC26" s="440"/>
      <c r="GD26" s="17"/>
      <c r="GE26" s="442"/>
      <c r="GF26" s="462"/>
      <c r="GG26" s="17"/>
      <c r="GH26" s="17"/>
      <c r="GI26" s="17"/>
      <c r="GJ26" s="17"/>
      <c r="GL26" s="17"/>
      <c r="GM26" s="442"/>
      <c r="GN26" s="8"/>
      <c r="GO26" s="8"/>
      <c r="GP26" s="8"/>
      <c r="GQ26" s="8"/>
      <c r="GS26" s="17"/>
      <c r="GT26" s="17"/>
      <c r="GU26" s="17"/>
      <c r="GV26" s="629"/>
      <c r="GW26" s="17"/>
      <c r="GX26" s="17"/>
      <c r="GY26" s="17"/>
      <c r="GZ26" s="17"/>
    </row>
    <row r="27" spans="1:208" ht="15.6" x14ac:dyDescent="0.3">
      <c r="A27" s="60" t="s">
        <v>148</v>
      </c>
      <c r="B27" s="218"/>
      <c r="C27" s="61" t="str">
        <f t="shared" si="163"/>
        <v>Gaffel</v>
      </c>
      <c r="G27" s="54"/>
      <c r="H27" s="204">
        <f>TBFavrundet</f>
        <v>101</v>
      </c>
      <c r="I27" s="63">
        <f>COUNTA(O27:AG27)</f>
        <v>4</v>
      </c>
      <c r="J27" s="222">
        <f>SUM(O27:AG27)</f>
        <v>103.5</v>
      </c>
      <c r="K27" s="116">
        <f>Seilareal/Depl^0.667/K$7</f>
        <v>0.9312089048978901</v>
      </c>
      <c r="L27" s="116">
        <f>Seilareal/Lwl/Lwl/L$7</f>
        <v>1.0213484949462397</v>
      </c>
      <c r="M27" s="92">
        <f>RiggF</f>
        <v>0.76309178743961348</v>
      </c>
      <c r="N27" s="242">
        <f>StHfaktor</f>
        <v>0.98702677975331765</v>
      </c>
      <c r="O27" s="143"/>
      <c r="P27" s="143"/>
      <c r="Q27" s="143"/>
      <c r="R27" s="143"/>
      <c r="S27" s="165">
        <v>19</v>
      </c>
      <c r="T27" s="143"/>
      <c r="U27" s="165">
        <v>24.2</v>
      </c>
      <c r="V27" s="143"/>
      <c r="W27" s="143"/>
      <c r="X27" s="165">
        <f t="shared" si="164"/>
        <v>45.5</v>
      </c>
      <c r="Y27" s="143"/>
      <c r="Z27" s="143"/>
      <c r="AA27" s="143"/>
      <c r="AB27" s="143"/>
      <c r="AC27" s="165">
        <v>14.8</v>
      </c>
      <c r="AD27" s="143"/>
      <c r="AE27" s="143"/>
      <c r="AF27" s="143"/>
      <c r="AG27" s="551"/>
      <c r="AH27" s="557"/>
      <c r="AI27" s="557">
        <f t="shared" si="153"/>
        <v>11.17</v>
      </c>
      <c r="AJ27" s="337">
        <f t="shared" si="154"/>
        <v>0</v>
      </c>
      <c r="AK27" s="339"/>
      <c r="AL27" s="337">
        <f t="shared" si="154"/>
        <v>0</v>
      </c>
      <c r="AM27" s="339"/>
      <c r="AN27" s="267" t="str">
        <f t="shared" si="155"/>
        <v>RS</v>
      </c>
      <c r="AO27" s="45">
        <f>VLOOKUP(AN27,Skrogform!$1:$1048576,3,FALSE)</f>
        <v>0.97</v>
      </c>
      <c r="AP27" s="64">
        <f t="shared" ref="AP27:AZ27" si="168">AP26</f>
        <v>14.25</v>
      </c>
      <c r="AQ27" s="64">
        <f t="shared" si="168"/>
        <v>12.4</v>
      </c>
      <c r="AR27" s="64">
        <f t="shared" si="168"/>
        <v>5.05</v>
      </c>
      <c r="AS27" s="64">
        <f t="shared" si="168"/>
        <v>2.35</v>
      </c>
      <c r="AT27" s="64"/>
      <c r="AU27" s="64">
        <f t="shared" si="168"/>
        <v>33</v>
      </c>
      <c r="AV27" s="64">
        <f t="shared" si="168"/>
        <v>5</v>
      </c>
      <c r="AW27" s="64">
        <f t="shared" si="168"/>
        <v>5</v>
      </c>
      <c r="AX27" s="256">
        <f>AX26</f>
        <v>300</v>
      </c>
      <c r="AY27" s="256">
        <f t="shared" si="168"/>
        <v>115</v>
      </c>
      <c r="AZ27" s="256">
        <f t="shared" si="168"/>
        <v>1300</v>
      </c>
      <c r="BA27" s="256">
        <f t="shared" ref="BA27:BB27" si="169">BA26</f>
        <v>500</v>
      </c>
      <c r="BB27" s="256">
        <f t="shared" si="169"/>
        <v>300</v>
      </c>
      <c r="BC27" s="256"/>
      <c r="BD27" s="66"/>
      <c r="BE27" s="66"/>
      <c r="BF27" s="261"/>
      <c r="BG27" s="66"/>
      <c r="BH27" s="175"/>
      <c r="BI27" s="66"/>
      <c r="BJ27" s="66"/>
      <c r="BK27" s="65" t="str">
        <f t="shared" ref="BK27:BM27" si="170" xml:space="preserve"> BK26</f>
        <v>Fast</v>
      </c>
      <c r="BL27" s="267">
        <f t="shared" si="170"/>
        <v>3</v>
      </c>
      <c r="BM27" s="267">
        <f t="shared" si="170"/>
        <v>90</v>
      </c>
      <c r="BN27" s="45">
        <f t="shared" si="11"/>
        <v>0.97507141914790385</v>
      </c>
      <c r="BO27" s="59"/>
      <c r="BP27" s="59"/>
      <c r="BR27" s="49">
        <f t="shared" si="159"/>
        <v>0</v>
      </c>
      <c r="BS27" s="49">
        <f t="shared" si="159"/>
        <v>0</v>
      </c>
      <c r="BT27" s="49">
        <f t="shared" si="159"/>
        <v>0</v>
      </c>
      <c r="BU27" s="49">
        <f t="shared" si="159"/>
        <v>0</v>
      </c>
      <c r="BV27" s="49">
        <f t="shared" si="159"/>
        <v>19</v>
      </c>
      <c r="BW27" s="49">
        <f t="shared" si="159"/>
        <v>0</v>
      </c>
      <c r="BX27" s="49">
        <f t="shared" si="159"/>
        <v>24.2</v>
      </c>
      <c r="BY27" s="549">
        <f>IF(COUNT(Q27:U27)&gt;1,MINA(Q27:U27)*BY$9,0)</f>
        <v>-9.5</v>
      </c>
      <c r="BZ27" s="85">
        <f t="shared" si="160"/>
        <v>0</v>
      </c>
      <c r="CA27" s="85">
        <f t="shared" si="160"/>
        <v>0</v>
      </c>
      <c r="CB27" s="85">
        <f t="shared" si="160"/>
        <v>36.4</v>
      </c>
      <c r="CC27" s="85">
        <f t="shared" si="160"/>
        <v>0</v>
      </c>
      <c r="CD27" s="85">
        <f t="shared" si="160"/>
        <v>0</v>
      </c>
      <c r="CE27" s="85">
        <f>IF(AC27=0,0,AC27*CE$9)</f>
        <v>8.8800000000000008</v>
      </c>
      <c r="CF27" s="85">
        <f t="shared" si="161"/>
        <v>0</v>
      </c>
      <c r="CG27" s="85">
        <f t="shared" si="161"/>
        <v>0</v>
      </c>
      <c r="CH27" s="85">
        <f t="shared" si="162"/>
        <v>0</v>
      </c>
      <c r="CI27" s="85">
        <f t="shared" si="162"/>
        <v>0</v>
      </c>
      <c r="CJ27" s="85">
        <f t="shared" si="162"/>
        <v>0</v>
      </c>
      <c r="CK27" s="85">
        <f t="shared" si="162"/>
        <v>0</v>
      </c>
      <c r="CL27" s="100">
        <f>SUM(BR27:CK27)</f>
        <v>78.97999999999999</v>
      </c>
      <c r="CM27" s="50"/>
      <c r="CN27" s="104">
        <f>J27</f>
        <v>103.5</v>
      </c>
      <c r="CO27" s="101">
        <f>CL27/CN27</f>
        <v>0.76309178743961348</v>
      </c>
      <c r="CP27" s="51">
        <f>Seilareal/Lwl/Lwl</f>
        <v>0.67312695109261178</v>
      </c>
      <c r="CQ27" s="116">
        <f>Seilareal/Depl^0.667/K$7</f>
        <v>0.9312089048978901</v>
      </c>
      <c r="CR27" s="51">
        <f>Seilareal/Lwl/Lwl/SApRS1</f>
        <v>1.0213484949462397</v>
      </c>
      <c r="CS27" s="204"/>
      <c r="CT27" s="204">
        <f>(ROUND(TBF/CT$6,3)*CT$6)*CT$4</f>
        <v>101</v>
      </c>
      <c r="CU27" s="107">
        <f t="shared" si="36"/>
        <v>1.011369824026064</v>
      </c>
      <c r="CV27" s="62">
        <f t="shared" si="13"/>
        <v>2.7089378830925885</v>
      </c>
      <c r="CW27" s="62">
        <f t="shared" si="14"/>
        <v>1.624381070249878</v>
      </c>
      <c r="CX27" s="62">
        <f t="shared" si="15"/>
        <v>1.876529608701073</v>
      </c>
      <c r="CY27" s="107">
        <f t="shared" si="16"/>
        <v>0.98702677975331765</v>
      </c>
      <c r="CZ27" s="168" t="str">
        <f t="shared" si="86"/>
        <v>-</v>
      </c>
      <c r="DA27" s="158"/>
      <c r="DB27" s="168" t="str">
        <f t="shared" si="87"/>
        <v>-</v>
      </c>
      <c r="DC27" s="160"/>
      <c r="DD27" s="190" t="s">
        <v>134</v>
      </c>
      <c r="DE27" s="62">
        <v>0.82</v>
      </c>
      <c r="DF27" s="62">
        <v>0.83</v>
      </c>
      <c r="DG27" s="62">
        <v>0.82</v>
      </c>
      <c r="DH27" s="150">
        <v>0.86</v>
      </c>
      <c r="DI27" s="62">
        <f t="shared" si="39"/>
        <v>2.1022200593437423</v>
      </c>
      <c r="DJ27" s="47">
        <f t="shared" si="17"/>
        <v>12.737127371273713</v>
      </c>
      <c r="DK27" s="48">
        <f t="shared" si="90"/>
        <v>0</v>
      </c>
      <c r="DM27" s="107">
        <f t="shared" si="25"/>
        <v>1.0098433757208889</v>
      </c>
      <c r="DN27" s="141" t="str">
        <f t="shared" si="91"/>
        <v>-</v>
      </c>
      <c r="DO27" s="107">
        <f t="shared" si="92"/>
        <v>4.4508246818292037</v>
      </c>
      <c r="DP27" s="133">
        <f>IF(SeilBeregnet=0,DP26,(SeilBeregnet^0.5/(Depl^0.3333))^DP$3*DP$7)</f>
        <v>2.7710085674232783</v>
      </c>
      <c r="DQ27" s="133">
        <f>IF(SeilBeregnet=0,DQ26,(SeilBeregnet^0.5/Lwl)^DQ$3*DQ$7)</f>
        <v>0</v>
      </c>
      <c r="DR27" s="133">
        <f>IF(SeilBeregnet=0,DR26,(0.1*Loa/Depl^0.3333)^DR$3*DR$7)</f>
        <v>0</v>
      </c>
      <c r="DS27" s="133">
        <f>IF(SeilBeregnet=0,DS26,((Loa)/Bredde)^DS$3*DS$7)</f>
        <v>1.6798161144059256</v>
      </c>
      <c r="DT27" s="107">
        <f>IF(SeilBeregnet=0,DT26,(Lwl)^DT$3)</f>
        <v>1.876529608701073</v>
      </c>
      <c r="DU27" s="133">
        <f>IF(SeilBeregnet=0,DU26,(Dypg/Loa)^DU$3*5*DU$7)</f>
        <v>2.0304696544257586</v>
      </c>
      <c r="DW27" s="107">
        <f t="shared" si="152"/>
        <v>1.0426493031196533</v>
      </c>
      <c r="DX27" s="107">
        <f t="shared" si="40"/>
        <v>1.0317378133081729</v>
      </c>
      <c r="DZ27" s="107">
        <f t="shared" si="41"/>
        <v>1.0231749935654164</v>
      </c>
      <c r="EA27" s="122" t="str">
        <f t="shared" si="95"/>
        <v>-</v>
      </c>
      <c r="EB27" s="107">
        <f t="shared" si="96"/>
        <v>1.0166809953646565</v>
      </c>
      <c r="EC27" s="122" t="str">
        <f t="shared" si="97"/>
        <v>-</v>
      </c>
      <c r="ED27" s="107">
        <f>IF(SeilBeregnet=0,ED26,SeilBeregnet^0.5/Depl^0.33333)</f>
        <v>2.7707179170951939</v>
      </c>
      <c r="EE27" s="107">
        <f>IF(SeilBeregnet=0,EE26,Lwl^0.3333)</f>
        <v>2.3143948149199915</v>
      </c>
      <c r="EF27" s="107">
        <f>IF(SeilBeregnet=0,EF26,((Loa+Lwl)/Bredde)^EF$3)</f>
        <v>1.5156588468416963</v>
      </c>
      <c r="EH27" s="107">
        <f t="shared" si="98"/>
        <v>1.0169295081497689</v>
      </c>
      <c r="EJ27" s="107">
        <f>IF(SeilBeregnet=0,EJ26,SeilBeregnet^0.5/Depl^0.33333)</f>
        <v>2.7707179170951939</v>
      </c>
      <c r="EK27" s="107">
        <f>IF(SeilBeregnet=0,EK26,Lwl^EK$3)</f>
        <v>2.3145696298317247</v>
      </c>
      <c r="EL27" s="107">
        <f>IF(SeilBeregnet=0,EL26,((Loa+Lwl)/Bredde)^EL$3)</f>
        <v>1.7409161931067094</v>
      </c>
      <c r="EM27" s="107">
        <f t="shared" si="99"/>
        <v>1.0110568300438056</v>
      </c>
      <c r="EO27" s="107">
        <f>IF(SeilBeregnet=0,EO26,(EP27*EQ27)^EO$3)</f>
        <v>4.1994631231481279</v>
      </c>
      <c r="EP27" s="107">
        <f>IF(SeilBeregnet=0,EP26,SeilBeregnet^0.5/Depl^0.33333)</f>
        <v>2.7707179170951939</v>
      </c>
      <c r="EQ27" s="107">
        <f>IF(SeilBeregnet=0,EQ26,((Loa+Lwl)/Bredde)^EQ$3)</f>
        <v>1.5156588468416963</v>
      </c>
      <c r="ER27" s="107">
        <f>IF(SeilBeregnet=0,ER26,Lwl^ER$3)</f>
        <v>1.876529608701073</v>
      </c>
      <c r="ES27" s="107">
        <f t="shared" si="26"/>
        <v>1.0129811556088806</v>
      </c>
      <c r="EU27" s="107">
        <f>IF(SeilBeregnet=0,EU26,(EV:EV*EW:EW)^EU$3)</f>
        <v>1.6380531139349577</v>
      </c>
      <c r="EV27" s="107">
        <f>IF(SeilBeregnet=0,EV26,SeilBeregnet^0.5/Depl^0.33333)</f>
        <v>2.7707179170951939</v>
      </c>
      <c r="EW27" s="107">
        <f>IF(SeilBeregnet=0,EW26,((Loa+Lwl)/Bredde/6)^EW$3)</f>
        <v>0.96841976857935907</v>
      </c>
      <c r="EX27" s="107">
        <f>IF(SeilBeregnet=0,EX26,(Lwl*0.7+Loa*0.3)^EX$3)</f>
        <v>1.8971835674396498</v>
      </c>
      <c r="EY27" s="107">
        <f t="shared" si="27"/>
        <v>1.0189684991865413</v>
      </c>
      <c r="FA27" s="107">
        <f t="shared" si="20"/>
        <v>1.6381390281644206</v>
      </c>
      <c r="FB27" s="107">
        <f>IF(SeilBeregnet=0,FB26,SeilBeregnet^0.5/Depl^0.3333)</f>
        <v>2.7710085674232783</v>
      </c>
      <c r="FC27" s="107">
        <f>IF(SeilBeregnet=0,FC26,((Loa+Lwl)/Bredde/6)^FC$3)</f>
        <v>0.96841976857935907</v>
      </c>
      <c r="FD27" s="107">
        <f>IF(SeilBeregnet=0,FD26,(Lwl*0.7+Loa*0.3)^FD$3)</f>
        <v>1.8971835674396498</v>
      </c>
      <c r="FE27" s="107">
        <f t="shared" si="28"/>
        <v>1.0046279321223319</v>
      </c>
      <c r="FF27" s="141" t="str">
        <f t="shared" si="100"/>
        <v>-</v>
      </c>
      <c r="FG27" s="107">
        <f t="shared" si="21"/>
        <v>2.598753941138999</v>
      </c>
      <c r="FH27" s="133">
        <f>IF(SeilBeregnet=0,FH26,(SeilBeregnet^0.5/(Depl^0.3333))^FH$3)</f>
        <v>2.7710085674232783</v>
      </c>
      <c r="FI27" s="133">
        <f>IF(SeilBeregnet=0,FI26,((Loa+Lwl)/Bredde/6)^FI$3)</f>
        <v>0.93783684817529944</v>
      </c>
      <c r="FJ27" s="107">
        <f>IF(SeilBeregnet=0,FJ26,(Lwl*0.07+Loa*0.03)^FJ$3)</f>
        <v>1.0668647214433669</v>
      </c>
      <c r="FK27" s="107">
        <f t="shared" si="29"/>
        <v>1.0163080183382573</v>
      </c>
      <c r="FL27" s="141" t="str">
        <f t="shared" si="101"/>
        <v>-</v>
      </c>
      <c r="FM27" s="107">
        <f t="shared" si="22"/>
        <v>4.6675238155548131</v>
      </c>
      <c r="FN27" s="133">
        <f>IF(SeilBeregnet=0,FN26,(SeilBeregnet^0.5/(Depl^0.3333))^FN$3)</f>
        <v>2.7710085674232783</v>
      </c>
      <c r="FO27" s="133">
        <f>IF(SeilBeregnet=0,FO26,(SeilBeregnet^0.5/Lwl*FO$7)^FO$3)</f>
        <v>0.71669913372560901</v>
      </c>
      <c r="FP27" s="133">
        <f>IF(SeilBeregnet=0,FP26,((Loa)/Bredde)^FP$3*FP$7)</f>
        <v>1.6798161144059256</v>
      </c>
      <c r="FQ27" s="107">
        <f>IF(SeilBeregnet=0,FQ26,(Lwl)^FQ$3)</f>
        <v>1.876529608701073</v>
      </c>
      <c r="FR27" s="107">
        <f t="shared" si="30"/>
        <v>1.0135101397195909</v>
      </c>
      <c r="FS27" s="141" t="str">
        <f t="shared" si="102"/>
        <v>-</v>
      </c>
      <c r="FT27" s="107">
        <f t="shared" si="23"/>
        <v>4.6547848447145013</v>
      </c>
      <c r="FU27" s="133">
        <f>IF(SeilBeregnet=0,FU26,(SeilBeregnet^0.5/(Depl^0.3333))^FU$3)</f>
        <v>2.7710085674232783</v>
      </c>
      <c r="FV27" s="133">
        <f>IF(SeilBeregnet=0,FV26,(Loa/Bredde)^FV$3)</f>
        <v>1.6798161144059256</v>
      </c>
      <c r="FW27" s="107">
        <f>IF(SeilBeregnet=0,FW26,Lwl^FW$3)</f>
        <v>1.876529608701073</v>
      </c>
      <c r="FY27">
        <v>0.95</v>
      </c>
      <c r="FZ27" s="62">
        <f t="shared" si="48"/>
        <v>1.080621286690439</v>
      </c>
      <c r="GA27" s="62">
        <f t="shared" si="49"/>
        <v>2.0304696544257586</v>
      </c>
      <c r="GB27" s="107">
        <f t="shared" si="50"/>
        <v>0.97845703418981089</v>
      </c>
      <c r="GC27" s="440"/>
      <c r="GD27" s="17"/>
      <c r="GE27" s="442"/>
      <c r="GF27" s="462"/>
      <c r="GG27" s="17"/>
      <c r="GH27" s="17"/>
      <c r="GI27" s="17"/>
      <c r="GJ27" s="17"/>
      <c r="GL27" s="17"/>
      <c r="GM27" s="442"/>
      <c r="GN27" s="8"/>
      <c r="GO27" s="8"/>
      <c r="GP27" s="8"/>
      <c r="GQ27" s="8"/>
      <c r="GS27" s="17"/>
      <c r="GT27" s="17"/>
      <c r="GU27" s="17"/>
      <c r="GV27" s="629"/>
      <c r="GW27" s="17"/>
      <c r="GX27" s="17"/>
      <c r="GY27" s="17"/>
      <c r="GZ27" s="17"/>
    </row>
    <row r="28" spans="1:208" ht="15.6" x14ac:dyDescent="0.3">
      <c r="A28" s="52" t="s">
        <v>198</v>
      </c>
      <c r="B28" s="218">
        <f t="shared" ref="B28" si="171">Loa/0.3048</f>
        <v>47.080052493438316</v>
      </c>
      <c r="C28" s="53" t="s">
        <v>19</v>
      </c>
      <c r="D28" s="53"/>
      <c r="E28" s="53"/>
      <c r="F28" s="53"/>
      <c r="G28" s="67" t="s">
        <v>20</v>
      </c>
      <c r="H28" s="112">
        <f>J29</f>
        <v>109.6</v>
      </c>
      <c r="I28" s="601">
        <f>H29/100</f>
        <v>1.0649999999999999</v>
      </c>
      <c r="J28" s="651">
        <f>IF(DC29=0,"-",DC29)</f>
        <v>1.17</v>
      </c>
      <c r="K28" s="123" t="str">
        <f>A28</f>
        <v>RS 14 Stavanger</v>
      </c>
      <c r="L28" s="116"/>
      <c r="M28" s="116"/>
      <c r="N28" s="92"/>
      <c r="O28" s="165"/>
      <c r="P28" s="165"/>
      <c r="Q28" s="165"/>
      <c r="R28" s="165">
        <v>22</v>
      </c>
      <c r="S28" s="165"/>
      <c r="T28" s="165"/>
      <c r="U28" s="165">
        <v>20.2</v>
      </c>
      <c r="V28" s="559"/>
      <c r="W28" s="559"/>
      <c r="X28" s="165">
        <v>43.4</v>
      </c>
      <c r="Y28" s="165"/>
      <c r="Z28" s="165"/>
      <c r="AA28" s="165">
        <v>13</v>
      </c>
      <c r="AB28" s="165"/>
      <c r="AC28" s="165">
        <v>11</v>
      </c>
      <c r="AD28" s="165"/>
      <c r="AE28" s="165"/>
      <c r="AF28" s="165"/>
      <c r="AG28" s="552"/>
      <c r="AH28" s="244">
        <v>6.12</v>
      </c>
      <c r="AI28" s="244">
        <v>10.63</v>
      </c>
      <c r="AJ28" s="554"/>
      <c r="AK28" s="339"/>
      <c r="AL28" s="268"/>
      <c r="AM28" s="339"/>
      <c r="AN28" s="268" t="s">
        <v>233</v>
      </c>
      <c r="AO28" s="45">
        <f>VLOOKUP(AN28,Skrogform!$1:$1048576,3,FALSE)</f>
        <v>0.97</v>
      </c>
      <c r="AP28" s="55">
        <v>14.35</v>
      </c>
      <c r="AQ28" s="55">
        <v>12.5</v>
      </c>
      <c r="AR28" s="55">
        <v>4.6500000000000004</v>
      </c>
      <c r="AS28" s="55">
        <v>2.35</v>
      </c>
      <c r="AT28" s="637">
        <v>31</v>
      </c>
      <c r="AU28" s="55">
        <v>31</v>
      </c>
      <c r="AV28" s="55">
        <v>6.5</v>
      </c>
      <c r="AW28" s="55">
        <v>4.5</v>
      </c>
      <c r="AX28" s="253">
        <v>300</v>
      </c>
      <c r="AY28" s="253">
        <v>85</v>
      </c>
      <c r="AZ28" s="253">
        <v>500</v>
      </c>
      <c r="BA28" s="253">
        <v>200</v>
      </c>
      <c r="BB28" s="253">
        <v>200</v>
      </c>
      <c r="BC28" s="244">
        <f>Depl+Diesel/1000*0.84+Vann/1000</f>
        <v>31.367999999999999</v>
      </c>
      <c r="BD28" s="95">
        <f>Bredde/(Loa+Lwl)*2</f>
        <v>0.34636871508379891</v>
      </c>
      <c r="BE28" s="95">
        <f>(Kjøl+Ballast)/Depl</f>
        <v>0.35483870967741937</v>
      </c>
      <c r="BF28" s="627">
        <f>BF$7*((Depl-Kjøl-Ballast-VektMotor/1000-VektAnnet/1000)/Lwl/Lwl/Bredde)</f>
        <v>0.99725879138461537</v>
      </c>
      <c r="BG28" s="95">
        <f>BG$7*(Depl/Loa/Lwl/Lwl)</f>
        <v>1.0174287413519165</v>
      </c>
      <c r="BH28" s="174">
        <f>BH$7*(Depl/Loa/Lwl/Bredde)</f>
        <v>1.010958606271777</v>
      </c>
      <c r="BI28" s="95">
        <f>BI$7*Bredde/(Loa+Lwl)*2</f>
        <v>0.98808193668528865</v>
      </c>
      <c r="BJ28" s="95">
        <f>BJ$7*(Dypg/Lwl)</f>
        <v>1.0282782608695653</v>
      </c>
      <c r="BK28" s="68" t="s">
        <v>21</v>
      </c>
      <c r="BL28" s="266">
        <v>3</v>
      </c>
      <c r="BM28" s="266">
        <v>65</v>
      </c>
      <c r="BN28" s="45">
        <f>IF((BK28="Fast"),(1.006248-(0.06415*((BM28/100*SQRT(BL28))/POWER(AU28,(1/3))))),1)</f>
        <v>1</v>
      </c>
      <c r="BO28" s="59"/>
      <c r="BP28" s="59"/>
      <c r="BR28" s="209"/>
      <c r="BS28" s="209"/>
      <c r="BT28" s="209" t="str">
        <f>$A28</f>
        <v>RS 14 Stavanger</v>
      </c>
      <c r="BU28" s="10"/>
      <c r="BV28" s="10"/>
      <c r="BW28" s="10"/>
      <c r="BX28" s="10"/>
      <c r="BY28" s="549"/>
      <c r="BZ28" s="10"/>
      <c r="CA28" s="10"/>
      <c r="CB28" s="209" t="str">
        <f>$A28</f>
        <v>RS 14 Stavanger</v>
      </c>
      <c r="CC28" s="10"/>
      <c r="CD28" s="10"/>
      <c r="CE28" s="10"/>
      <c r="CF28" s="10"/>
      <c r="CG28" s="10"/>
      <c r="CH28" s="10"/>
      <c r="CI28" s="10"/>
      <c r="CJ28" s="10"/>
      <c r="CK28" s="10"/>
      <c r="CL28" s="209"/>
      <c r="CM28" s="10"/>
      <c r="CN28" s="209" t="str">
        <f>$A28</f>
        <v>RS 14 Stavanger</v>
      </c>
      <c r="CO28" s="207"/>
      <c r="CP28" s="207"/>
      <c r="CQ28" s="116"/>
      <c r="CR28" s="207"/>
      <c r="CS28" s="203"/>
      <c r="CT28" s="203" t="s">
        <v>23</v>
      </c>
      <c r="CU28" s="107" t="str">
        <f t="shared" si="83"/>
        <v>-</v>
      </c>
      <c r="CV28" s="62" t="str">
        <f t="shared" si="13"/>
        <v>-</v>
      </c>
      <c r="CW28" s="62" t="str">
        <f t="shared" si="84"/>
        <v>-</v>
      </c>
      <c r="CX28" s="62" t="str">
        <f t="shared" si="15"/>
        <v>-</v>
      </c>
      <c r="CY28" s="107" t="str">
        <f t="shared" si="85"/>
        <v>-</v>
      </c>
      <c r="CZ28" s="168"/>
      <c r="DA28" s="158">
        <v>0.87</v>
      </c>
      <c r="DB28" s="168"/>
      <c r="DC28" s="160">
        <v>1.17</v>
      </c>
      <c r="DD28" s="190" t="s">
        <v>134</v>
      </c>
      <c r="DE28" s="29" t="s">
        <v>23</v>
      </c>
      <c r="DF28" s="29" t="s">
        <v>23</v>
      </c>
      <c r="DG28" s="29" t="s">
        <v>23</v>
      </c>
      <c r="DH28" s="149">
        <v>2022</v>
      </c>
      <c r="DI28" s="62" t="str">
        <f t="shared" si="88"/>
        <v>-</v>
      </c>
      <c r="DJ28" s="47">
        <f t="shared" si="89"/>
        <v>12.947658402203857</v>
      </c>
      <c r="DK28" s="48">
        <f>DJ$7*IF(DJ28&lt;DJ$5,-0.04,IF(DJ28&lt;DJ$5*1.1,-0.03,IF(DJ28&lt;DJ$5*1.2,-0.02,IF(DJ28&lt;DJ$5*1.3,-0.01,0))))</f>
        <v>0</v>
      </c>
      <c r="DM28" s="107" t="str">
        <f t="shared" si="25"/>
        <v>-</v>
      </c>
      <c r="DN28" s="141" t="str">
        <f>IF($DY28=0,"-",(DM28-$DW28)*100)</f>
        <v>-</v>
      </c>
      <c r="DO28" s="107" t="e">
        <f>SUM(DP28:DS28)^DO$3+DO$7</f>
        <v>#REF!</v>
      </c>
      <c r="DP28" s="133" t="e">
        <f>IF(SeilBeregnet=0,#REF!,(SeilBeregnet^0.5/(Depl^0.3333))^DP$3*DP$7)</f>
        <v>#REF!</v>
      </c>
      <c r="DQ28" s="133" t="e">
        <f>IF(SeilBeregnet=0,#REF!,(SeilBeregnet^0.5/Lwl)^DQ$3*DQ$7)</f>
        <v>#REF!</v>
      </c>
      <c r="DR28" s="133" t="e">
        <f>IF(SeilBeregnet=0,#REF!,(0.1*Loa/Depl^0.3333)^DR$3*DR$7)</f>
        <v>#REF!</v>
      </c>
      <c r="DS28" s="133" t="e">
        <f>IF(SeilBeregnet=0,#REF!,((Loa)/Bredde)^DS$3*DS$7)</f>
        <v>#REF!</v>
      </c>
      <c r="DT28" s="107" t="e">
        <f>IF(SeilBeregnet=0,#REF!,(Lwl)^DT$3)</f>
        <v>#REF!</v>
      </c>
      <c r="DU28" s="133" t="e">
        <f>IF(SeilBeregnet=0,#REF!,(Dypg/Loa)^DU$3*5*DU$7)</f>
        <v>#REF!</v>
      </c>
      <c r="DW28" s="107" t="str">
        <f t="shared" si="125"/>
        <v>-</v>
      </c>
      <c r="DX28" s="107" t="str">
        <f t="shared" si="93"/>
        <v>-</v>
      </c>
      <c r="DZ28" s="107" t="str">
        <f t="shared" si="94"/>
        <v>-</v>
      </c>
      <c r="EB28" s="107" t="str">
        <f>IF(SeilBeregnet=0,"-",EB$7*(EB$4*ED28*EE28*EF28*PropF+EB$6)+ErfaringsF+Dyp_F)</f>
        <v>-</v>
      </c>
      <c r="ED28" s="107">
        <f>IF(SeilBeregnet=0,ED19,SeilBeregnet^0.5/Depl^0.33333)</f>
        <v>2.6497014303858486</v>
      </c>
      <c r="EE28" s="107">
        <f>IF(SeilBeregnet=0,EE19,Lwl^0.3333)</f>
        <v>2.3583450504696262</v>
      </c>
      <c r="EF28" s="107">
        <f>IF(SeilBeregnet=0,EF19,((Loa+Lwl)/Bredde)^EF$3)</f>
        <v>1.6253987357541337</v>
      </c>
      <c r="EH28" s="107" t="str">
        <f>IF(SeilBeregnet=0,"-",EH$7*(EH$4*EJ28*EK28*EL28*PropF+EH$6)+ErfaringsF+Dyp_F)</f>
        <v>-</v>
      </c>
      <c r="EJ28" s="107">
        <f>IF(SeilBeregnet=0,EJ19,SeilBeregnet^0.5/Depl^0.33333)</f>
        <v>2.6497014303858486</v>
      </c>
      <c r="EK28" s="107">
        <f>IF(SeilBeregnet=0,EK19,Lwl^EK$3)</f>
        <v>2.3585271786549109</v>
      </c>
      <c r="EL28" s="107">
        <f>IF(SeilBeregnet=0,EL19,((Loa+Lwl)/Bredde)^EL$3)</f>
        <v>1.9109607287698072</v>
      </c>
      <c r="EM28" s="107" t="str">
        <f>IF(SeilBeregnet=0,"-",EM$7*(EM$4*EO28+EM$6)*ER28*PropF+ErfaringsF+Dyp_F)</f>
        <v>-</v>
      </c>
      <c r="EO28" s="107">
        <f>IF(SeilBeregnet=0,EO19,(EP28*EQ28)^EO$3)</f>
        <v>4.306821355075078</v>
      </c>
      <c r="EP28" s="107">
        <f>IF(SeilBeregnet=0,EP19,SeilBeregnet^0.5/Depl^0.33333)</f>
        <v>2.6497014303858486</v>
      </c>
      <c r="EQ28" s="107">
        <f>IF(SeilBeregnet=0,EQ19,((Loa+Lwl)/Bredde)^EQ$3)</f>
        <v>1.6253987357541337</v>
      </c>
      <c r="ER28" s="107">
        <f>IF(SeilBeregnet=0,ER19,Lwl^ER$3)</f>
        <v>1.9031957480130537</v>
      </c>
      <c r="ES28" s="107" t="str">
        <f t="shared" si="26"/>
        <v>-</v>
      </c>
      <c r="EU28" s="107">
        <f>IF(SeilBeregnet=0,EU19,(EV:EV*EW:EW)^EU$3)</f>
        <v>1.6588591881307491</v>
      </c>
      <c r="EV28" s="107">
        <f>IF(SeilBeregnet=0,EV19,SeilBeregnet^0.5/Depl^0.33333)</f>
        <v>2.6497014303858486</v>
      </c>
      <c r="EW28" s="107">
        <f>IF(SeilBeregnet=0,EW19,((Loa+Lwl)/Bredde/6)^EW$3)</f>
        <v>1.038537313860713</v>
      </c>
      <c r="EX28" s="107">
        <f>IF(SeilBeregnet=0,EX19,(Lwl*0.7+Loa*0.3)^EX$3)</f>
        <v>1.9175033970197257</v>
      </c>
      <c r="EY28" s="107" t="str">
        <f t="shared" si="27"/>
        <v>-</v>
      </c>
      <c r="FA28" s="107">
        <f t="shared" si="20"/>
        <v>1.6589458136990867</v>
      </c>
      <c r="FB28" s="107">
        <f>IF(SeilBeregnet=0,FB19,SeilBeregnet^0.5/Depl^0.3333)</f>
        <v>2.6499781722419966</v>
      </c>
      <c r="FC28" s="107">
        <f>IF(SeilBeregnet=0,FC19,((Loa+Lwl)/Bredde/6)^FC$3)</f>
        <v>1.038537313860713</v>
      </c>
      <c r="FD28" s="107">
        <f>IF(SeilBeregnet=0,FD19,(Lwl*0.7+Loa*0.3)^FD$3)</f>
        <v>1.9175033970197257</v>
      </c>
      <c r="FE28" s="107" t="str">
        <f t="shared" si="28"/>
        <v>-</v>
      </c>
      <c r="FF28" s="141" t="str">
        <f>IF($DY28=0,"-",(FE28-$DW28)*100)</f>
        <v>-</v>
      </c>
      <c r="FG28" s="107">
        <f t="shared" si="21"/>
        <v>2.8581598010034517</v>
      </c>
      <c r="FH28" s="133">
        <f>IF(SeilBeregnet=0,FH19,(SeilBeregnet^0.5/(Depl^0.3333))^FH$3)</f>
        <v>2.6499781722419966</v>
      </c>
      <c r="FI28" s="133">
        <f>IF(SeilBeregnet=0,FI19,((Loa+Lwl)/Bredde/6)^FI$3)</f>
        <v>1.0785597522810251</v>
      </c>
      <c r="FJ28" s="107">
        <f>IF(SeilBeregnet=0,FJ19,(Lwl*0.07+Loa*0.03)^FJ$3)</f>
        <v>1.0782914013370686</v>
      </c>
      <c r="FK28" s="107" t="str">
        <f t="shared" si="29"/>
        <v>-</v>
      </c>
      <c r="FL28" s="141" t="str">
        <f>IF($DY28=0,"-",(FK28-$DW28)*100)</f>
        <v>-</v>
      </c>
      <c r="FM28" s="107">
        <f t="shared" si="22"/>
        <v>4.7071220598104357</v>
      </c>
      <c r="FN28" s="133">
        <f>IF(SeilBeregnet=0,FN19,(SeilBeregnet^0.5/(Depl^0.3333))^FN$3)</f>
        <v>2.6499781722419966</v>
      </c>
      <c r="FO28" s="133">
        <f>IF(SeilBeregnet=0,FO19,(SeilBeregnet^0.5/Lwl*FO$7)^FO$3)</f>
        <v>0.6444944559941983</v>
      </c>
      <c r="FP28" s="133">
        <f>IF(SeilBeregnet=0,FP19,((Loa)/Bredde)^FP$3*FP$7)</f>
        <v>1.9126494315742406</v>
      </c>
      <c r="FQ28" s="107">
        <f>IF(SeilBeregnet=0,FQ19,(Lwl)^FQ$3)</f>
        <v>1.9031957480130537</v>
      </c>
      <c r="FR28" s="107" t="str">
        <f t="shared" si="30"/>
        <v>-</v>
      </c>
      <c r="FS28" s="141" t="str">
        <f>IF($DY28=0,"-",(FR28-$DW28)*100)</f>
        <v>-</v>
      </c>
      <c r="FT28" s="107">
        <f t="shared" si="23"/>
        <v>5.0684792448228002</v>
      </c>
      <c r="FU28" s="133">
        <f>IF(SeilBeregnet=0,FU19,(SeilBeregnet^0.5/(Depl^0.3333))^FU$3)</f>
        <v>2.6499781722419966</v>
      </c>
      <c r="FV28" s="133">
        <f>IF(SeilBeregnet=0,FV19,(Loa/Bredde)^FV$3)</f>
        <v>1.9126494315742406</v>
      </c>
      <c r="FW28" s="107">
        <f>IF(SeilBeregnet=0,FW19,Lwl^FW$3)</f>
        <v>1.9031957480130537</v>
      </c>
      <c r="FY28">
        <v>0.95</v>
      </c>
      <c r="FZ28" s="62" t="str">
        <f t="shared" si="48"/>
        <v>-</v>
      </c>
      <c r="GA28" s="62">
        <f t="shared" si="49"/>
        <v>2.0233824786856944</v>
      </c>
      <c r="GB28" s="107" t="str">
        <f t="shared" si="50"/>
        <v>-</v>
      </c>
      <c r="GC28" s="441"/>
      <c r="GD28" s="57"/>
      <c r="GE28" s="436"/>
      <c r="GF28" s="75"/>
      <c r="GG28" s="57"/>
      <c r="GH28" s="57"/>
      <c r="GI28" s="57"/>
      <c r="GJ28" s="57"/>
      <c r="GL28" s="57" t="s">
        <v>478</v>
      </c>
      <c r="GM28" s="436" t="s">
        <v>478</v>
      </c>
      <c r="GN28" s="58" t="s">
        <v>478</v>
      </c>
      <c r="GO28" s="58" t="s">
        <v>478</v>
      </c>
      <c r="GP28" s="58" t="s">
        <v>478</v>
      </c>
      <c r="GQ28" s="58" t="s">
        <v>478</v>
      </c>
      <c r="GS28" s="57" t="s">
        <v>470</v>
      </c>
      <c r="GT28" s="57" t="s">
        <v>928</v>
      </c>
      <c r="GU28" s="57" t="s">
        <v>465</v>
      </c>
      <c r="GV28" s="632" t="s">
        <v>465</v>
      </c>
      <c r="GW28" s="57">
        <v>1901</v>
      </c>
      <c r="GX28" s="57"/>
      <c r="GY28" s="57"/>
      <c r="GZ28" s="57"/>
    </row>
    <row r="29" spans="1:208" ht="15.6" x14ac:dyDescent="0.3">
      <c r="A29" s="60" t="s">
        <v>24</v>
      </c>
      <c r="B29" s="218"/>
      <c r="C29" s="61" t="str">
        <f>C28</f>
        <v>Gaffel</v>
      </c>
      <c r="D29" s="61"/>
      <c r="E29" s="61"/>
      <c r="F29" s="61"/>
      <c r="G29" s="54"/>
      <c r="H29" s="204">
        <f>TBFavrundet</f>
        <v>106.5</v>
      </c>
      <c r="I29" s="63">
        <f>COUNTA(O29:AG29)</f>
        <v>5</v>
      </c>
      <c r="J29" s="222">
        <f>SUM(O29:AG29)</f>
        <v>109.6</v>
      </c>
      <c r="K29" s="116">
        <f>Seilareal/Depl^0.667/K$7</f>
        <v>1.0280822778859717</v>
      </c>
      <c r="L29" s="116">
        <f>Seilareal/Lwl/Lwl/L$7</f>
        <v>1.0643084296836047</v>
      </c>
      <c r="M29" s="92">
        <f>RiggF</f>
        <v>0.71733576642335761</v>
      </c>
      <c r="N29" s="242">
        <f>StHfaktor</f>
        <v>0.97994771920133639</v>
      </c>
      <c r="O29" s="143"/>
      <c r="P29" s="143"/>
      <c r="Q29" s="143"/>
      <c r="R29" s="557">
        <f t="shared" ref="R29" si="172">R28</f>
        <v>22</v>
      </c>
      <c r="S29" s="143"/>
      <c r="T29" s="143"/>
      <c r="U29" s="557">
        <f t="shared" ref="U29" si="173">U28</f>
        <v>20.2</v>
      </c>
      <c r="V29" s="559"/>
      <c r="W29" s="559"/>
      <c r="X29" s="557">
        <f t="shared" ref="X29" si="174">X28</f>
        <v>43.4</v>
      </c>
      <c r="Y29" s="143"/>
      <c r="Z29" s="143"/>
      <c r="AA29" s="557">
        <f t="shared" ref="AA29:AC29" si="175">AA28</f>
        <v>13</v>
      </c>
      <c r="AB29" s="143"/>
      <c r="AC29" s="557">
        <f t="shared" si="175"/>
        <v>11</v>
      </c>
      <c r="AD29" s="143"/>
      <c r="AE29" s="143"/>
      <c r="AF29" s="143"/>
      <c r="AG29" s="551"/>
      <c r="AH29" s="557">
        <f t="shared" ref="AH29:AI29" si="176">AH28</f>
        <v>6.12</v>
      </c>
      <c r="AI29" s="557">
        <f t="shared" si="176"/>
        <v>10.63</v>
      </c>
      <c r="AJ29" s="337">
        <f t="shared" ref="AJ29:AL29" si="177" xml:space="preserve"> AJ28</f>
        <v>0</v>
      </c>
      <c r="AK29" s="339"/>
      <c r="AL29" s="337">
        <f t="shared" si="177"/>
        <v>0</v>
      </c>
      <c r="AM29" s="339"/>
      <c r="AN29" s="267" t="str">
        <f t="shared" ref="AN29" si="178" xml:space="preserve"> AN28</f>
        <v>RS</v>
      </c>
      <c r="AO29" s="45">
        <f>VLOOKUP(AN29,Skrogform!$1:$1048576,3,FALSE)</f>
        <v>0.97</v>
      </c>
      <c r="AP29" s="64">
        <f t="shared" ref="AP29:AZ29" si="179">AP28</f>
        <v>14.35</v>
      </c>
      <c r="AQ29" s="64">
        <f t="shared" si="179"/>
        <v>12.5</v>
      </c>
      <c r="AR29" s="64">
        <f t="shared" si="179"/>
        <v>4.6500000000000004</v>
      </c>
      <c r="AS29" s="64">
        <f t="shared" si="179"/>
        <v>2.35</v>
      </c>
      <c r="AT29" s="64"/>
      <c r="AU29" s="64">
        <f t="shared" si="179"/>
        <v>31</v>
      </c>
      <c r="AV29" s="64">
        <f t="shared" si="179"/>
        <v>6.5</v>
      </c>
      <c r="AW29" s="64">
        <f t="shared" si="179"/>
        <v>4.5</v>
      </c>
      <c r="AX29" s="256">
        <f>AX28</f>
        <v>300</v>
      </c>
      <c r="AY29" s="256">
        <f t="shared" si="179"/>
        <v>85</v>
      </c>
      <c r="AZ29" s="256">
        <f t="shared" si="179"/>
        <v>500</v>
      </c>
      <c r="BA29" s="256">
        <f t="shared" ref="BA29:BB29" si="180">BA28</f>
        <v>200</v>
      </c>
      <c r="BB29" s="256">
        <f t="shared" si="180"/>
        <v>200</v>
      </c>
      <c r="BC29" s="256"/>
      <c r="BD29" s="66"/>
      <c r="BE29" s="66"/>
      <c r="BF29" s="261"/>
      <c r="BG29" s="66"/>
      <c r="BH29" s="175"/>
      <c r="BI29" s="66"/>
      <c r="BJ29" s="66"/>
      <c r="BK29" s="65" t="str">
        <f t="shared" ref="BK29:BM29" si="181" xml:space="preserve"> BK28</f>
        <v>Seilrett</v>
      </c>
      <c r="BL29" s="267">
        <f t="shared" si="181"/>
        <v>3</v>
      </c>
      <c r="BM29" s="267">
        <f t="shared" si="181"/>
        <v>65</v>
      </c>
      <c r="BN29" s="45">
        <f>IF((BK29="Fast"),(1.006248-(0.06415*((BM29/100*SQRT(BL29))/POWER(AU29,(1/3))))),1)</f>
        <v>1</v>
      </c>
      <c r="BO29" s="59"/>
      <c r="BP29" s="59"/>
      <c r="BR29" s="49">
        <f t="shared" ref="BR29:BX30" si="182">IF(O29=0,0,O29*BR$9)</f>
        <v>0</v>
      </c>
      <c r="BS29" s="49">
        <f t="shared" si="182"/>
        <v>0</v>
      </c>
      <c r="BT29" s="49">
        <f t="shared" si="182"/>
        <v>0</v>
      </c>
      <c r="BU29" s="49">
        <f t="shared" si="182"/>
        <v>22</v>
      </c>
      <c r="BV29" s="49">
        <f t="shared" si="182"/>
        <v>0</v>
      </c>
      <c r="BW29" s="49">
        <f t="shared" si="182"/>
        <v>0</v>
      </c>
      <c r="BX29" s="49">
        <f t="shared" si="182"/>
        <v>20.2</v>
      </c>
      <c r="BY29" s="549">
        <f>IF(COUNT(Q29:U29)&gt;1,MINA(Q29:U29)*BY$9,0)</f>
        <v>-10.1</v>
      </c>
      <c r="BZ29" s="85">
        <f t="shared" ref="BZ29:CD30" si="183">IF(V29=0,0,V29*BZ$9)</f>
        <v>0</v>
      </c>
      <c r="CA29" s="85">
        <f t="shared" si="183"/>
        <v>0</v>
      </c>
      <c r="CB29" s="85">
        <f t="shared" si="183"/>
        <v>34.72</v>
      </c>
      <c r="CC29" s="85">
        <f t="shared" si="183"/>
        <v>0</v>
      </c>
      <c r="CD29" s="85">
        <f t="shared" si="183"/>
        <v>0</v>
      </c>
      <c r="CE29" s="85">
        <f>IF(AC29=0,0,AC29*CE$9)</f>
        <v>6.6</v>
      </c>
      <c r="CF29" s="85">
        <f>IF(AA29=0,0,AA29*CF$9)</f>
        <v>5.2</v>
      </c>
      <c r="CG29" s="85">
        <f>IF(AB29=0,0,AB29*CG$9)</f>
        <v>0</v>
      </c>
      <c r="CH29" s="85">
        <f t="shared" ref="CH29:CK30" si="184">IF(AD29=0,0,AD29*CH$9)</f>
        <v>0</v>
      </c>
      <c r="CI29" s="85">
        <f t="shared" si="184"/>
        <v>0</v>
      </c>
      <c r="CJ29" s="85">
        <f t="shared" si="184"/>
        <v>0</v>
      </c>
      <c r="CK29" s="85">
        <f t="shared" si="184"/>
        <v>0</v>
      </c>
      <c r="CL29" s="100">
        <f>SUM(BR29:CK29)</f>
        <v>78.61999999999999</v>
      </c>
      <c r="CM29" s="50"/>
      <c r="CN29" s="104">
        <f>J29</f>
        <v>109.6</v>
      </c>
      <c r="CO29" s="101">
        <f>CL29/CN29</f>
        <v>0.71733576642335761</v>
      </c>
      <c r="CP29" s="51">
        <f>Seilareal/Lwl/Lwl</f>
        <v>0.70143999999999995</v>
      </c>
      <c r="CQ29" s="116">
        <f>Seilareal/Depl^0.667/K$7</f>
        <v>1.0280822778859717</v>
      </c>
      <c r="CR29" s="51">
        <f>Seilareal/Lwl/Lwl/SApRS1</f>
        <v>1.0643084296836047</v>
      </c>
      <c r="CS29" s="204"/>
      <c r="CT29" s="204">
        <f>(ROUND(TBF/CT$6,3)*CT$6)*CT$4</f>
        <v>106.5</v>
      </c>
      <c r="CU29" s="107">
        <f t="shared" si="83"/>
        <v>1.0669209300055758</v>
      </c>
      <c r="CV29" s="62">
        <f t="shared" si="13"/>
        <v>2.7492890575898365</v>
      </c>
      <c r="CW29" s="62">
        <f t="shared" si="84"/>
        <v>1.6991458954997209</v>
      </c>
      <c r="CX29" s="62">
        <f t="shared" si="15"/>
        <v>1.8803015465431969</v>
      </c>
      <c r="CY29" s="107">
        <f t="shared" si="85"/>
        <v>0.97994771920133639</v>
      </c>
      <c r="CZ29" s="168">
        <f>IF(DA29=0,"-",IF(CP29="TBF","-",CZ$7*DA29))</f>
        <v>1.0849411764705883</v>
      </c>
      <c r="DA29" s="159">
        <f>DA28</f>
        <v>0.87</v>
      </c>
      <c r="DB29" s="168">
        <f>IF(DC29=0,"-",IF(CT29="TBF","-",DB$7*DC29))</f>
        <v>1.0878947368421052</v>
      </c>
      <c r="DC29" s="159">
        <f>DC28</f>
        <v>1.17</v>
      </c>
      <c r="DD29" s="190" t="s">
        <v>134</v>
      </c>
      <c r="DE29" s="62">
        <v>0.88</v>
      </c>
      <c r="DF29" s="62">
        <v>0.87</v>
      </c>
      <c r="DG29" s="62">
        <v>0.88</v>
      </c>
      <c r="DH29" s="150">
        <v>0.91</v>
      </c>
      <c r="DI29" s="62">
        <f t="shared" si="88"/>
        <v>2.0797175079376866</v>
      </c>
      <c r="DJ29" s="47">
        <f t="shared" si="89"/>
        <v>12.947658402203857</v>
      </c>
      <c r="DK29" s="48">
        <f>DJ$7*IF(DJ29&lt;DJ$5,-0.04,IF(DJ29&lt;DJ$5*1.1,-0.03,IF(DJ29&lt;DJ$5*1.2,-0.02,IF(DJ29&lt;DJ$5*1.3,-0.01,0))))</f>
        <v>0</v>
      </c>
      <c r="DM29" s="107">
        <f t="shared" si="25"/>
        <v>1.0677696204920084</v>
      </c>
      <c r="DN29" s="141">
        <f>IF($DY29=0,"-",(DM29-$DW29)*100)</f>
        <v>7.0177683391370316E-2</v>
      </c>
      <c r="DO29" s="107">
        <f>SUM(DP29:DS29)^DO$3+DO$7</f>
        <v>4.5796087028589962</v>
      </c>
      <c r="DP29" s="133">
        <f>IF(SeilBeregnet=0,DP28,(SeilBeregnet^0.5/(Depl^0.3333))^DP$3*DP$7)</f>
        <v>2.8229011274850113</v>
      </c>
      <c r="DQ29" s="133">
        <f>IF(SeilBeregnet=0,DQ28,(SeilBeregnet^0.5/Lwl)^DQ$3*DQ$7)</f>
        <v>0</v>
      </c>
      <c r="DR29" s="133">
        <f>IF(SeilBeregnet=0,DR28,(0.1*Loa/Depl^0.3333)^DR$3*DR$7)</f>
        <v>0</v>
      </c>
      <c r="DS29" s="133">
        <f>IF(SeilBeregnet=0,DS28,((Loa)/Bredde)^DS$3*DS$7)</f>
        <v>1.7567075753739845</v>
      </c>
      <c r="DT29" s="107">
        <f>IF(SeilBeregnet=0,DT28,(Lwl)^DT$3)</f>
        <v>1.8803015465431969</v>
      </c>
      <c r="DU29" s="133">
        <f>IF(SeilBeregnet=0,DU28,(Dypg/Loa)^DU$3*5*DU$7)</f>
        <v>2.0233824786856944</v>
      </c>
      <c r="DW29" s="107">
        <f t="shared" si="125"/>
        <v>1.0670678436580947</v>
      </c>
      <c r="DX29" s="107">
        <f t="shared" si="93"/>
        <v>1.0781536465467807</v>
      </c>
      <c r="DY29" s="122">
        <f>DX29-DW29</f>
        <v>1.1085802888685992E-2</v>
      </c>
      <c r="DZ29" s="107">
        <f t="shared" si="94"/>
        <v>1.0738907584071302</v>
      </c>
      <c r="EA29" s="122">
        <f>IF($DY29=0,"-",DZ29-$DW29)</f>
        <v>6.8229147490355135E-3</v>
      </c>
      <c r="EB29" s="107">
        <f>IF(SeilBeregnet=0,"-",EB$7*(EB$4*ED29*EE29*EF29*PropF+EB$6)+ErfaringsF+Dyp_F)</f>
        <v>1.0692964706090862</v>
      </c>
      <c r="EC29" s="122">
        <f>IF($DY29=0,"-",EB29-$DW29)</f>
        <v>2.2286269509914636E-3</v>
      </c>
      <c r="ED29" s="107">
        <f>IF(SeilBeregnet=0,ED28,SeilBeregnet^0.5/Depl^0.33333)</f>
        <v>2.8226103282737403</v>
      </c>
      <c r="EE29" s="107">
        <f>IF(SeilBeregnet=0,EE28,Lwl^0.3333)</f>
        <v>2.3205990351333203</v>
      </c>
      <c r="EF29" s="107">
        <f>IF(SeilBeregnet=0,EF28,((Loa+Lwl)/Bredde)^EF$3)</f>
        <v>1.550146822035346</v>
      </c>
      <c r="EH29" s="107">
        <f>IF(SeilBeregnet=0,"-",EH$7*(EH$4*EJ29*EK29*EL29*PropF+EH$6)+ErfaringsF+Dyp_F)</f>
        <v>1.0690321782942576</v>
      </c>
      <c r="EJ29" s="107">
        <f>IF(SeilBeregnet=0,EJ28,SeilBeregnet^0.5/Depl^0.33333)</f>
        <v>2.8226103282737403</v>
      </c>
      <c r="EK29" s="107">
        <f>IF(SeilBeregnet=0,EK28,Lwl^EK$3)</f>
        <v>2.3207748778988528</v>
      </c>
      <c r="EL29" s="107">
        <f>IF(SeilBeregnet=0,EL28,((Loa+Lwl)/Bredde)^EL$3)</f>
        <v>1.7939282238461092</v>
      </c>
      <c r="EM29" s="107">
        <f>IF(SeilBeregnet=0,"-",EM$7*(EM$4*EO29+EM$6)*ER29*PropF+ErfaringsF+Dyp_F)</f>
        <v>1.0684856555936839</v>
      </c>
      <c r="EO29" s="107">
        <f>IF(SeilBeregnet=0,EO28,(EP29*EQ29)^EO$3)</f>
        <v>4.3754604302176832</v>
      </c>
      <c r="EP29" s="107">
        <f>IF(SeilBeregnet=0,EP28,SeilBeregnet^0.5/Depl^0.33333)</f>
        <v>2.8226103282737403</v>
      </c>
      <c r="EQ29" s="107">
        <f>IF(SeilBeregnet=0,EQ28,((Loa+Lwl)/Bredde)^EQ$3)</f>
        <v>1.550146822035346</v>
      </c>
      <c r="ER29" s="107">
        <f>IF(SeilBeregnet=0,ER28,Lwl^ER$3)</f>
        <v>1.8803015465431969</v>
      </c>
      <c r="ES29" s="107">
        <f t="shared" si="26"/>
        <v>1.0719497914035234</v>
      </c>
      <c r="EU29" s="107">
        <f>IF(SeilBeregnet=0,EU28,(EV:EV*EW:EW)^EU$3)</f>
        <v>1.6720257981831554</v>
      </c>
      <c r="EV29" s="107">
        <f>IF(SeilBeregnet=0,EV28,SeilBeregnet^0.5/Depl^0.33333)</f>
        <v>2.8226103282737403</v>
      </c>
      <c r="EW29" s="107">
        <f>IF(SeilBeregnet=0,EW28,((Loa+Lwl)/Bredde/6)^EW$3)</f>
        <v>0.99045562250875818</v>
      </c>
      <c r="EX29" s="107">
        <f>IF(SeilBeregnet=0,EX28,(Lwl*0.7+Loa*0.3)^EX$3)</f>
        <v>1.9008341203345265</v>
      </c>
      <c r="EY29" s="107">
        <f t="shared" si="27"/>
        <v>1.0687442304840173</v>
      </c>
      <c r="FA29" s="107">
        <f t="shared" si="20"/>
        <v>1.6721119261293014</v>
      </c>
      <c r="FB29" s="107">
        <f>IF(SeilBeregnet=0,FB28,SeilBeregnet^0.5/Depl^0.3333)</f>
        <v>2.8229011274850113</v>
      </c>
      <c r="FC29" s="107">
        <f>IF(SeilBeregnet=0,FC28,((Loa+Lwl)/Bredde/6)^FC$3)</f>
        <v>0.99045562250875818</v>
      </c>
      <c r="FD29" s="107">
        <f>IF(SeilBeregnet=0,FD28,(Lwl*0.7+Loa*0.3)^FD$3)</f>
        <v>1.9008341203345265</v>
      </c>
      <c r="FE29" s="107">
        <f t="shared" si="28"/>
        <v>1.0705714593594582</v>
      </c>
      <c r="FF29" s="141">
        <f>IF($DY29=0,"-",(FE29-$DW29)*100)</f>
        <v>0.35036157013634828</v>
      </c>
      <c r="FG29" s="107">
        <f t="shared" si="21"/>
        <v>2.7692726121008731</v>
      </c>
      <c r="FH29" s="133">
        <f>IF(SeilBeregnet=0,FH28,(SeilBeregnet^0.5/(Depl^0.3333))^FH$3)</f>
        <v>2.8229011274850113</v>
      </c>
      <c r="FI29" s="133">
        <f>IF(SeilBeregnet=0,FI28,((Loa+Lwl)/Bredde/6)^FI$3)</f>
        <v>0.98100234015921162</v>
      </c>
      <c r="FJ29" s="107">
        <f>IF(SeilBeregnet=0,FJ28,(Lwl*0.07+Loa*0.03)^FJ$3)</f>
        <v>1.0689175781959492</v>
      </c>
      <c r="FK29" s="107">
        <f t="shared" si="29"/>
        <v>1.0715562020689273</v>
      </c>
      <c r="FL29" s="141">
        <f>IF($DY29=0,"-",(FK29-$DW29)*100)</f>
        <v>0.44883584108326158</v>
      </c>
      <c r="FM29" s="107">
        <f t="shared" si="22"/>
        <v>4.7889520611841441</v>
      </c>
      <c r="FN29" s="133">
        <f>IF(SeilBeregnet=0,FN28,(SeilBeregnet^0.5/(Depl^0.3333))^FN$3)</f>
        <v>2.8229011274850113</v>
      </c>
      <c r="FO29" s="133">
        <f>IF(SeilBeregnet=0,FO28,(SeilBeregnet^0.5/Lwl*FO$7)^FO$3)</f>
        <v>0.7093433583251485</v>
      </c>
      <c r="FP29" s="133">
        <f>IF(SeilBeregnet=0,FP28,((Loa)/Bredde)^FP$3*FP$7)</f>
        <v>1.7567075753739845</v>
      </c>
      <c r="FQ29" s="107">
        <f>IF(SeilBeregnet=0,FQ28,(Lwl)^FQ$3)</f>
        <v>1.8803015465431969</v>
      </c>
      <c r="FR29" s="107">
        <f t="shared" si="30"/>
        <v>1.0781211989750079</v>
      </c>
      <c r="FS29" s="141">
        <f>IF($DY29=0,"-",(FR29-$DW29)*100)</f>
        <v>1.1053355316913205</v>
      </c>
      <c r="FT29" s="107">
        <f t="shared" si="23"/>
        <v>4.959011795184681</v>
      </c>
      <c r="FU29" s="133">
        <f>IF(SeilBeregnet=0,FU28,(SeilBeregnet^0.5/(Depl^0.3333))^FU$3)</f>
        <v>2.8229011274850113</v>
      </c>
      <c r="FV29" s="133">
        <f>IF(SeilBeregnet=0,FV28,(Loa/Bredde)^FV$3)</f>
        <v>1.7567075753739845</v>
      </c>
      <c r="FW29" s="107">
        <f>IF(SeilBeregnet=0,FW28,Lwl^FW$3)</f>
        <v>1.8803015465431969</v>
      </c>
      <c r="FY29">
        <v>0.95</v>
      </c>
      <c r="FZ29" s="62">
        <f t="shared" si="48"/>
        <v>1.1031255938334064</v>
      </c>
      <c r="GA29" s="62">
        <f t="shared" si="49"/>
        <v>2.0233824786856944</v>
      </c>
      <c r="GB29" s="107">
        <f t="shared" si="50"/>
        <v>1.0585579952062203</v>
      </c>
      <c r="GC29" s="440"/>
      <c r="GD29" s="17"/>
      <c r="GE29" s="442"/>
      <c r="GF29" s="462"/>
      <c r="GG29" s="17"/>
      <c r="GH29" s="17"/>
      <c r="GI29" s="17"/>
      <c r="GJ29" s="17"/>
      <c r="GL29" s="17"/>
      <c r="GM29" s="442"/>
      <c r="GN29" s="8"/>
      <c r="GO29" s="8"/>
      <c r="GP29" s="8"/>
      <c r="GQ29" s="8"/>
      <c r="GS29" s="17"/>
      <c r="GT29" s="17"/>
      <c r="GU29" s="17"/>
      <c r="GV29" s="629"/>
      <c r="GW29" s="17"/>
      <c r="GX29" s="17"/>
      <c r="GY29" s="17"/>
      <c r="GZ29" s="17"/>
    </row>
    <row r="30" spans="1:208" ht="15.6" x14ac:dyDescent="0.3">
      <c r="A30" s="60" t="s">
        <v>25</v>
      </c>
      <c r="B30" s="218"/>
      <c r="C30" s="14" t="str">
        <f>C28</f>
        <v>Gaffel</v>
      </c>
      <c r="G30" s="54"/>
      <c r="H30" s="204">
        <f>TBFavrundet</f>
        <v>104.5</v>
      </c>
      <c r="I30" s="63">
        <f>COUNTA(O30:AG30)</f>
        <v>4</v>
      </c>
      <c r="J30" s="222">
        <f>SUM(O30:AG30)</f>
        <v>96.6</v>
      </c>
      <c r="K30" s="116">
        <f>Seilareal/Depl^0.667/K$7</f>
        <v>0.90613821207832923</v>
      </c>
      <c r="L30" s="116">
        <f>Seilareal/Lwl/Lwl/L$7</f>
        <v>0.93806746630872473</v>
      </c>
      <c r="M30" s="92">
        <f>RiggF</f>
        <v>0.76004140786749474</v>
      </c>
      <c r="N30" s="242">
        <f>StHfaktor</f>
        <v>0.97994771920133639</v>
      </c>
      <c r="O30" s="143"/>
      <c r="P30" s="143"/>
      <c r="Q30" s="143"/>
      <c r="R30" s="557">
        <f t="shared" ref="R30" si="185">R29</f>
        <v>22</v>
      </c>
      <c r="S30" s="143"/>
      <c r="T30" s="143"/>
      <c r="U30" s="557">
        <f t="shared" ref="U30" si="186">U29</f>
        <v>20.2</v>
      </c>
      <c r="V30" s="559"/>
      <c r="W30" s="559"/>
      <c r="X30" s="557">
        <f t="shared" ref="X30" si="187">X29</f>
        <v>43.4</v>
      </c>
      <c r="Y30" s="143"/>
      <c r="Z30" s="143"/>
      <c r="AA30" s="143"/>
      <c r="AB30" s="143"/>
      <c r="AC30" s="557">
        <f t="shared" ref="AC30" si="188">AC29</f>
        <v>11</v>
      </c>
      <c r="AD30" s="143"/>
      <c r="AE30" s="143"/>
      <c r="AF30" s="143"/>
      <c r="AG30" s="551"/>
      <c r="AH30" s="557">
        <f t="shared" ref="AH30:AI30" si="189">AH29</f>
        <v>6.12</v>
      </c>
      <c r="AI30" s="557">
        <f t="shared" si="189"/>
        <v>10.63</v>
      </c>
      <c r="AJ30" s="337">
        <f t="shared" ref="AJ30:AL30" si="190" xml:space="preserve"> AJ29</f>
        <v>0</v>
      </c>
      <c r="AK30" s="339"/>
      <c r="AL30" s="337">
        <f t="shared" si="190"/>
        <v>0</v>
      </c>
      <c r="AM30" s="339"/>
      <c r="AN30" s="267" t="str">
        <f t="shared" ref="AN30" si="191" xml:space="preserve"> AN29</f>
        <v>RS</v>
      </c>
      <c r="AO30" s="45">
        <f>VLOOKUP(AN30,Skrogform!$1:$1048576,3,FALSE)</f>
        <v>0.97</v>
      </c>
      <c r="AP30" s="64">
        <f t="shared" ref="AP30:AZ30" si="192">AP29</f>
        <v>14.35</v>
      </c>
      <c r="AQ30" s="64">
        <f t="shared" si="192"/>
        <v>12.5</v>
      </c>
      <c r="AR30" s="64">
        <f t="shared" si="192"/>
        <v>4.6500000000000004</v>
      </c>
      <c r="AS30" s="64">
        <f t="shared" si="192"/>
        <v>2.35</v>
      </c>
      <c r="AT30" s="64"/>
      <c r="AU30" s="64">
        <f t="shared" si="192"/>
        <v>31</v>
      </c>
      <c r="AV30" s="64">
        <f t="shared" si="192"/>
        <v>6.5</v>
      </c>
      <c r="AW30" s="64">
        <f t="shared" si="192"/>
        <v>4.5</v>
      </c>
      <c r="AX30" s="256">
        <f>AX29</f>
        <v>300</v>
      </c>
      <c r="AY30" s="256">
        <f t="shared" si="192"/>
        <v>85</v>
      </c>
      <c r="AZ30" s="256">
        <f t="shared" si="192"/>
        <v>500</v>
      </c>
      <c r="BA30" s="256">
        <f t="shared" ref="BA30:BB30" si="193">BA29</f>
        <v>200</v>
      </c>
      <c r="BB30" s="256">
        <f t="shared" si="193"/>
        <v>200</v>
      </c>
      <c r="BC30" s="256"/>
      <c r="BD30" s="66"/>
      <c r="BE30" s="66"/>
      <c r="BF30" s="261"/>
      <c r="BG30" s="66"/>
      <c r="BH30" s="175"/>
      <c r="BI30" s="66"/>
      <c r="BJ30" s="66"/>
      <c r="BK30" s="65" t="str">
        <f t="shared" ref="BK30:BM30" si="194" xml:space="preserve"> BK29</f>
        <v>Seilrett</v>
      </c>
      <c r="BL30" s="267">
        <f t="shared" si="194"/>
        <v>3</v>
      </c>
      <c r="BM30" s="267">
        <f t="shared" si="194"/>
        <v>65</v>
      </c>
      <c r="BN30" s="45">
        <f>IF((BK30="Fast"),(1.006248-(0.06415*((BM30/100*SQRT(BL30))/POWER(AU30,(1/3))))),1)</f>
        <v>1</v>
      </c>
      <c r="BO30" s="59"/>
      <c r="BP30" s="59"/>
      <c r="BR30" s="49">
        <f t="shared" si="182"/>
        <v>0</v>
      </c>
      <c r="BS30" s="49">
        <f t="shared" si="182"/>
        <v>0</v>
      </c>
      <c r="BT30" s="49">
        <f t="shared" si="182"/>
        <v>0</v>
      </c>
      <c r="BU30" s="49">
        <f t="shared" si="182"/>
        <v>22</v>
      </c>
      <c r="BV30" s="49">
        <f t="shared" si="182"/>
        <v>0</v>
      </c>
      <c r="BW30" s="49">
        <f t="shared" si="182"/>
        <v>0</v>
      </c>
      <c r="BX30" s="49">
        <f t="shared" si="182"/>
        <v>20.2</v>
      </c>
      <c r="BY30" s="549">
        <f>IF(COUNT(Q30:U30)&gt;1,MINA(Q30:U30)*BY$9,0)</f>
        <v>-10.1</v>
      </c>
      <c r="BZ30" s="85">
        <f t="shared" si="183"/>
        <v>0</v>
      </c>
      <c r="CA30" s="85">
        <f t="shared" si="183"/>
        <v>0</v>
      </c>
      <c r="CB30" s="85">
        <f t="shared" si="183"/>
        <v>34.72</v>
      </c>
      <c r="CC30" s="85">
        <f t="shared" si="183"/>
        <v>0</v>
      </c>
      <c r="CD30" s="85">
        <f t="shared" si="183"/>
        <v>0</v>
      </c>
      <c r="CE30" s="85">
        <f>IF(AC30=0,0,AC30*CE$9)</f>
        <v>6.6</v>
      </c>
      <c r="CF30" s="85">
        <f>IF(AA30=0,0,AA30*CF$9)</f>
        <v>0</v>
      </c>
      <c r="CG30" s="85">
        <f>IF(AB30=0,0,AB30*CG$9)</f>
        <v>0</v>
      </c>
      <c r="CH30" s="85">
        <f t="shared" si="184"/>
        <v>0</v>
      </c>
      <c r="CI30" s="85">
        <f t="shared" si="184"/>
        <v>0</v>
      </c>
      <c r="CJ30" s="85">
        <f t="shared" si="184"/>
        <v>0</v>
      </c>
      <c r="CK30" s="85">
        <f t="shared" si="184"/>
        <v>0</v>
      </c>
      <c r="CL30" s="100">
        <f>SUM(BR30:CK30)</f>
        <v>73.419999999999987</v>
      </c>
      <c r="CM30" s="50"/>
      <c r="CN30" s="104">
        <f>J30</f>
        <v>96.6</v>
      </c>
      <c r="CO30" s="101">
        <f>CL30/CN30</f>
        <v>0.76004140786749474</v>
      </c>
      <c r="CP30" s="51">
        <f>Seilareal/Lwl/Lwl</f>
        <v>0.61824000000000001</v>
      </c>
      <c r="CQ30" s="116">
        <f>Seilareal/Depl^0.667/K$7</f>
        <v>0.90613821207832923</v>
      </c>
      <c r="CR30" s="51">
        <f>Seilareal/Lwl/Lwl/SApRS1</f>
        <v>0.93806746630872473</v>
      </c>
      <c r="CS30" s="204"/>
      <c r="CT30" s="204">
        <f>(ROUND(TBF/CT$6,3)*CT$6)*CT$4</f>
        <v>104.5</v>
      </c>
      <c r="CU30" s="107">
        <f t="shared" si="83"/>
        <v>1.0447414265545865</v>
      </c>
      <c r="CV30" s="62">
        <f t="shared" si="13"/>
        <v>2.656813527661825</v>
      </c>
      <c r="CW30" s="62">
        <f t="shared" si="84"/>
        <v>1.6991458954997209</v>
      </c>
      <c r="CX30" s="62">
        <f t="shared" si="15"/>
        <v>1.8803015465431969</v>
      </c>
      <c r="CY30" s="107">
        <f t="shared" si="85"/>
        <v>0.97994771920133639</v>
      </c>
      <c r="CZ30" s="168" t="str">
        <f>IF(DA30=0,"-",IF(CP30="TBF","-",CZ$7*DA30))</f>
        <v>-</v>
      </c>
      <c r="DA30" s="158"/>
      <c r="DB30" s="168" t="str">
        <f>IF(DC30=0,"-",IF(CT30="TBF","-",DB$7*DC30))</f>
        <v>-</v>
      </c>
      <c r="DC30" s="160"/>
      <c r="DD30" s="190" t="s">
        <v>134</v>
      </c>
      <c r="DE30" s="62">
        <v>0.86</v>
      </c>
      <c r="DF30" s="62">
        <v>0.86</v>
      </c>
      <c r="DG30" s="62">
        <v>0.86</v>
      </c>
      <c r="DH30" s="150">
        <v>0.88</v>
      </c>
      <c r="DI30" s="62">
        <f t="shared" si="88"/>
        <v>2.0797175079376866</v>
      </c>
      <c r="DJ30" s="47">
        <f t="shared" si="89"/>
        <v>12.947658402203857</v>
      </c>
      <c r="DK30" s="48">
        <f>DJ$7*IF(DJ30&lt;DJ$5,-0.04,IF(DJ30&lt;DJ$5*1.1,-0.03,IF(DJ30&lt;DJ$5*1.2,-0.02,IF(DJ30&lt;DJ$5*1.3,-0.01,0))))</f>
        <v>0</v>
      </c>
      <c r="DM30" s="107">
        <f t="shared" si="25"/>
        <v>1.0456309630292859</v>
      </c>
      <c r="DN30" s="141" t="str">
        <f>IF($DY30=0,"-",(DM30-$DW30)*100)</f>
        <v>-</v>
      </c>
      <c r="DO30" s="107">
        <f>SUM(DP30:DS30)^DO$3+DO$7</f>
        <v>4.4846571454816839</v>
      </c>
      <c r="DP30" s="133">
        <f>IF(SeilBeregnet=0,DP29,(SeilBeregnet^0.5/(Depl^0.3333))^DP$3*DP$7)</f>
        <v>2.727949570107699</v>
      </c>
      <c r="DQ30" s="133">
        <f>IF(SeilBeregnet=0,DQ29,(SeilBeregnet^0.5/Lwl)^DQ$3*DQ$7)</f>
        <v>0</v>
      </c>
      <c r="DR30" s="133">
        <f>IF(SeilBeregnet=0,DR29,(0.1*Loa/Depl^0.3333)^DR$3*DR$7)</f>
        <v>0</v>
      </c>
      <c r="DS30" s="133">
        <f>IF(SeilBeregnet=0,DS29,((Loa)/Bredde)^DS$3*DS$7)</f>
        <v>1.7567075753739845</v>
      </c>
      <c r="DT30" s="107">
        <f>IF(SeilBeregnet=0,DT29,(Lwl)^DT$3)</f>
        <v>1.8803015465431969</v>
      </c>
      <c r="DU30" s="133">
        <f>IF(SeilBeregnet=0,DU29,(Dypg/Loa)^DU$3*5*DU$7)</f>
        <v>2.0233824786856944</v>
      </c>
      <c r="DW30" s="107">
        <f t="shared" si="125"/>
        <v>1.0435043460206046</v>
      </c>
      <c r="DX30" s="107">
        <f t="shared" si="93"/>
        <v>1.0501047566067321</v>
      </c>
      <c r="DZ30" s="107">
        <f t="shared" si="94"/>
        <v>1.0516788738707215</v>
      </c>
      <c r="EA30" s="122" t="str">
        <f>IF($DY30=0,"-",DZ30-$DW30)</f>
        <v>-</v>
      </c>
      <c r="EB30" s="107">
        <f>IF(SeilBeregnet=0,"-",EB$7*(EB$4*ED30*EE30*EF30*PropF+EB$6)+ErfaringsF+Dyp_F)</f>
        <v>1.0427437382053883</v>
      </c>
      <c r="EC30" s="122" t="str">
        <f>IF($DY30=0,"-",EB30-$DW30)</f>
        <v>-</v>
      </c>
      <c r="ED30" s="107">
        <f>IF(SeilBeregnet=0,ED29,SeilBeregnet^0.5/Depl^0.33333)</f>
        <v>2.727668552265575</v>
      </c>
      <c r="EE30" s="107">
        <f>IF(SeilBeregnet=0,EE29,Lwl^0.3333)</f>
        <v>2.3205990351333203</v>
      </c>
      <c r="EF30" s="107">
        <f>IF(SeilBeregnet=0,EF29,((Loa+Lwl)/Bredde)^EF$3)</f>
        <v>1.550146822035346</v>
      </c>
      <c r="EH30" s="107">
        <f>IF(SeilBeregnet=0,"-",EH$7*(EH$4*EJ30*EK30*EL30*PropF+EH$6)+ErfaringsF+Dyp_F)</f>
        <v>1.0452279559967452</v>
      </c>
      <c r="EJ30" s="107">
        <f>IF(SeilBeregnet=0,EJ29,SeilBeregnet^0.5/Depl^0.33333)</f>
        <v>2.727668552265575</v>
      </c>
      <c r="EK30" s="107">
        <f>IF(SeilBeregnet=0,EK29,Lwl^EK$3)</f>
        <v>2.3207748778988528</v>
      </c>
      <c r="EL30" s="107">
        <f>IF(SeilBeregnet=0,EL29,((Loa+Lwl)/Bredde)^EL$3)</f>
        <v>1.7939282238461092</v>
      </c>
      <c r="EM30" s="107">
        <f>IF(SeilBeregnet=0,"-",EM$7*(EM$4*EO30+EM$6)*ER30*PropF+ErfaringsF+Dyp_F)</f>
        <v>1.0438203030460684</v>
      </c>
      <c r="EO30" s="107">
        <f>IF(SeilBeregnet=0,EO29,(EP30*EQ30)^EO$3)</f>
        <v>4.228286737860234</v>
      </c>
      <c r="EP30" s="107">
        <f>IF(SeilBeregnet=0,EP29,SeilBeregnet^0.5/Depl^0.33333)</f>
        <v>2.727668552265575</v>
      </c>
      <c r="EQ30" s="107">
        <f>IF(SeilBeregnet=0,EQ29,((Loa+Lwl)/Bredde)^EQ$3)</f>
        <v>1.550146822035346</v>
      </c>
      <c r="ER30" s="107">
        <f>IF(SeilBeregnet=0,ER29,Lwl^ER$3)</f>
        <v>1.8803015465431969</v>
      </c>
      <c r="ES30" s="107">
        <f t="shared" si="26"/>
        <v>1.0460106485405052</v>
      </c>
      <c r="EU30" s="107">
        <f>IF(SeilBeregnet=0,EU29,(EV:EV*EW:EW)^EU$3)</f>
        <v>1.6436650066031591</v>
      </c>
      <c r="EV30" s="107">
        <f>IF(SeilBeregnet=0,EV29,SeilBeregnet^0.5/Depl^0.33333)</f>
        <v>2.727668552265575</v>
      </c>
      <c r="EW30" s="107">
        <f>IF(SeilBeregnet=0,EW29,((Loa+Lwl)/Bredde/6)^EW$3)</f>
        <v>0.99045562250875818</v>
      </c>
      <c r="EX30" s="107">
        <f>IF(SeilBeregnet=0,EX29,(Lwl*0.7+Loa*0.3)^EX$3)</f>
        <v>1.9008341203345265</v>
      </c>
      <c r="EY30" s="107">
        <f t="shared" si="27"/>
        <v>1.0506162611631993</v>
      </c>
      <c r="FA30" s="107">
        <f t="shared" si="20"/>
        <v>1.6437496736527495</v>
      </c>
      <c r="FB30" s="107">
        <f>IF(SeilBeregnet=0,FB29,SeilBeregnet^0.5/Depl^0.3333)</f>
        <v>2.727949570107699</v>
      </c>
      <c r="FC30" s="107">
        <f>IF(SeilBeregnet=0,FC29,((Loa+Lwl)/Bredde/6)^FC$3)</f>
        <v>0.99045562250875818</v>
      </c>
      <c r="FD30" s="107">
        <f>IF(SeilBeregnet=0,FD29,(Lwl*0.7+Loa*0.3)^FD$3)</f>
        <v>1.9008341203345265</v>
      </c>
      <c r="FE30" s="107">
        <f t="shared" si="28"/>
        <v>1.0496623444432589</v>
      </c>
      <c r="FF30" s="141" t="str">
        <f>IF($DY30=0,"-",(FE30-$DW30)*100)</f>
        <v>-</v>
      </c>
      <c r="FG30" s="107">
        <f t="shared" si="21"/>
        <v>2.6761249121119679</v>
      </c>
      <c r="FH30" s="133">
        <f>IF(SeilBeregnet=0,FH29,(SeilBeregnet^0.5/(Depl^0.3333))^FH$3)</f>
        <v>2.727949570107699</v>
      </c>
      <c r="FI30" s="133">
        <f>IF(SeilBeregnet=0,FI29,((Loa+Lwl)/Bredde/6)^FI$3)</f>
        <v>0.98100234015921162</v>
      </c>
      <c r="FJ30" s="107">
        <f>IF(SeilBeregnet=0,FJ29,(Lwl*0.07+Loa*0.03)^FJ$3)</f>
        <v>1.0689175781959492</v>
      </c>
      <c r="FK30" s="107">
        <f t="shared" si="29"/>
        <v>1.0449715093027074</v>
      </c>
      <c r="FL30" s="141" t="str">
        <f>IF($DY30=0,"-",(FK30-$DW30)*100)</f>
        <v>-</v>
      </c>
      <c r="FM30" s="107">
        <f t="shared" si="22"/>
        <v>4.6701409162596645</v>
      </c>
      <c r="FN30" s="133">
        <f>IF(SeilBeregnet=0,FN29,(SeilBeregnet^0.5/(Depl^0.3333))^FN$3)</f>
        <v>2.727949570107699</v>
      </c>
      <c r="FO30" s="133">
        <f>IF(SeilBeregnet=0,FO29,(SeilBeregnet^0.5/Lwl*FO$7)^FO$3)</f>
        <v>0.68548377077798117</v>
      </c>
      <c r="FP30" s="133">
        <f>IF(SeilBeregnet=0,FP29,((Loa)/Bredde)^FP$3*FP$7)</f>
        <v>1.7567075753739845</v>
      </c>
      <c r="FQ30" s="107">
        <f>IF(SeilBeregnet=0,FQ29,(Lwl)^FQ$3)</f>
        <v>1.8803015465431969</v>
      </c>
      <c r="FR30" s="107">
        <f t="shared" si="30"/>
        <v>1.0580483487693955</v>
      </c>
      <c r="FS30" s="141" t="str">
        <f>IF($DY30=0,"-",(FR30-$DW30)*100)</f>
        <v>-</v>
      </c>
      <c r="FT30" s="107">
        <f t="shared" si="23"/>
        <v>4.7922096750463989</v>
      </c>
      <c r="FU30" s="133">
        <f>IF(SeilBeregnet=0,FU29,(SeilBeregnet^0.5/(Depl^0.3333))^FU$3)</f>
        <v>2.727949570107699</v>
      </c>
      <c r="FV30" s="133">
        <f>IF(SeilBeregnet=0,FV29,(Loa/Bredde)^FV$3)</f>
        <v>1.7567075753739845</v>
      </c>
      <c r="FW30" s="107">
        <f>IF(SeilBeregnet=0,FW29,Lwl^FW$3)</f>
        <v>1.8803015465431969</v>
      </c>
      <c r="FY30">
        <v>0.95</v>
      </c>
      <c r="FZ30" s="62">
        <f t="shared" si="48"/>
        <v>1.0872635963728126</v>
      </c>
      <c r="GA30" s="62">
        <f t="shared" si="49"/>
        <v>2.0233824786856944</v>
      </c>
      <c r="GB30" s="107">
        <f t="shared" si="50"/>
        <v>1.0465537707524488</v>
      </c>
      <c r="GC30" s="440"/>
      <c r="GD30" s="17"/>
      <c r="GE30" s="442"/>
      <c r="GF30" s="462"/>
      <c r="GG30" s="17"/>
      <c r="GH30" s="17"/>
      <c r="GI30" s="17"/>
      <c r="GJ30" s="17"/>
      <c r="GL30" s="17"/>
      <c r="GM30" s="442"/>
      <c r="GN30" s="8"/>
      <c r="GO30" s="8"/>
      <c r="GP30" s="8"/>
      <c r="GQ30" s="8"/>
      <c r="GS30" s="17"/>
      <c r="GT30" s="17"/>
      <c r="GU30" s="17"/>
      <c r="GV30" s="629"/>
      <c r="GW30" s="17"/>
      <c r="GX30" s="17"/>
      <c r="GY30" s="17"/>
      <c r="GZ30" s="17"/>
    </row>
    <row r="31" spans="1:208" ht="15.6" x14ac:dyDescent="0.3">
      <c r="A31" s="52" t="s">
        <v>22</v>
      </c>
      <c r="B31" s="218">
        <f t="shared" si="10"/>
        <v>46.587926509186346</v>
      </c>
      <c r="C31" s="53" t="s">
        <v>19</v>
      </c>
      <c r="D31" s="53"/>
      <c r="E31" s="53"/>
      <c r="F31" s="53"/>
      <c r="G31" s="54" t="s">
        <v>20</v>
      </c>
      <c r="H31" s="112">
        <f>J32</f>
        <v>127.6</v>
      </c>
      <c r="I31" s="601">
        <f>H32/100</f>
        <v>1.095</v>
      </c>
      <c r="J31" s="651">
        <f>IF(DC32=0,"-",DC32)</f>
        <v>1.17</v>
      </c>
      <c r="K31" s="123" t="str">
        <f>A31</f>
        <v>RS 30 Risør II</v>
      </c>
      <c r="L31" s="116"/>
      <c r="M31" s="116"/>
      <c r="N31" s="92"/>
      <c r="O31" s="165"/>
      <c r="P31" s="165"/>
      <c r="Q31" s="165"/>
      <c r="R31" s="165">
        <v>29.9</v>
      </c>
      <c r="S31" s="165">
        <v>17.8</v>
      </c>
      <c r="T31" s="165"/>
      <c r="U31" s="165">
        <v>21.9</v>
      </c>
      <c r="V31" s="559"/>
      <c r="W31" s="559"/>
      <c r="X31" s="165">
        <v>48.9</v>
      </c>
      <c r="Y31" s="165"/>
      <c r="Z31" s="165"/>
      <c r="AA31" s="165">
        <v>12.9</v>
      </c>
      <c r="AB31" s="165"/>
      <c r="AC31" s="165">
        <v>14</v>
      </c>
      <c r="AD31" s="165"/>
      <c r="AE31" s="165"/>
      <c r="AF31" s="165"/>
      <c r="AG31" s="552"/>
      <c r="AH31" s="244">
        <v>7.4</v>
      </c>
      <c r="AI31" s="244">
        <v>12.06</v>
      </c>
      <c r="AJ31" s="554" t="s">
        <v>650</v>
      </c>
      <c r="AK31" s="339"/>
      <c r="AL31" s="268"/>
      <c r="AM31" s="339"/>
      <c r="AN31" s="268" t="s">
        <v>233</v>
      </c>
      <c r="AO31" s="45">
        <f>VLOOKUP(AN31,Skrogform!$1:$1048576,3,FALSE)</f>
        <v>0.97</v>
      </c>
      <c r="AP31" s="55">
        <v>14.2</v>
      </c>
      <c r="AQ31" s="55">
        <v>12.45</v>
      </c>
      <c r="AR31" s="55">
        <v>4.9400000000000004</v>
      </c>
      <c r="AS31" s="55">
        <v>2.5</v>
      </c>
      <c r="AT31" s="637">
        <v>33</v>
      </c>
      <c r="AU31" s="171">
        <v>34.700000000000003</v>
      </c>
      <c r="AV31" s="55">
        <v>5</v>
      </c>
      <c r="AW31" s="55">
        <v>7</v>
      </c>
      <c r="AX31" s="253">
        <v>500</v>
      </c>
      <c r="AY31" s="253">
        <v>135</v>
      </c>
      <c r="AZ31" s="254">
        <v>1300</v>
      </c>
      <c r="BA31" s="253">
        <v>200</v>
      </c>
      <c r="BB31" s="253">
        <v>300</v>
      </c>
      <c r="BC31" s="244">
        <f>Depl+Diesel/1000*0.84+Vann/1000</f>
        <v>35.152000000000008</v>
      </c>
      <c r="BD31" s="95">
        <f>Bredde/(Loa+Lwl)*2</f>
        <v>0.37073170731707322</v>
      </c>
      <c r="BE31" s="95">
        <f>(Kjøl+Ballast)/Depl</f>
        <v>0.34582132564841495</v>
      </c>
      <c r="BF31" s="627">
        <f>BF$7*((Depl-Kjøl-Ballast-VektMotor/1000-VektAnnet/1000)/Lwl/Lwl/Bredde)</f>
        <v>1.0300546288192145</v>
      </c>
      <c r="BG31" s="95">
        <f>BG$7*(Depl/Loa/Lwl/Lwl)</f>
        <v>1.160156727231342</v>
      </c>
      <c r="BH31" s="174">
        <f>BH$7*(Depl/Loa/Lwl/Bredde)</f>
        <v>1.0807652615365382</v>
      </c>
      <c r="BI31" s="95">
        <f>BI$7*Bredde/(Loa+Lwl)*2</f>
        <v>1.057581956464726</v>
      </c>
      <c r="BJ31" s="95">
        <f>BJ$7*(Dypg/Lwl)</f>
        <v>1.0983062685524707</v>
      </c>
      <c r="BK31" s="56" t="s">
        <v>21</v>
      </c>
      <c r="BL31" s="268">
        <v>3</v>
      </c>
      <c r="BM31" s="268">
        <v>85</v>
      </c>
      <c r="BN31" s="45">
        <f t="shared" si="11"/>
        <v>1</v>
      </c>
      <c r="BO31" s="59"/>
      <c r="BP31" s="59"/>
      <c r="BR31" s="209"/>
      <c r="BS31" s="209"/>
      <c r="BT31" s="209" t="str">
        <f>$A31</f>
        <v>RS 30 Risør II</v>
      </c>
      <c r="BU31" s="10"/>
      <c r="BV31" s="10"/>
      <c r="BW31" s="10"/>
      <c r="BX31" s="10"/>
      <c r="BY31" s="549"/>
      <c r="BZ31" s="10"/>
      <c r="CA31" s="10"/>
      <c r="CB31" s="209" t="str">
        <f>$A31</f>
        <v>RS 30 Risør II</v>
      </c>
      <c r="CC31" s="10"/>
      <c r="CD31" s="10"/>
      <c r="CE31" s="10"/>
      <c r="CF31" s="10"/>
      <c r="CG31" s="10"/>
      <c r="CH31" s="10"/>
      <c r="CI31" s="10"/>
      <c r="CJ31" s="10"/>
      <c r="CK31" s="10"/>
      <c r="CL31" s="209"/>
      <c r="CM31" s="10"/>
      <c r="CN31" s="209" t="str">
        <f>$A31</f>
        <v>RS 30 Risør II</v>
      </c>
      <c r="CO31" s="207"/>
      <c r="CP31" s="207"/>
      <c r="CQ31" s="116"/>
      <c r="CR31" s="207"/>
      <c r="CS31" s="203"/>
      <c r="CT31" s="203" t="s">
        <v>23</v>
      </c>
      <c r="CU31" s="107" t="str">
        <f t="shared" si="36"/>
        <v>-</v>
      </c>
      <c r="CV31" s="62" t="str">
        <f t="shared" si="13"/>
        <v>-</v>
      </c>
      <c r="CW31" s="62" t="str">
        <f t="shared" si="14"/>
        <v>-</v>
      </c>
      <c r="CX31" s="62" t="str">
        <f t="shared" si="15"/>
        <v>-</v>
      </c>
      <c r="CY31" s="107" t="str">
        <f t="shared" si="16"/>
        <v>-</v>
      </c>
      <c r="CZ31" s="168">
        <f t="shared" si="86"/>
        <v>1.0974117647058823</v>
      </c>
      <c r="DA31" s="158">
        <v>0.88</v>
      </c>
      <c r="DB31" s="168" t="str">
        <f t="shared" si="87"/>
        <v>-</v>
      </c>
      <c r="DC31" s="160">
        <v>1.17</v>
      </c>
      <c r="DD31" s="190" t="s">
        <v>134</v>
      </c>
      <c r="DE31" s="29" t="s">
        <v>23</v>
      </c>
      <c r="DF31" s="29" t="s">
        <v>23</v>
      </c>
      <c r="DG31" s="29" t="s">
        <v>23</v>
      </c>
      <c r="DH31" s="149">
        <v>2022</v>
      </c>
      <c r="DI31" s="62" t="str">
        <f t="shared" si="39"/>
        <v>-</v>
      </c>
      <c r="DJ31" s="47">
        <f t="shared" si="17"/>
        <v>13.594344752582927</v>
      </c>
      <c r="DK31" s="48">
        <f t="shared" si="90"/>
        <v>0</v>
      </c>
      <c r="DM31" s="107" t="str">
        <f t="shared" si="25"/>
        <v>-</v>
      </c>
      <c r="DN31" s="141" t="str">
        <f t="shared" si="91"/>
        <v>-</v>
      </c>
      <c r="DO31" s="107" t="e">
        <f t="shared" ref="DO31:DO34" si="195">SUM(DP31:DS31)^DO$3+DO$7</f>
        <v>#REF!</v>
      </c>
      <c r="DP31" s="133" t="e">
        <f>IF(SeilBeregnet=0,#REF!,(SeilBeregnet^0.5/(Depl^0.3333))^DP$3*DP$7)</f>
        <v>#REF!</v>
      </c>
      <c r="DQ31" s="133" t="e">
        <f>IF(SeilBeregnet=0,#REF!,(SeilBeregnet^0.5/Lwl)^DQ$3*DQ$7)</f>
        <v>#REF!</v>
      </c>
      <c r="DR31" s="133" t="e">
        <f>IF(SeilBeregnet=0,#REF!,(0.1*Loa/Depl^0.3333)^DR$3*DR$7)</f>
        <v>#REF!</v>
      </c>
      <c r="DS31" s="133" t="e">
        <f>IF(SeilBeregnet=0,#REF!,((Loa)/Bredde)^DS$3*DS$7)</f>
        <v>#REF!</v>
      </c>
      <c r="DT31" s="107" t="e">
        <f>IF(SeilBeregnet=0,#REF!,(Lwl)^DT$3)</f>
        <v>#REF!</v>
      </c>
      <c r="DU31" s="133" t="e">
        <f>IF(SeilBeregnet=0,#REF!,(Dypg/Loa)^DU$3*5*DU$7)</f>
        <v>#REF!</v>
      </c>
      <c r="DW31" s="107" t="str">
        <f t="shared" si="152"/>
        <v>-</v>
      </c>
      <c r="DX31" s="107" t="str">
        <f t="shared" si="40"/>
        <v>-</v>
      </c>
      <c r="DZ31" s="107" t="str">
        <f t="shared" si="41"/>
        <v>-</v>
      </c>
      <c r="EA31" s="122" t="str">
        <f t="shared" si="95"/>
        <v>-</v>
      </c>
      <c r="EB31" s="107" t="str">
        <f t="shared" si="96"/>
        <v>-</v>
      </c>
      <c r="EC31" s="122" t="str">
        <f t="shared" si="97"/>
        <v>-</v>
      </c>
      <c r="ED31" s="107" t="e">
        <f>IF(SeilBeregnet=0,#REF!,SeilBeregnet^0.5/Depl^0.33333)</f>
        <v>#REF!</v>
      </c>
      <c r="EE31" s="107" t="e">
        <f>IF(SeilBeregnet=0,#REF!,Lwl^0.3333)</f>
        <v>#REF!</v>
      </c>
      <c r="EF31" s="107" t="e">
        <f>IF(SeilBeregnet=0,#REF!,((Loa+Lwl)/Bredde)^EF$3)</f>
        <v>#REF!</v>
      </c>
      <c r="EH31" s="107" t="str">
        <f t="shared" si="98"/>
        <v>-</v>
      </c>
      <c r="EJ31" s="107" t="e">
        <f>IF(SeilBeregnet=0,#REF!,SeilBeregnet^0.5/Depl^0.33333)</f>
        <v>#REF!</v>
      </c>
      <c r="EK31" s="107" t="e">
        <f>IF(SeilBeregnet=0,#REF!,Lwl^EK$3)</f>
        <v>#REF!</v>
      </c>
      <c r="EL31" s="107" t="e">
        <f>IF(SeilBeregnet=0,#REF!,((Loa+Lwl)/Bredde)^EL$3)</f>
        <v>#REF!</v>
      </c>
      <c r="EM31" s="107" t="str">
        <f t="shared" si="99"/>
        <v>-</v>
      </c>
      <c r="EO31" s="107" t="e">
        <f>IF(SeilBeregnet=0,#REF!,(EP31*EQ31)^EO$3)</f>
        <v>#REF!</v>
      </c>
      <c r="EP31" s="107" t="e">
        <f>IF(SeilBeregnet=0,#REF!,SeilBeregnet^0.5/Depl^0.33333)</f>
        <v>#REF!</v>
      </c>
      <c r="EQ31" s="107" t="e">
        <f>IF(SeilBeregnet=0,#REF!,((Loa+Lwl)/Bredde)^EQ$3)</f>
        <v>#REF!</v>
      </c>
      <c r="ER31" s="107" t="e">
        <f>IF(SeilBeregnet=0,#REF!,Lwl^ER$3)</f>
        <v>#REF!</v>
      </c>
      <c r="ES31" s="107" t="str">
        <f t="shared" si="26"/>
        <v>-</v>
      </c>
      <c r="EU31" s="107" t="e">
        <f>IF(SeilBeregnet=0,#REF!,(EV:EV*EW:EW)^EU$3)</f>
        <v>#REF!</v>
      </c>
      <c r="EV31" s="107" t="e">
        <f>IF(SeilBeregnet=0,#REF!,SeilBeregnet^0.5/Depl^0.33333)</f>
        <v>#REF!</v>
      </c>
      <c r="EW31" s="107" t="e">
        <f>IF(SeilBeregnet=0,#REF!,((Loa+Lwl)/Bredde/6)^EW$3)</f>
        <v>#REF!</v>
      </c>
      <c r="EX31" s="107" t="e">
        <f>IF(SeilBeregnet=0,#REF!,(Lwl*0.7+Loa*0.3)^EX$3)</f>
        <v>#REF!</v>
      </c>
      <c r="EY31" s="107" t="str">
        <f t="shared" si="27"/>
        <v>-</v>
      </c>
      <c r="FA31" s="107" t="e">
        <f t="shared" si="20"/>
        <v>#REF!</v>
      </c>
      <c r="FB31" s="107" t="e">
        <f>IF(SeilBeregnet=0,#REF!,SeilBeregnet^0.5/Depl^0.3333)</f>
        <v>#REF!</v>
      </c>
      <c r="FC31" s="107" t="e">
        <f>IF(SeilBeregnet=0,#REF!,((Loa+Lwl)/Bredde/6)^FC$3)</f>
        <v>#REF!</v>
      </c>
      <c r="FD31" s="107" t="e">
        <f>IF(SeilBeregnet=0,#REF!,(Lwl*0.7+Loa*0.3)^FD$3)</f>
        <v>#REF!</v>
      </c>
      <c r="FE31" s="107" t="str">
        <f t="shared" si="28"/>
        <v>-</v>
      </c>
      <c r="FF31" s="141" t="str">
        <f t="shared" si="100"/>
        <v>-</v>
      </c>
      <c r="FG31" s="107" t="e">
        <f t="shared" si="21"/>
        <v>#REF!</v>
      </c>
      <c r="FH31" s="133" t="e">
        <f>IF(SeilBeregnet=0,#REF!,(SeilBeregnet^0.5/(Depl^0.3333))^FH$3)</f>
        <v>#REF!</v>
      </c>
      <c r="FI31" s="133" t="e">
        <f>IF(SeilBeregnet=0,#REF!,((Loa+Lwl)/Bredde/6)^FI$3)</f>
        <v>#REF!</v>
      </c>
      <c r="FJ31" s="107" t="e">
        <f>IF(SeilBeregnet=0,#REF!,(Lwl*0.07+Loa*0.03)^FJ$3)</f>
        <v>#REF!</v>
      </c>
      <c r="FK31" s="107" t="str">
        <f t="shared" si="29"/>
        <v>-</v>
      </c>
      <c r="FL31" s="141" t="str">
        <f t="shared" si="101"/>
        <v>-</v>
      </c>
      <c r="FM31" s="107" t="e">
        <f t="shared" si="22"/>
        <v>#REF!</v>
      </c>
      <c r="FN31" s="133" t="e">
        <f>IF(SeilBeregnet=0,#REF!,(SeilBeregnet^0.5/(Depl^0.3333))^FN$3)</f>
        <v>#REF!</v>
      </c>
      <c r="FO31" s="133" t="e">
        <f>IF(SeilBeregnet=0,#REF!,(SeilBeregnet^0.5/Lwl*FO$7)^FO$3)</f>
        <v>#REF!</v>
      </c>
      <c r="FP31" s="133" t="e">
        <f>IF(SeilBeregnet=0,#REF!,((Loa)/Bredde)^FP$3*FP$7)</f>
        <v>#REF!</v>
      </c>
      <c r="FQ31" s="107" t="e">
        <f>IF(SeilBeregnet=0,#REF!,(Lwl)^FQ$3)</f>
        <v>#REF!</v>
      </c>
      <c r="FR31" s="107" t="str">
        <f t="shared" si="30"/>
        <v>-</v>
      </c>
      <c r="FS31" s="141" t="str">
        <f t="shared" si="102"/>
        <v>-</v>
      </c>
      <c r="FT31" s="107" t="e">
        <f t="shared" si="23"/>
        <v>#REF!</v>
      </c>
      <c r="FU31" s="133" t="e">
        <f>IF(SeilBeregnet=0,#REF!,(SeilBeregnet^0.5/(Depl^0.3333))^FU$3)</f>
        <v>#REF!</v>
      </c>
      <c r="FV31" s="133" t="e">
        <f>IF(SeilBeregnet=0,#REF!,(Loa/Bredde)^FV$3)</f>
        <v>#REF!</v>
      </c>
      <c r="FW31" s="107" t="e">
        <f>IF(SeilBeregnet=0,#REF!,Lwl^FW$3)</f>
        <v>#REF!</v>
      </c>
      <c r="FY31">
        <v>0.95</v>
      </c>
      <c r="FZ31" s="62" t="str">
        <f t="shared" si="48"/>
        <v>-</v>
      </c>
      <c r="GA31" s="62">
        <f t="shared" si="49"/>
        <v>2.0979533957417229</v>
      </c>
      <c r="GB31" s="107" t="str">
        <f t="shared" si="50"/>
        <v>-</v>
      </c>
      <c r="GC31" s="441" t="s">
        <v>445</v>
      </c>
      <c r="GD31" s="57" t="s">
        <v>544</v>
      </c>
      <c r="GE31" s="436" t="s">
        <v>666</v>
      </c>
      <c r="GF31" s="496" t="s">
        <v>614</v>
      </c>
      <c r="GG31" s="57" t="s">
        <v>612</v>
      </c>
      <c r="GH31" s="57" t="s">
        <v>641</v>
      </c>
      <c r="GI31" s="57" t="s">
        <v>416</v>
      </c>
      <c r="GJ31" s="57" t="s">
        <v>462</v>
      </c>
      <c r="GL31" s="57" t="s">
        <v>613</v>
      </c>
      <c r="GM31" s="436" t="s">
        <v>729</v>
      </c>
      <c r="GN31" s="58" t="s">
        <v>665</v>
      </c>
      <c r="GO31" s="58" t="s">
        <v>664</v>
      </c>
      <c r="GP31" s="58" t="s">
        <v>641</v>
      </c>
      <c r="GQ31" s="58" t="s">
        <v>416</v>
      </c>
      <c r="GS31" s="57" t="s">
        <v>470</v>
      </c>
      <c r="GT31" s="57" t="s">
        <v>927</v>
      </c>
      <c r="GU31" s="57" t="s">
        <v>465</v>
      </c>
      <c r="GV31" s="599" t="s">
        <v>872</v>
      </c>
      <c r="GW31" s="57">
        <v>1914</v>
      </c>
      <c r="GX31" s="57" t="s">
        <v>468</v>
      </c>
      <c r="GY31" s="57" t="s">
        <v>467</v>
      </c>
      <c r="GZ31" s="57" t="s">
        <v>478</v>
      </c>
    </row>
    <row r="32" spans="1:208" ht="15.6" x14ac:dyDescent="0.3">
      <c r="A32" s="60" t="s">
        <v>24</v>
      </c>
      <c r="B32" s="218"/>
      <c r="C32" s="61" t="str">
        <f>C31</f>
        <v>Gaffel</v>
      </c>
      <c r="D32" s="61"/>
      <c r="E32" s="61"/>
      <c r="F32" s="61"/>
      <c r="G32" s="54"/>
      <c r="H32" s="204">
        <f>TBFavrundet</f>
        <v>109.5</v>
      </c>
      <c r="I32" s="63">
        <f>COUNTA(O32:AG32)</f>
        <v>5</v>
      </c>
      <c r="J32" s="222">
        <f>SUM(O32:AG32)</f>
        <v>127.6</v>
      </c>
      <c r="K32" s="116">
        <f>Seilareal/Depl^0.667/K$7</f>
        <v>1.1102134468251328</v>
      </c>
      <c r="L32" s="116">
        <f>Seilareal/Lwl/Lwl/L$7</f>
        <v>1.2490762343965534</v>
      </c>
      <c r="M32" s="92">
        <f>RiggF</f>
        <v>0.73299373040752358</v>
      </c>
      <c r="N32" s="242">
        <f>StHfaktor</f>
        <v>0.99602959901609622</v>
      </c>
      <c r="O32" s="143"/>
      <c r="P32" s="143"/>
      <c r="Q32" s="143"/>
      <c r="R32" s="165">
        <v>29.9</v>
      </c>
      <c r="S32" s="143"/>
      <c r="T32" s="143"/>
      <c r="U32" s="165">
        <v>21.9</v>
      </c>
      <c r="V32" s="143"/>
      <c r="W32" s="143"/>
      <c r="X32" s="165">
        <v>48.9</v>
      </c>
      <c r="Y32" s="143"/>
      <c r="Z32" s="143"/>
      <c r="AA32" s="165">
        <v>12.9</v>
      </c>
      <c r="AB32" s="143"/>
      <c r="AC32" s="165">
        <v>14</v>
      </c>
      <c r="AD32" s="143"/>
      <c r="AE32" s="143"/>
      <c r="AF32" s="143"/>
      <c r="AG32" s="551"/>
      <c r="AH32" s="557"/>
      <c r="AI32" s="557">
        <f t="shared" ref="AI32:AI34" si="196">AI31</f>
        <v>12.06</v>
      </c>
      <c r="AJ32" s="337" t="str">
        <f t="shared" ref="AJ32" si="197" xml:space="preserve"> AJ31</f>
        <v>Clipper</v>
      </c>
      <c r="AK32" s="339"/>
      <c r="AL32" s="337">
        <f t="shared" ref="AL32" si="198" xml:space="preserve"> AL31</f>
        <v>0</v>
      </c>
      <c r="AM32" s="339"/>
      <c r="AN32" s="267" t="str">
        <f t="shared" ref="AN32:AN34" si="199" xml:space="preserve"> AN31</f>
        <v>RS</v>
      </c>
      <c r="AO32" s="45">
        <f>VLOOKUP(AN32,Skrogform!$1:$1048576,3,FALSE)</f>
        <v>0.97</v>
      </c>
      <c r="AP32" s="64">
        <f t="shared" ref="AP32:BB32" si="200">AP31</f>
        <v>14.2</v>
      </c>
      <c r="AQ32" s="64">
        <f t="shared" si="200"/>
        <v>12.45</v>
      </c>
      <c r="AR32" s="64">
        <f t="shared" si="200"/>
        <v>4.9400000000000004</v>
      </c>
      <c r="AS32" s="64">
        <f t="shared" si="200"/>
        <v>2.5</v>
      </c>
      <c r="AT32" s="64"/>
      <c r="AU32" s="64">
        <f t="shared" si="200"/>
        <v>34.700000000000003</v>
      </c>
      <c r="AV32" s="64">
        <f t="shared" si="200"/>
        <v>5</v>
      </c>
      <c r="AW32" s="64">
        <f t="shared" si="200"/>
        <v>7</v>
      </c>
      <c r="AX32" s="256">
        <f>AX31</f>
        <v>500</v>
      </c>
      <c r="AY32" s="256">
        <f t="shared" si="200"/>
        <v>135</v>
      </c>
      <c r="AZ32" s="256">
        <f t="shared" si="200"/>
        <v>1300</v>
      </c>
      <c r="BA32" s="256">
        <f t="shared" si="200"/>
        <v>200</v>
      </c>
      <c r="BB32" s="256">
        <f t="shared" si="200"/>
        <v>300</v>
      </c>
      <c r="BC32" s="256"/>
      <c r="BD32" s="66"/>
      <c r="BE32" s="66"/>
      <c r="BF32" s="261"/>
      <c r="BG32" s="66"/>
      <c r="BH32" s="175"/>
      <c r="BI32" s="66"/>
      <c r="BJ32" s="66"/>
      <c r="BK32" s="65" t="str">
        <f t="shared" ref="BK32:BM32" si="201" xml:space="preserve"> BK31</f>
        <v>Seilrett</v>
      </c>
      <c r="BL32" s="267">
        <f t="shared" si="201"/>
        <v>3</v>
      </c>
      <c r="BM32" s="267">
        <f t="shared" si="201"/>
        <v>85</v>
      </c>
      <c r="BN32" s="45">
        <f t="shared" si="11"/>
        <v>1</v>
      </c>
      <c r="BO32" s="59"/>
      <c r="BP32" s="59"/>
      <c r="BR32" s="49">
        <f t="shared" ref="BR32:BX34" si="202">IF(O32=0,0,O32*BR$9)</f>
        <v>0</v>
      </c>
      <c r="BS32" s="49">
        <f t="shared" si="202"/>
        <v>0</v>
      </c>
      <c r="BT32" s="49">
        <f t="shared" si="202"/>
        <v>0</v>
      </c>
      <c r="BU32" s="49">
        <f t="shared" si="202"/>
        <v>29.9</v>
      </c>
      <c r="BV32" s="49">
        <f t="shared" si="202"/>
        <v>0</v>
      </c>
      <c r="BW32" s="49">
        <f t="shared" si="202"/>
        <v>0</v>
      </c>
      <c r="BX32" s="49">
        <f t="shared" si="202"/>
        <v>21.9</v>
      </c>
      <c r="BY32" s="549">
        <f>IF(COUNT(Q32:U32)&gt;1,MINA(Q32:U32)*BY$9,0)</f>
        <v>-10.95</v>
      </c>
      <c r="BZ32" s="85">
        <f t="shared" ref="BZ32:CD34" si="203">IF(V32=0,0,V32*BZ$9)</f>
        <v>0</v>
      </c>
      <c r="CA32" s="85">
        <f t="shared" si="203"/>
        <v>0</v>
      </c>
      <c r="CB32" s="85">
        <f t="shared" si="203"/>
        <v>39.120000000000005</v>
      </c>
      <c r="CC32" s="85">
        <f t="shared" si="203"/>
        <v>0</v>
      </c>
      <c r="CD32" s="85">
        <f t="shared" si="203"/>
        <v>0</v>
      </c>
      <c r="CE32" s="85">
        <f>IF(AC32=0,0,AC32*CE$9)</f>
        <v>8.4</v>
      </c>
      <c r="CF32" s="85">
        <f t="shared" ref="CF32:CG34" si="204">IF(AA32=0,0,AA32*CF$9)</f>
        <v>5.16</v>
      </c>
      <c r="CG32" s="85">
        <f t="shared" si="204"/>
        <v>0</v>
      </c>
      <c r="CH32" s="85">
        <f t="shared" ref="CH32:CK34" si="205">IF(AD32=0,0,AD32*CH$9)</f>
        <v>0</v>
      </c>
      <c r="CI32" s="85">
        <f t="shared" si="205"/>
        <v>0</v>
      </c>
      <c r="CJ32" s="85">
        <f t="shared" si="205"/>
        <v>0</v>
      </c>
      <c r="CK32" s="85">
        <f t="shared" si="205"/>
        <v>0</v>
      </c>
      <c r="CL32" s="100">
        <f>SUM(BR32:CK32)</f>
        <v>93.53</v>
      </c>
      <c r="CM32" s="50"/>
      <c r="CN32" s="104">
        <f>J32</f>
        <v>127.6</v>
      </c>
      <c r="CO32" s="101">
        <f>CL32/CN32</f>
        <v>0.73299373040752358</v>
      </c>
      <c r="CP32" s="51">
        <f>Seilareal/Lwl/Lwl</f>
        <v>0.82321252883018015</v>
      </c>
      <c r="CQ32" s="116">
        <f>Seilareal/Depl^0.667/K$7</f>
        <v>1.1102134468251328</v>
      </c>
      <c r="CR32" s="51">
        <f>Seilareal/Lwl/Lwl/SApRS1</f>
        <v>1.2490762343965534</v>
      </c>
      <c r="CS32" s="204"/>
      <c r="CT32" s="204">
        <f>_xlfn.SINGLE(IF((ROUND(_xlfn.SINGLE(TBF)/CT$6,3)*CT$6)*CT$4&lt;0.5,"-",(ROUND(_xlfn.SINGLE(TBF)/CT$6,3)*CT$6)*CT$4))</f>
        <v>109.5</v>
      </c>
      <c r="CU32" s="107">
        <f t="shared" si="36"/>
        <v>1.09674727581367</v>
      </c>
      <c r="CV32" s="62">
        <f t="shared" si="13"/>
        <v>2.9350108802086803</v>
      </c>
      <c r="CW32" s="62">
        <f t="shared" si="14"/>
        <v>1.6423667133294657</v>
      </c>
      <c r="CX32" s="62">
        <f t="shared" si="15"/>
        <v>1.878418417945126</v>
      </c>
      <c r="CY32" s="107">
        <f t="shared" si="16"/>
        <v>0.99602959901609622</v>
      </c>
      <c r="CZ32" s="168">
        <f t="shared" si="86"/>
        <v>1.0974117647058823</v>
      </c>
      <c r="DA32" s="159">
        <f>DA31</f>
        <v>0.88</v>
      </c>
      <c r="DB32" s="168">
        <f t="shared" si="87"/>
        <v>1.0878947368421052</v>
      </c>
      <c r="DC32" s="159">
        <f>DC31</f>
        <v>1.17</v>
      </c>
      <c r="DD32" s="190" t="s">
        <v>134</v>
      </c>
      <c r="DE32" s="62">
        <v>0.88</v>
      </c>
      <c r="DF32" s="62">
        <v>0.87</v>
      </c>
      <c r="DG32" s="62">
        <v>0.87</v>
      </c>
      <c r="DH32" s="150">
        <v>0.92</v>
      </c>
      <c r="DI32" s="62">
        <f t="shared" si="39"/>
        <v>2.1595647629415629</v>
      </c>
      <c r="DJ32" s="47">
        <f t="shared" si="17"/>
        <v>13.594344752582927</v>
      </c>
      <c r="DK32" s="48">
        <f t="shared" si="90"/>
        <v>0</v>
      </c>
      <c r="DM32" s="107">
        <f t="shared" si="25"/>
        <v>1.0856199724170308</v>
      </c>
      <c r="DN32" s="141">
        <f t="shared" si="91"/>
        <v>-4.5047322236237308</v>
      </c>
      <c r="DO32" s="107">
        <f t="shared" si="195"/>
        <v>4.6608357828678715</v>
      </c>
      <c r="DP32" s="133">
        <f t="shared" ref="DP32:DP34" si="206">IF(SeilBeregnet=0,DP31,(SeilBeregnet^0.5/(Depl^0.3333))^DP$3*DP$7)</f>
        <v>2.9654025264034636</v>
      </c>
      <c r="DQ32" s="133">
        <f t="shared" ref="DQ32:DQ34" si="207">IF(SeilBeregnet=0,DQ31,(SeilBeregnet^0.5/Lwl)^DQ$3*DQ$7)</f>
        <v>0</v>
      </c>
      <c r="DR32" s="133">
        <f t="shared" ref="DR32:DR34" si="208">IF(SeilBeregnet=0,DR31,(0.1*Loa/Depl^0.3333)^DR$3*DR$7)</f>
        <v>0</v>
      </c>
      <c r="DS32" s="133">
        <f t="shared" ref="DS32:DS34" si="209">IF(SeilBeregnet=0,DS31,((Loa)/Bredde)^DS$3*DS$7)</f>
        <v>1.6954332564644077</v>
      </c>
      <c r="DT32" s="107">
        <f t="shared" ref="DT32:DT34" si="210">IF(SeilBeregnet=0,DT31,(Lwl)^DT$3)</f>
        <v>1.878418417945126</v>
      </c>
      <c r="DU32" s="133">
        <f t="shared" ref="DU32:DU34" si="211">IF(SeilBeregnet=0,DU31,(Dypg/Loa)^DU$3*5*DU$7)</f>
        <v>2.0979533957417229</v>
      </c>
      <c r="DW32" s="72">
        <f t="shared" si="152"/>
        <v>1.1306672946532681</v>
      </c>
      <c r="DX32" s="107">
        <f t="shared" si="40"/>
        <v>1.1239332268911237</v>
      </c>
      <c r="DY32" s="122">
        <f>DX32-DW32</f>
        <v>-6.7340677621443579E-3</v>
      </c>
      <c r="DZ32" s="107">
        <f t="shared" si="41"/>
        <v>1.0988800755363539</v>
      </c>
      <c r="EA32" s="122">
        <f t="shared" si="95"/>
        <v>-3.1787219116914178E-2</v>
      </c>
      <c r="EB32" s="107">
        <f t="shared" si="96"/>
        <v>1.0940820031617482</v>
      </c>
      <c r="EC32" s="122">
        <f t="shared" si="97"/>
        <v>-3.65852914915199E-2</v>
      </c>
      <c r="ED32" s="107">
        <f t="shared" ref="ED32:ED34" si="212">IF(SeilBeregnet=0,ED31,SeilBeregnet^0.5/Depl^0.33333)</f>
        <v>2.9650870178643154</v>
      </c>
      <c r="EE32" s="107">
        <f t="shared" ref="EE32:EE34" si="213">IF(SeilBeregnet=0,EE31,Lwl^0.3333)</f>
        <v>2.317501078004538</v>
      </c>
      <c r="EF32" s="107">
        <f t="shared" ref="EF32:EF34" si="214">IF(SeilBeregnet=0,EF31,((Loa+Lwl)/Bredde)^EF$3)</f>
        <v>1.5240266665582514</v>
      </c>
      <c r="EH32" s="107">
        <f t="shared" si="98"/>
        <v>1.0871307076354988</v>
      </c>
      <c r="EJ32" s="107">
        <f t="shared" ref="EJ32:EJ34" si="215">IF(SeilBeregnet=0,EJ31,SeilBeregnet^0.5/Depl^0.33333)</f>
        <v>2.9650870178643154</v>
      </c>
      <c r="EK32" s="107">
        <f t="shared" ref="EK32:EK34" si="216">IF(SeilBeregnet=0,EK31,Lwl^EK$3)</f>
        <v>2.3176764073442899</v>
      </c>
      <c r="EL32" s="107">
        <f t="shared" ref="EL32:EL34" si="217">IF(SeilBeregnet=0,EL31,((Loa+Lwl)/Bredde)^EL$3)</f>
        <v>1.7537419443002733</v>
      </c>
      <c r="EM32" s="107">
        <f t="shared" si="99"/>
        <v>1.0914262848532177</v>
      </c>
      <c r="EO32" s="107">
        <f t="shared" ref="EO32:EO34" si="218">IF(SeilBeregnet=0,EO31,(EP32*EQ32)^EO$3)</f>
        <v>4.5188716838908993</v>
      </c>
      <c r="EP32" s="107">
        <f t="shared" ref="EP32:EP34" si="219">IF(SeilBeregnet=0,EP31,SeilBeregnet^0.5/Depl^0.33333)</f>
        <v>2.9650870178643154</v>
      </c>
      <c r="EQ32" s="107">
        <f t="shared" ref="EQ32:EQ34" si="220">IF(SeilBeregnet=0,EQ31,((Loa+Lwl)/Bredde)^EQ$3)</f>
        <v>1.5240266665582514</v>
      </c>
      <c r="ER32" s="107">
        <f t="shared" ref="ER32:ER34" si="221">IF(SeilBeregnet=0,ER31,Lwl^ER$3)</f>
        <v>1.878418417945126</v>
      </c>
      <c r="ES32" s="107">
        <f t="shared" si="26"/>
        <v>1.0951252209108224</v>
      </c>
      <c r="EU32" s="107">
        <f>IF(SeilBeregnet=0,EU31,(EV:EV*EW:EW)^EU$3)</f>
        <v>1.6992062562843369</v>
      </c>
      <c r="EV32" s="107">
        <f t="shared" ref="EV32:EV34" si="222">IF(SeilBeregnet=0,EV31,SeilBeregnet^0.5/Depl^0.33333)</f>
        <v>2.9650870178643154</v>
      </c>
      <c r="EW32" s="107">
        <f t="shared" ref="EW32:EW34" si="223">IF(SeilBeregnet=0,EW31,((Loa+Lwl)/Bredde/6)^EW$3)</f>
        <v>0.97376632928482798</v>
      </c>
      <c r="EX32" s="107">
        <f t="shared" ref="EX32:EX34" si="224">IF(SeilBeregnet=0,EX31,(Lwl*0.7+Loa*0.3)^EX$3)</f>
        <v>1.8979153645159141</v>
      </c>
      <c r="EY32" s="107">
        <f t="shared" si="27"/>
        <v>1.0844518270205121</v>
      </c>
      <c r="FA32" s="107">
        <f t="shared" si="20"/>
        <v>1.6992966583230416</v>
      </c>
      <c r="FB32" s="107">
        <f t="shared" ref="FB32:FB34" si="225">IF(SeilBeregnet=0,FB31,SeilBeregnet^0.5/Depl^0.3333)</f>
        <v>2.9654025264034636</v>
      </c>
      <c r="FC32" s="107">
        <f t="shared" ref="FC32:FC34" si="226">IF(SeilBeregnet=0,FC31,((Loa+Lwl)/Bredde/6)^FC$3)</f>
        <v>0.97376632928482798</v>
      </c>
      <c r="FD32" s="107">
        <f t="shared" ref="FD32:FD34" si="227">IF(SeilBeregnet=0,FD31,(Lwl*0.7+Loa*0.3)^FD$3)</f>
        <v>1.8979153645159141</v>
      </c>
      <c r="FE32" s="107">
        <f t="shared" si="28"/>
        <v>1.0784718351424876</v>
      </c>
      <c r="FF32" s="141">
        <f t="shared" si="100"/>
        <v>-5.2195459510780529</v>
      </c>
      <c r="FG32" s="107">
        <f t="shared" si="21"/>
        <v>2.8118565458389289</v>
      </c>
      <c r="FH32" s="133">
        <f t="shared" ref="FH32:FH34" si="228">IF(SeilBeregnet=0,FH31,(SeilBeregnet^0.5/(Depl^0.3333))^FH$3)</f>
        <v>2.9654025264034636</v>
      </c>
      <c r="FI32" s="133">
        <f t="shared" ref="FI32:FI34" si="229">IF(SeilBeregnet=0,FI31,((Loa+Lwl)/Bredde/6)^FI$3)</f>
        <v>0.94822086404884798</v>
      </c>
      <c r="FJ32" s="107">
        <f t="shared" ref="FJ32:FJ34" si="230">IF(SeilBeregnet=0,FJ31,(Lwl*0.07+Loa*0.03)^FJ$3)</f>
        <v>1.0672762411810035</v>
      </c>
      <c r="FK32" s="107">
        <f t="shared" si="29"/>
        <v>1.1037173335815491</v>
      </c>
      <c r="FL32" s="141">
        <f t="shared" si="101"/>
        <v>-2.6949961071718986</v>
      </c>
      <c r="FM32" s="107">
        <f t="shared" si="22"/>
        <v>4.9376302360055364</v>
      </c>
      <c r="FN32" s="133">
        <f t="shared" ref="FN32:FN34" si="231">IF(SeilBeregnet=0,FN31,(SeilBeregnet^0.5/(Depl^0.3333))^FN$3)</f>
        <v>2.9654025264034636</v>
      </c>
      <c r="FO32" s="133">
        <f t="shared" ref="FO32:FO34" si="232">IF(SeilBeregnet=0,FO31,(SeilBeregnet^0.5/Lwl*FO$7)^FO$3)</f>
        <v>0.7767944531376656</v>
      </c>
      <c r="FP32" s="133">
        <f t="shared" ref="FP32:FP34" si="233">IF(SeilBeregnet=0,FP31,((Loa)/Bredde)^FP$3*FP$7)</f>
        <v>1.6954332564644077</v>
      </c>
      <c r="FQ32" s="107">
        <f t="shared" ref="FQ32:FQ34" si="234">IF(SeilBeregnet=0,FQ31,(Lwl)^FQ$3)</f>
        <v>1.878418417945126</v>
      </c>
      <c r="FR32" s="107">
        <f t="shared" si="30"/>
        <v>1.085292103680298</v>
      </c>
      <c r="FS32" s="141">
        <f t="shared" si="102"/>
        <v>-4.5375190972970048</v>
      </c>
      <c r="FT32" s="107">
        <f t="shared" si="23"/>
        <v>5.027642062068006</v>
      </c>
      <c r="FU32" s="133">
        <f t="shared" ref="FU32:FU34" si="235">IF(SeilBeregnet=0,FU31,(SeilBeregnet^0.5/(Depl^0.3333))^FU$3)</f>
        <v>2.9654025264034636</v>
      </c>
      <c r="FV32" s="133">
        <f t="shared" ref="FV32:FV34" si="236">IF(SeilBeregnet=0,FV31,(Loa/Bredde)^FV$3)</f>
        <v>1.6954332564644077</v>
      </c>
      <c r="FW32" s="107">
        <f t="shared" ref="FW32:FW34" si="237">IF(SeilBeregnet=0,FW31,Lwl^FW$3)</f>
        <v>1.878418417945126</v>
      </c>
      <c r="FY32">
        <v>0.95</v>
      </c>
      <c r="FZ32" s="62">
        <f t="shared" si="48"/>
        <v>1.1280197509325904</v>
      </c>
      <c r="GA32" s="62">
        <f t="shared" si="49"/>
        <v>2.0979533957417229</v>
      </c>
      <c r="GB32" s="107">
        <f t="shared" si="50"/>
        <v>1.0391922007995467</v>
      </c>
      <c r="GC32" s="440"/>
      <c r="GD32" s="57" t="s">
        <v>544</v>
      </c>
      <c r="GE32" s="436" t="s">
        <v>666</v>
      </c>
      <c r="GF32" s="496" t="s">
        <v>614</v>
      </c>
      <c r="GG32" s="57" t="s">
        <v>612</v>
      </c>
      <c r="GH32" s="57" t="s">
        <v>641</v>
      </c>
      <c r="GI32" s="17"/>
      <c r="GJ32" s="17"/>
      <c r="GL32" s="17"/>
      <c r="GM32" s="442"/>
      <c r="GN32" s="8"/>
      <c r="GO32" s="8"/>
      <c r="GP32" s="8"/>
      <c r="GQ32" s="8"/>
      <c r="GS32" s="17"/>
      <c r="GT32" s="17"/>
      <c r="GU32" s="17"/>
      <c r="GV32" s="629"/>
      <c r="GW32" s="17"/>
      <c r="GX32" s="17"/>
      <c r="GY32" s="17"/>
      <c r="GZ32" s="17"/>
    </row>
    <row r="33" spans="1:208" ht="15.6" x14ac:dyDescent="0.3">
      <c r="A33" s="60" t="s">
        <v>25</v>
      </c>
      <c r="B33" s="218"/>
      <c r="C33" s="14" t="str">
        <f>C31</f>
        <v>Gaffel</v>
      </c>
      <c r="G33" s="54"/>
      <c r="H33" s="204">
        <f>TBFavrundet</f>
        <v>107.5</v>
      </c>
      <c r="I33" s="63">
        <f>COUNTA(O33:AG33)</f>
        <v>4</v>
      </c>
      <c r="J33" s="222">
        <f>SUM(O33:AG33)</f>
        <v>114.69999999999999</v>
      </c>
      <c r="K33" s="116">
        <f>Seilareal/Depl^0.667/K$7</f>
        <v>0.99797399961475497</v>
      </c>
      <c r="L33" s="116">
        <f>Seilareal/Lwl/Lwl/L$7</f>
        <v>1.1227981511385945</v>
      </c>
      <c r="M33" s="92">
        <f>RiggF</f>
        <v>0.77044463818657383</v>
      </c>
      <c r="N33" s="242">
        <f>StHfaktor</f>
        <v>0.99602959901609622</v>
      </c>
      <c r="O33" s="143"/>
      <c r="P33" s="143"/>
      <c r="Q33" s="143"/>
      <c r="R33" s="165">
        <v>29.9</v>
      </c>
      <c r="S33" s="143"/>
      <c r="T33" s="143"/>
      <c r="U33" s="165">
        <v>21.9</v>
      </c>
      <c r="V33" s="143"/>
      <c r="W33" s="143"/>
      <c r="X33" s="165">
        <v>48.9</v>
      </c>
      <c r="Y33" s="143"/>
      <c r="Z33" s="143"/>
      <c r="AA33" s="143"/>
      <c r="AB33" s="143"/>
      <c r="AC33" s="165">
        <v>14</v>
      </c>
      <c r="AD33" s="143"/>
      <c r="AE33" s="143"/>
      <c r="AF33" s="143"/>
      <c r="AG33" s="551"/>
      <c r="AH33" s="557"/>
      <c r="AI33" s="557">
        <f t="shared" si="196"/>
        <v>12.06</v>
      </c>
      <c r="AJ33" s="337" t="str">
        <f t="shared" ref="AJ33" si="238" xml:space="preserve"> AJ32</f>
        <v>Clipper</v>
      </c>
      <c r="AK33" s="339"/>
      <c r="AL33" s="337">
        <f t="shared" ref="AL33" si="239" xml:space="preserve"> AL32</f>
        <v>0</v>
      </c>
      <c r="AM33" s="339"/>
      <c r="AN33" s="267" t="str">
        <f t="shared" si="199"/>
        <v>RS</v>
      </c>
      <c r="AO33" s="45">
        <f>VLOOKUP(AN33,Skrogform!$1:$1048576,3,FALSE)</f>
        <v>0.97</v>
      </c>
      <c r="AP33" s="64">
        <f t="shared" ref="AP33:BB33" si="240">AP32</f>
        <v>14.2</v>
      </c>
      <c r="AQ33" s="64">
        <f t="shared" si="240"/>
        <v>12.45</v>
      </c>
      <c r="AR33" s="64">
        <f t="shared" si="240"/>
        <v>4.9400000000000004</v>
      </c>
      <c r="AS33" s="64">
        <f t="shared" si="240"/>
        <v>2.5</v>
      </c>
      <c r="AT33" s="64"/>
      <c r="AU33" s="64">
        <f t="shared" si="240"/>
        <v>34.700000000000003</v>
      </c>
      <c r="AV33" s="64">
        <f t="shared" si="240"/>
        <v>5</v>
      </c>
      <c r="AW33" s="64">
        <f t="shared" si="240"/>
        <v>7</v>
      </c>
      <c r="AX33" s="256">
        <f>AX32</f>
        <v>500</v>
      </c>
      <c r="AY33" s="256">
        <f t="shared" si="240"/>
        <v>135</v>
      </c>
      <c r="AZ33" s="256">
        <f t="shared" si="240"/>
        <v>1300</v>
      </c>
      <c r="BA33" s="256">
        <f t="shared" si="240"/>
        <v>200</v>
      </c>
      <c r="BB33" s="256">
        <f t="shared" si="240"/>
        <v>300</v>
      </c>
      <c r="BC33" s="256"/>
      <c r="BD33" s="66"/>
      <c r="BE33" s="66"/>
      <c r="BF33" s="261"/>
      <c r="BG33" s="66"/>
      <c r="BH33" s="175"/>
      <c r="BI33" s="66"/>
      <c r="BJ33" s="66"/>
      <c r="BK33" s="65" t="str">
        <f t="shared" ref="BK33:BM33" si="241" xml:space="preserve"> BK32</f>
        <v>Seilrett</v>
      </c>
      <c r="BL33" s="267">
        <f t="shared" si="241"/>
        <v>3</v>
      </c>
      <c r="BM33" s="267">
        <f t="shared" si="241"/>
        <v>85</v>
      </c>
      <c r="BN33" s="45">
        <f t="shared" si="11"/>
        <v>1</v>
      </c>
      <c r="BO33" s="59"/>
      <c r="BP33" s="59"/>
      <c r="BR33" s="49">
        <f t="shared" si="202"/>
        <v>0</v>
      </c>
      <c r="BS33" s="49">
        <f t="shared" si="202"/>
        <v>0</v>
      </c>
      <c r="BT33" s="49">
        <f t="shared" si="202"/>
        <v>0</v>
      </c>
      <c r="BU33" s="49">
        <f t="shared" si="202"/>
        <v>29.9</v>
      </c>
      <c r="BV33" s="49">
        <f t="shared" si="202"/>
        <v>0</v>
      </c>
      <c r="BW33" s="49">
        <f t="shared" si="202"/>
        <v>0</v>
      </c>
      <c r="BX33" s="49">
        <f t="shared" si="202"/>
        <v>21.9</v>
      </c>
      <c r="BY33" s="549">
        <f>IF(COUNT(Q33:U33)&gt;1,MINA(Q33:U33)*BY$9,0)</f>
        <v>-10.95</v>
      </c>
      <c r="BZ33" s="85">
        <f t="shared" si="203"/>
        <v>0</v>
      </c>
      <c r="CA33" s="85">
        <f t="shared" si="203"/>
        <v>0</v>
      </c>
      <c r="CB33" s="85">
        <f t="shared" si="203"/>
        <v>39.120000000000005</v>
      </c>
      <c r="CC33" s="85">
        <f t="shared" si="203"/>
        <v>0</v>
      </c>
      <c r="CD33" s="85">
        <f t="shared" si="203"/>
        <v>0</v>
      </c>
      <c r="CE33" s="85">
        <f>IF(AC33=0,0,AC33*CE$9)</f>
        <v>8.4</v>
      </c>
      <c r="CF33" s="85">
        <f t="shared" si="204"/>
        <v>0</v>
      </c>
      <c r="CG33" s="85">
        <f t="shared" si="204"/>
        <v>0</v>
      </c>
      <c r="CH33" s="85">
        <f t="shared" si="205"/>
        <v>0</v>
      </c>
      <c r="CI33" s="85">
        <f t="shared" si="205"/>
        <v>0</v>
      </c>
      <c r="CJ33" s="85">
        <f t="shared" si="205"/>
        <v>0</v>
      </c>
      <c r="CK33" s="85">
        <f t="shared" si="205"/>
        <v>0</v>
      </c>
      <c r="CL33" s="100">
        <f>SUM(BR33:CK33)</f>
        <v>88.37</v>
      </c>
      <c r="CM33" s="50"/>
      <c r="CN33" s="104">
        <f>J33</f>
        <v>114.69999999999999</v>
      </c>
      <c r="CO33" s="101">
        <f>CL33/CN33</f>
        <v>0.77044463818657383</v>
      </c>
      <c r="CP33" s="51">
        <f>Seilareal/Lwl/Lwl</f>
        <v>0.73998806470863365</v>
      </c>
      <c r="CQ33" s="116">
        <f>Seilareal/Depl^0.667/K$7</f>
        <v>0.99797399961475497</v>
      </c>
      <c r="CR33" s="51">
        <f>Seilareal/Lwl/Lwl/SApRS1</f>
        <v>1.1227981511385945</v>
      </c>
      <c r="CS33" s="204"/>
      <c r="CT33" s="204">
        <f>(ROUND(TBF/CT$6,3)*CT$6)*CT$4</f>
        <v>107.5</v>
      </c>
      <c r="CU33" s="107">
        <f t="shared" si="36"/>
        <v>1.0770735721570557</v>
      </c>
      <c r="CV33" s="62">
        <f t="shared" si="13"/>
        <v>2.8529008332674781</v>
      </c>
      <c r="CW33" s="62">
        <f t="shared" si="14"/>
        <v>1.6423667133294657</v>
      </c>
      <c r="CX33" s="62">
        <f t="shared" si="15"/>
        <v>1.878418417945126</v>
      </c>
      <c r="CY33" s="107">
        <f t="shared" si="16"/>
        <v>0.99602959901609622</v>
      </c>
      <c r="CZ33" s="168" t="str">
        <f t="shared" si="86"/>
        <v>-</v>
      </c>
      <c r="DA33" s="158"/>
      <c r="DB33" s="168" t="str">
        <f t="shared" si="87"/>
        <v>-</v>
      </c>
      <c r="DC33" s="160"/>
      <c r="DD33" s="190" t="s">
        <v>134</v>
      </c>
      <c r="DE33" s="62">
        <v>0.86</v>
      </c>
      <c r="DF33" s="62">
        <v>0.86</v>
      </c>
      <c r="DG33" s="62">
        <v>0.86</v>
      </c>
      <c r="DH33" s="150">
        <v>0.89</v>
      </c>
      <c r="DI33" s="62">
        <f t="shared" si="39"/>
        <v>2.1595647629415629</v>
      </c>
      <c r="DJ33" s="47">
        <f t="shared" si="17"/>
        <v>13.594344752582927</v>
      </c>
      <c r="DK33" s="48">
        <f t="shared" si="90"/>
        <v>0</v>
      </c>
      <c r="DM33" s="107">
        <f t="shared" si="25"/>
        <v>1.0662965405091853</v>
      </c>
      <c r="DN33" s="141" t="str">
        <f t="shared" si="91"/>
        <v>-</v>
      </c>
      <c r="DO33" s="107">
        <f t="shared" si="195"/>
        <v>4.5778754973423759</v>
      </c>
      <c r="DP33" s="133">
        <f t="shared" si="206"/>
        <v>2.882442240877968</v>
      </c>
      <c r="DQ33" s="133">
        <f t="shared" si="207"/>
        <v>0</v>
      </c>
      <c r="DR33" s="133">
        <f t="shared" si="208"/>
        <v>0</v>
      </c>
      <c r="DS33" s="133">
        <f t="shared" si="209"/>
        <v>1.6954332564644077</v>
      </c>
      <c r="DT33" s="107">
        <f t="shared" si="210"/>
        <v>1.878418417945126</v>
      </c>
      <c r="DU33" s="133">
        <f t="shared" si="211"/>
        <v>2.0979533957417229</v>
      </c>
      <c r="DW33" s="107">
        <f t="shared" si="152"/>
        <v>1.110385125935109</v>
      </c>
      <c r="DX33" s="107">
        <f t="shared" si="40"/>
        <v>1.0993235098164886</v>
      </c>
      <c r="DZ33" s="107">
        <f t="shared" si="41"/>
        <v>1.0797067759941366</v>
      </c>
      <c r="EA33" s="122" t="str">
        <f t="shared" si="95"/>
        <v>-</v>
      </c>
      <c r="EB33" s="107">
        <f t="shared" si="96"/>
        <v>1.0713040096584865</v>
      </c>
      <c r="EC33" s="122" t="str">
        <f t="shared" si="97"/>
        <v>-</v>
      </c>
      <c r="ED33" s="107">
        <f t="shared" si="212"/>
        <v>2.8821355590253357</v>
      </c>
      <c r="EE33" s="107">
        <f t="shared" si="213"/>
        <v>2.317501078004538</v>
      </c>
      <c r="EF33" s="107">
        <f t="shared" si="214"/>
        <v>1.5240266665582514</v>
      </c>
      <c r="EH33" s="107">
        <f t="shared" si="98"/>
        <v>1.0668257968446608</v>
      </c>
      <c r="EJ33" s="107">
        <f t="shared" si="215"/>
        <v>2.8821355590253357</v>
      </c>
      <c r="EK33" s="107">
        <f t="shared" si="216"/>
        <v>2.3176764073442899</v>
      </c>
      <c r="EL33" s="107">
        <f t="shared" si="217"/>
        <v>1.7537419443002733</v>
      </c>
      <c r="EM33" s="107">
        <f t="shared" si="99"/>
        <v>1.0702602956398888</v>
      </c>
      <c r="EO33" s="107">
        <f t="shared" si="218"/>
        <v>4.3924514485903847</v>
      </c>
      <c r="EP33" s="107">
        <f t="shared" si="219"/>
        <v>2.8821355590253357</v>
      </c>
      <c r="EQ33" s="107">
        <f t="shared" si="220"/>
        <v>1.5240266665582514</v>
      </c>
      <c r="ER33" s="107">
        <f t="shared" si="221"/>
        <v>1.878418417945126</v>
      </c>
      <c r="ES33" s="107">
        <f t="shared" si="26"/>
        <v>1.073265610576809</v>
      </c>
      <c r="EU33" s="107">
        <f>IF(SeilBeregnet=0,EU32,(EV:EV*EW:EW)^EU$3)</f>
        <v>1.675269101909713</v>
      </c>
      <c r="EV33" s="107">
        <f t="shared" si="222"/>
        <v>2.8821355590253357</v>
      </c>
      <c r="EW33" s="107">
        <f t="shared" si="223"/>
        <v>0.97376632928482798</v>
      </c>
      <c r="EX33" s="107">
        <f t="shared" si="224"/>
        <v>1.8979153645159141</v>
      </c>
      <c r="EY33" s="107">
        <f t="shared" si="27"/>
        <v>1.0691748759739703</v>
      </c>
      <c r="FA33" s="107">
        <f t="shared" si="20"/>
        <v>1.6753582304317105</v>
      </c>
      <c r="FB33" s="107">
        <f t="shared" si="225"/>
        <v>2.882442240877968</v>
      </c>
      <c r="FC33" s="107">
        <f t="shared" si="226"/>
        <v>0.97376632928482798</v>
      </c>
      <c r="FD33" s="107">
        <f t="shared" si="227"/>
        <v>1.8979153645159141</v>
      </c>
      <c r="FE33" s="107">
        <f t="shared" si="28"/>
        <v>1.0608408783351513</v>
      </c>
      <c r="FF33" s="141" t="str">
        <f t="shared" si="100"/>
        <v>-</v>
      </c>
      <c r="FG33" s="107">
        <f t="shared" si="21"/>
        <v>2.7331918722162043</v>
      </c>
      <c r="FH33" s="133">
        <f t="shared" si="228"/>
        <v>2.882442240877968</v>
      </c>
      <c r="FI33" s="133">
        <f t="shared" si="229"/>
        <v>0.94822086404884798</v>
      </c>
      <c r="FJ33" s="107">
        <f t="shared" si="230"/>
        <v>1.0672762411810035</v>
      </c>
      <c r="FK33" s="107">
        <f t="shared" si="29"/>
        <v>1.080315357667301</v>
      </c>
      <c r="FL33" s="141" t="str">
        <f t="shared" si="101"/>
        <v>-</v>
      </c>
      <c r="FM33" s="107">
        <f t="shared" si="22"/>
        <v>4.8329383005427626</v>
      </c>
      <c r="FN33" s="133">
        <f t="shared" si="231"/>
        <v>2.882442240877968</v>
      </c>
      <c r="FO33" s="133">
        <f t="shared" si="232"/>
        <v>0.75506280320038688</v>
      </c>
      <c r="FP33" s="133">
        <f t="shared" si="233"/>
        <v>1.6954332564644077</v>
      </c>
      <c r="FQ33" s="107">
        <f t="shared" si="234"/>
        <v>1.878418417945126</v>
      </c>
      <c r="FR33" s="107">
        <f t="shared" si="30"/>
        <v>1.0683828964103179</v>
      </c>
      <c r="FS33" s="141" t="str">
        <f t="shared" si="102"/>
        <v>-</v>
      </c>
      <c r="FT33" s="107">
        <f t="shared" si="23"/>
        <v>4.8869884350222978</v>
      </c>
      <c r="FU33" s="133">
        <f t="shared" si="235"/>
        <v>2.882442240877968</v>
      </c>
      <c r="FV33" s="133">
        <f t="shared" si="236"/>
        <v>1.6954332564644077</v>
      </c>
      <c r="FW33" s="107">
        <f t="shared" si="237"/>
        <v>1.878418417945126</v>
      </c>
      <c r="FY33">
        <v>0.95</v>
      </c>
      <c r="FZ33" s="62">
        <f t="shared" si="48"/>
        <v>1.1141748700320655</v>
      </c>
      <c r="GA33" s="62">
        <f t="shared" si="49"/>
        <v>2.0979533957417229</v>
      </c>
      <c r="GB33" s="107">
        <f t="shared" si="50"/>
        <v>1.0294095638078276</v>
      </c>
      <c r="GC33" s="440"/>
      <c r="GD33" s="17"/>
      <c r="GE33" s="442"/>
      <c r="GF33" s="462"/>
      <c r="GG33" s="17"/>
      <c r="GH33" s="17"/>
      <c r="GI33" s="17"/>
      <c r="GJ33" s="17"/>
      <c r="GL33" s="17"/>
      <c r="GM33" s="442"/>
      <c r="GN33" s="8"/>
      <c r="GO33" s="8"/>
      <c r="GP33" s="8"/>
      <c r="GQ33" s="8"/>
      <c r="GS33" s="17"/>
      <c r="GT33" s="17"/>
      <c r="GU33" s="17"/>
      <c r="GV33" s="629"/>
      <c r="GW33" s="17"/>
      <c r="GX33" s="17"/>
      <c r="GY33" s="17"/>
      <c r="GZ33" s="17"/>
    </row>
    <row r="34" spans="1:208" ht="15.6" x14ac:dyDescent="0.3">
      <c r="A34" s="60" t="s">
        <v>148</v>
      </c>
      <c r="B34" s="218"/>
      <c r="C34" s="14" t="str">
        <f>C32</f>
        <v>Gaffel</v>
      </c>
      <c r="G34" s="54"/>
      <c r="H34" s="204">
        <f>TBFavrundet</f>
        <v>103.49999999999999</v>
      </c>
      <c r="I34" s="63">
        <f>COUNTA(O34:AG34)</f>
        <v>4</v>
      </c>
      <c r="J34" s="222">
        <f>SUM(O34:AG34)</f>
        <v>102.6</v>
      </c>
      <c r="K34" s="116">
        <f>Seilareal/Depl^0.667/K$7</f>
        <v>0.89269513827788882</v>
      </c>
      <c r="L34" s="116">
        <f>Seilareal/Lwl/Lwl/L$7</f>
        <v>1.0043512668423697</v>
      </c>
      <c r="M34" s="92">
        <f>RiggF</f>
        <v>0.76335282651072145</v>
      </c>
      <c r="N34" s="242">
        <f>StHfaktor</f>
        <v>0.99602959901609622</v>
      </c>
      <c r="O34" s="143"/>
      <c r="P34" s="143"/>
      <c r="Q34" s="143"/>
      <c r="R34" s="143"/>
      <c r="S34" s="165">
        <v>17.8</v>
      </c>
      <c r="T34" s="143"/>
      <c r="U34" s="165">
        <v>21.9</v>
      </c>
      <c r="V34" s="143"/>
      <c r="W34" s="143"/>
      <c r="X34" s="165">
        <v>48.9</v>
      </c>
      <c r="Y34" s="143"/>
      <c r="Z34" s="143"/>
      <c r="AA34" s="143"/>
      <c r="AB34" s="143"/>
      <c r="AC34" s="165">
        <v>14</v>
      </c>
      <c r="AD34" s="143"/>
      <c r="AE34" s="143"/>
      <c r="AF34" s="143"/>
      <c r="AG34" s="551"/>
      <c r="AH34" s="557"/>
      <c r="AI34" s="557">
        <f t="shared" si="196"/>
        <v>12.06</v>
      </c>
      <c r="AJ34" s="337" t="str">
        <f t="shared" ref="AJ34" si="242" xml:space="preserve"> AJ33</f>
        <v>Clipper</v>
      </c>
      <c r="AK34" s="339"/>
      <c r="AL34" s="337">
        <f t="shared" ref="AL34" si="243" xml:space="preserve"> AL33</f>
        <v>0</v>
      </c>
      <c r="AM34" s="339"/>
      <c r="AN34" s="267" t="str">
        <f t="shared" si="199"/>
        <v>RS</v>
      </c>
      <c r="AO34" s="45">
        <f>VLOOKUP(AN34,Skrogform!$1:$1048576,3,FALSE)</f>
        <v>0.97</v>
      </c>
      <c r="AP34" s="64">
        <f t="shared" ref="AP34:BB34" si="244">AP33</f>
        <v>14.2</v>
      </c>
      <c r="AQ34" s="64">
        <f t="shared" si="244"/>
        <v>12.45</v>
      </c>
      <c r="AR34" s="64">
        <f t="shared" si="244"/>
        <v>4.9400000000000004</v>
      </c>
      <c r="AS34" s="64">
        <f t="shared" si="244"/>
        <v>2.5</v>
      </c>
      <c r="AT34" s="64"/>
      <c r="AU34" s="64">
        <f t="shared" si="244"/>
        <v>34.700000000000003</v>
      </c>
      <c r="AV34" s="64">
        <f t="shared" si="244"/>
        <v>5</v>
      </c>
      <c r="AW34" s="64">
        <f t="shared" si="244"/>
        <v>7</v>
      </c>
      <c r="AX34" s="256">
        <f>AX33</f>
        <v>500</v>
      </c>
      <c r="AY34" s="256">
        <f t="shared" si="244"/>
        <v>135</v>
      </c>
      <c r="AZ34" s="256">
        <f t="shared" si="244"/>
        <v>1300</v>
      </c>
      <c r="BA34" s="256">
        <f t="shared" si="244"/>
        <v>200</v>
      </c>
      <c r="BB34" s="256">
        <f t="shared" si="244"/>
        <v>300</v>
      </c>
      <c r="BC34" s="256"/>
      <c r="BD34" s="66"/>
      <c r="BE34" s="66"/>
      <c r="BF34" s="261"/>
      <c r="BG34" s="66"/>
      <c r="BH34" s="175"/>
      <c r="BI34" s="66"/>
      <c r="BJ34" s="66"/>
      <c r="BK34" s="65" t="str">
        <f t="shared" ref="BK34:BM34" si="245" xml:space="preserve"> BK33</f>
        <v>Seilrett</v>
      </c>
      <c r="BL34" s="267">
        <f t="shared" si="245"/>
        <v>3</v>
      </c>
      <c r="BM34" s="267">
        <f t="shared" si="245"/>
        <v>85</v>
      </c>
      <c r="BN34" s="45">
        <f t="shared" si="11"/>
        <v>1</v>
      </c>
      <c r="BO34" s="59"/>
      <c r="BP34" s="59"/>
      <c r="BR34" s="49">
        <f t="shared" si="202"/>
        <v>0</v>
      </c>
      <c r="BS34" s="49">
        <f t="shared" si="202"/>
        <v>0</v>
      </c>
      <c r="BT34" s="49">
        <f t="shared" si="202"/>
        <v>0</v>
      </c>
      <c r="BU34" s="49">
        <f t="shared" si="202"/>
        <v>0</v>
      </c>
      <c r="BV34" s="49">
        <f t="shared" si="202"/>
        <v>17.8</v>
      </c>
      <c r="BW34" s="49">
        <f t="shared" si="202"/>
        <v>0</v>
      </c>
      <c r="BX34" s="49">
        <f t="shared" si="202"/>
        <v>21.9</v>
      </c>
      <c r="BY34" s="549">
        <f>IF(COUNT(Q34:U34)&gt;1,MINA(Q34:U34)*BY$9,0)</f>
        <v>-8.9</v>
      </c>
      <c r="BZ34" s="85">
        <f t="shared" si="203"/>
        <v>0</v>
      </c>
      <c r="CA34" s="85">
        <f t="shared" si="203"/>
        <v>0</v>
      </c>
      <c r="CB34" s="85">
        <f t="shared" si="203"/>
        <v>39.120000000000005</v>
      </c>
      <c r="CC34" s="85">
        <f t="shared" si="203"/>
        <v>0</v>
      </c>
      <c r="CD34" s="85">
        <f t="shared" si="203"/>
        <v>0</v>
      </c>
      <c r="CE34" s="85">
        <f>IF(AC34=0,0,AC34*CE$9)</f>
        <v>8.4</v>
      </c>
      <c r="CF34" s="85">
        <f t="shared" si="204"/>
        <v>0</v>
      </c>
      <c r="CG34" s="85">
        <f t="shared" si="204"/>
        <v>0</v>
      </c>
      <c r="CH34" s="85">
        <f t="shared" si="205"/>
        <v>0</v>
      </c>
      <c r="CI34" s="85">
        <f t="shared" si="205"/>
        <v>0</v>
      </c>
      <c r="CJ34" s="85">
        <f t="shared" si="205"/>
        <v>0</v>
      </c>
      <c r="CK34" s="85">
        <f t="shared" si="205"/>
        <v>0</v>
      </c>
      <c r="CL34" s="100">
        <f>SUM(BR34:CK34)</f>
        <v>78.320000000000022</v>
      </c>
      <c r="CM34" s="50"/>
      <c r="CN34" s="104">
        <f>J34</f>
        <v>102.6</v>
      </c>
      <c r="CO34" s="101">
        <f>CL34/CN34</f>
        <v>0.76335282651072145</v>
      </c>
      <c r="CP34" s="51">
        <f>Seilareal/Lwl/Lwl</f>
        <v>0.66192480766439254</v>
      </c>
      <c r="CQ34" s="116">
        <f>Seilareal/Depl^0.667/K$7</f>
        <v>0.89269513827788882</v>
      </c>
      <c r="CR34" s="51">
        <f>Seilareal/Lwl/Lwl/SApRS1</f>
        <v>1.0043512668423697</v>
      </c>
      <c r="CS34" s="204"/>
      <c r="CT34" s="204">
        <f>(ROUND(TBF/CT$6,3)*CT$6)*CT$4</f>
        <v>103.49999999999999</v>
      </c>
      <c r="CU34" s="107">
        <f t="shared" si="36"/>
        <v>1.0370313685178802</v>
      </c>
      <c r="CV34" s="62">
        <f t="shared" si="13"/>
        <v>2.6857809417702567</v>
      </c>
      <c r="CW34" s="62">
        <f t="shared" si="14"/>
        <v>1.6423667133294657</v>
      </c>
      <c r="CX34" s="62">
        <f t="shared" si="15"/>
        <v>1.878418417945126</v>
      </c>
      <c r="CY34" s="107">
        <f t="shared" si="16"/>
        <v>0.99602959901609622</v>
      </c>
      <c r="CZ34" s="168" t="str">
        <f t="shared" si="86"/>
        <v>-</v>
      </c>
      <c r="DA34" s="158"/>
      <c r="DB34" s="168" t="str">
        <f t="shared" si="87"/>
        <v>-</v>
      </c>
      <c r="DC34" s="160"/>
      <c r="DD34" s="190" t="s">
        <v>134</v>
      </c>
      <c r="DE34" s="62">
        <v>0.82</v>
      </c>
      <c r="DF34" s="62">
        <v>0.83</v>
      </c>
      <c r="DG34" s="62">
        <v>0.82</v>
      </c>
      <c r="DH34" s="150">
        <v>0.86</v>
      </c>
      <c r="DI34" s="62">
        <f t="shared" si="39"/>
        <v>2.1595647629415629</v>
      </c>
      <c r="DJ34" s="47">
        <f t="shared" si="17"/>
        <v>13.594344752582927</v>
      </c>
      <c r="DK34" s="48">
        <f t="shared" si="90"/>
        <v>0</v>
      </c>
      <c r="DM34" s="107">
        <f t="shared" si="25"/>
        <v>1.0269672505612013</v>
      </c>
      <c r="DN34" s="141" t="str">
        <f t="shared" si="91"/>
        <v>-</v>
      </c>
      <c r="DO34" s="107">
        <f t="shared" si="195"/>
        <v>4.4090251016590392</v>
      </c>
      <c r="DP34" s="133">
        <f t="shared" si="206"/>
        <v>2.7135918451946317</v>
      </c>
      <c r="DQ34" s="133">
        <f t="shared" si="207"/>
        <v>0</v>
      </c>
      <c r="DR34" s="133">
        <f t="shared" si="208"/>
        <v>0</v>
      </c>
      <c r="DS34" s="133">
        <f t="shared" si="209"/>
        <v>1.6954332564644077</v>
      </c>
      <c r="DT34" s="107">
        <f t="shared" si="210"/>
        <v>1.878418417945126</v>
      </c>
      <c r="DU34" s="133">
        <f t="shared" si="211"/>
        <v>2.0979533957417229</v>
      </c>
      <c r="DW34" s="107">
        <f t="shared" si="152"/>
        <v>1.0691045036266804</v>
      </c>
      <c r="DX34" s="107">
        <f t="shared" si="40"/>
        <v>1.0492349591396699</v>
      </c>
      <c r="DZ34" s="107">
        <f t="shared" si="41"/>
        <v>1.0406830528505659</v>
      </c>
      <c r="EA34" s="122" t="str">
        <f t="shared" si="95"/>
        <v>-</v>
      </c>
      <c r="EB34" s="107">
        <f t="shared" si="96"/>
        <v>1.0249435952561494</v>
      </c>
      <c r="EC34" s="122" t="str">
        <f t="shared" si="97"/>
        <v>-</v>
      </c>
      <c r="ED34" s="107">
        <f t="shared" si="212"/>
        <v>2.7133031284382056</v>
      </c>
      <c r="EE34" s="107">
        <f t="shared" si="213"/>
        <v>2.317501078004538</v>
      </c>
      <c r="EF34" s="107">
        <f t="shared" si="214"/>
        <v>1.5240266665582514</v>
      </c>
      <c r="EH34" s="107">
        <f t="shared" si="98"/>
        <v>1.0254988872320576</v>
      </c>
      <c r="EJ34" s="107">
        <f t="shared" si="215"/>
        <v>2.7133031284382056</v>
      </c>
      <c r="EK34" s="107">
        <f t="shared" si="216"/>
        <v>2.3176764073442899</v>
      </c>
      <c r="EL34" s="107">
        <f t="shared" si="217"/>
        <v>1.7537419443002733</v>
      </c>
      <c r="EM34" s="107">
        <f t="shared" si="99"/>
        <v>1.0271808193451564</v>
      </c>
      <c r="EO34" s="107">
        <f t="shared" si="218"/>
        <v>4.1351463221957534</v>
      </c>
      <c r="EP34" s="107">
        <f t="shared" si="219"/>
        <v>2.7133031284382056</v>
      </c>
      <c r="EQ34" s="107">
        <f t="shared" si="220"/>
        <v>1.5240266665582514</v>
      </c>
      <c r="ER34" s="107">
        <f t="shared" si="221"/>
        <v>1.878418417945126</v>
      </c>
      <c r="ES34" s="107">
        <f t="shared" si="26"/>
        <v>1.0277803677734192</v>
      </c>
      <c r="EU34" s="107">
        <f>IF(SeilBeregnet=0,EU33,(EV:EV*EW:EW)^EU$3)</f>
        <v>1.6254609277421317</v>
      </c>
      <c r="EV34" s="107">
        <f t="shared" si="222"/>
        <v>2.7133031284382056</v>
      </c>
      <c r="EW34" s="107">
        <f t="shared" si="223"/>
        <v>0.97376632928482798</v>
      </c>
      <c r="EX34" s="107">
        <f t="shared" si="224"/>
        <v>1.8979153645159141</v>
      </c>
      <c r="EY34" s="107">
        <f t="shared" si="27"/>
        <v>1.0373867600364131</v>
      </c>
      <c r="FA34" s="107">
        <f t="shared" si="20"/>
        <v>1.6255474063442197</v>
      </c>
      <c r="FB34" s="107">
        <f t="shared" si="225"/>
        <v>2.7135918451946317</v>
      </c>
      <c r="FC34" s="107">
        <f t="shared" si="226"/>
        <v>0.97376632928482798</v>
      </c>
      <c r="FD34" s="107">
        <f t="shared" si="227"/>
        <v>1.8979153645159141</v>
      </c>
      <c r="FE34" s="107">
        <f t="shared" si="28"/>
        <v>1.0249563100222849</v>
      </c>
      <c r="FF34" s="141" t="str">
        <f t="shared" si="100"/>
        <v>-</v>
      </c>
      <c r="FG34" s="107">
        <f t="shared" si="21"/>
        <v>2.5730844041263614</v>
      </c>
      <c r="FH34" s="133">
        <f t="shared" si="228"/>
        <v>2.7135918451946317</v>
      </c>
      <c r="FI34" s="133">
        <f t="shared" si="229"/>
        <v>0.94822086404884798</v>
      </c>
      <c r="FJ34" s="107">
        <f t="shared" si="230"/>
        <v>1.0672762411810035</v>
      </c>
      <c r="FK34" s="107">
        <f t="shared" si="29"/>
        <v>1.0326849418862662</v>
      </c>
      <c r="FL34" s="141" t="str">
        <f t="shared" si="101"/>
        <v>-</v>
      </c>
      <c r="FM34" s="107">
        <f t="shared" si="22"/>
        <v>4.6198571302481986</v>
      </c>
      <c r="FN34" s="133">
        <f t="shared" si="231"/>
        <v>2.7135918451946317</v>
      </c>
      <c r="FO34" s="133">
        <f t="shared" si="232"/>
        <v>0.71083202858915961</v>
      </c>
      <c r="FP34" s="133">
        <f t="shared" si="233"/>
        <v>1.6954332564644077</v>
      </c>
      <c r="FQ34" s="107">
        <f t="shared" si="234"/>
        <v>1.878418417945126</v>
      </c>
      <c r="FR34" s="107">
        <f t="shared" si="30"/>
        <v>1.0339673164717667</v>
      </c>
      <c r="FS34" s="141" t="str">
        <f t="shared" si="102"/>
        <v>-</v>
      </c>
      <c r="FT34" s="107">
        <f t="shared" si="23"/>
        <v>4.6007138588135952</v>
      </c>
      <c r="FU34" s="133">
        <f t="shared" si="235"/>
        <v>2.7135918451946317</v>
      </c>
      <c r="FV34" s="133">
        <f t="shared" si="236"/>
        <v>1.6954332564644077</v>
      </c>
      <c r="FW34" s="107">
        <f t="shared" si="237"/>
        <v>1.878418417945126</v>
      </c>
      <c r="FY34">
        <v>0.95</v>
      </c>
      <c r="FZ34" s="62">
        <f t="shared" si="48"/>
        <v>1.0859961625525225</v>
      </c>
      <c r="GA34" s="62">
        <f t="shared" si="49"/>
        <v>2.0979533957417229</v>
      </c>
      <c r="GB34" s="107">
        <f t="shared" si="50"/>
        <v>1.0089032075056024</v>
      </c>
      <c r="GC34" s="440"/>
      <c r="GD34" s="17"/>
      <c r="GE34" s="442"/>
      <c r="GF34" s="462"/>
      <c r="GG34" s="17"/>
      <c r="GH34" s="17"/>
      <c r="GI34" s="17"/>
      <c r="GJ34" s="17"/>
      <c r="GL34" s="17"/>
      <c r="GM34" s="442"/>
      <c r="GN34" s="8"/>
      <c r="GO34" s="8"/>
      <c r="GP34" s="8"/>
      <c r="GQ34" s="8"/>
      <c r="GS34" s="17"/>
      <c r="GT34" s="17"/>
      <c r="GU34" s="17"/>
      <c r="GV34" s="629"/>
      <c r="GW34" s="17"/>
      <c r="GX34" s="17"/>
      <c r="GY34" s="17"/>
      <c r="GZ34" s="17"/>
    </row>
    <row r="35" spans="1:208" ht="15.6" x14ac:dyDescent="0.3">
      <c r="A35" s="52" t="s">
        <v>830</v>
      </c>
      <c r="B35" s="218">
        <f t="shared" si="10"/>
        <v>47.440944881889763</v>
      </c>
      <c r="C35" s="53" t="s">
        <v>19</v>
      </c>
      <c r="D35" s="53"/>
      <c r="E35" s="53"/>
      <c r="F35" s="53"/>
      <c r="G35" s="54" t="s">
        <v>20</v>
      </c>
      <c r="H35" s="112">
        <f>J36</f>
        <v>145.69999999999999</v>
      </c>
      <c r="I35" s="601">
        <f>H36/100</f>
        <v>1.135</v>
      </c>
      <c r="J35" s="651">
        <f>IF(DC36=0,"-",DC36)</f>
        <v>1.17</v>
      </c>
      <c r="K35" s="123" t="str">
        <f>A35</f>
        <v>RS 32 Kragerø</v>
      </c>
      <c r="L35" s="116"/>
      <c r="M35" s="116"/>
      <c r="N35" s="92"/>
      <c r="O35" s="165"/>
      <c r="P35" s="165"/>
      <c r="Q35" s="165"/>
      <c r="R35" s="165">
        <v>31</v>
      </c>
      <c r="S35" s="165">
        <v>19</v>
      </c>
      <c r="T35" s="165"/>
      <c r="U35" s="165">
        <v>25</v>
      </c>
      <c r="V35" s="559"/>
      <c r="W35" s="559"/>
      <c r="X35" s="165">
        <v>53.7</v>
      </c>
      <c r="Y35" s="165"/>
      <c r="Z35" s="165"/>
      <c r="AA35" s="165">
        <v>20</v>
      </c>
      <c r="AB35" s="165">
        <v>12.3</v>
      </c>
      <c r="AC35" s="165">
        <v>16.2</v>
      </c>
      <c r="AD35" s="165"/>
      <c r="AE35" s="165"/>
      <c r="AF35" s="165"/>
      <c r="AG35" s="552"/>
      <c r="AH35" s="244">
        <v>8.35</v>
      </c>
      <c r="AI35" s="244">
        <v>13.05</v>
      </c>
      <c r="AJ35" s="554" t="s">
        <v>650</v>
      </c>
      <c r="AK35" s="339"/>
      <c r="AL35" s="268"/>
      <c r="AM35" s="339"/>
      <c r="AN35" s="268" t="s">
        <v>233</v>
      </c>
      <c r="AO35" s="45">
        <f>VLOOKUP(AN35,Skrogform!$1:$1048576,3,FALSE)</f>
        <v>0.97</v>
      </c>
      <c r="AP35" s="55">
        <v>14.46</v>
      </c>
      <c r="AQ35" s="55">
        <v>12.8</v>
      </c>
      <c r="AR35" s="55">
        <v>4.9800000000000004</v>
      </c>
      <c r="AS35" s="55">
        <v>2.5</v>
      </c>
      <c r="AT35" s="637">
        <v>33</v>
      </c>
      <c r="AU35" s="55">
        <v>33</v>
      </c>
      <c r="AV35" s="55">
        <v>9</v>
      </c>
      <c r="AW35" s="55"/>
      <c r="AX35" s="253">
        <v>1300</v>
      </c>
      <c r="AY35" s="253">
        <v>230</v>
      </c>
      <c r="AZ35" s="253">
        <v>1300</v>
      </c>
      <c r="BA35" s="253">
        <v>200</v>
      </c>
      <c r="BB35" s="253">
        <v>300</v>
      </c>
      <c r="BC35" s="244">
        <f>Depl+Diesel/1000*0.84+Vann/1000</f>
        <v>33.452000000000005</v>
      </c>
      <c r="BD35" s="95">
        <f>Bredde/(Loa+Lwl)*2</f>
        <v>0.36537050623624356</v>
      </c>
      <c r="BE35" s="95">
        <f>(Kjøl+Ballast)/Depl</f>
        <v>0.27272727272727271</v>
      </c>
      <c r="BF35" s="627">
        <f>BF$7*((Depl-Kjøl-Ballast-VektMotor/1000-VektAnnet/1000)/Lwl/Lwl/Bredde)</f>
        <v>0.98979240052155715</v>
      </c>
      <c r="BG35" s="95">
        <f>BG$7*(Depl/Loa/Lwl/Lwl)</f>
        <v>1.0250379456326177</v>
      </c>
      <c r="BH35" s="174">
        <f>BH$7*(Depl/Loa/Lwl/Bredde)</f>
        <v>0.97385182261723224</v>
      </c>
      <c r="BI35" s="95">
        <f>BI$7*Bredde/(Loa+Lwl)*2</f>
        <v>1.0422881215534991</v>
      </c>
      <c r="BJ35" s="95">
        <f>BJ$7*(Dypg/Lwl)</f>
        <v>1.068274456521739</v>
      </c>
      <c r="BK35" s="56" t="s">
        <v>39</v>
      </c>
      <c r="BL35" s="268">
        <v>6</v>
      </c>
      <c r="BM35" s="268">
        <v>65</v>
      </c>
      <c r="BN35" s="45">
        <f t="shared" si="11"/>
        <v>0.97440497416094862</v>
      </c>
      <c r="BO35" s="59"/>
      <c r="BP35" s="59"/>
      <c r="BR35" s="209"/>
      <c r="BS35" s="209"/>
      <c r="BT35" s="209" t="str">
        <f>$A35</f>
        <v>RS 32 Kragerø</v>
      </c>
      <c r="BU35" s="10"/>
      <c r="BV35" s="10"/>
      <c r="BW35" s="10"/>
      <c r="BX35" s="10"/>
      <c r="BY35" s="549"/>
      <c r="BZ35" s="10"/>
      <c r="CA35" s="10"/>
      <c r="CB35" s="209" t="str">
        <f>$A35</f>
        <v>RS 32 Kragerø</v>
      </c>
      <c r="CC35" s="10"/>
      <c r="CD35" s="10"/>
      <c r="CE35" s="10"/>
      <c r="CF35" s="10"/>
      <c r="CG35" s="10"/>
      <c r="CH35" s="10"/>
      <c r="CI35" s="10"/>
      <c r="CJ35" s="10"/>
      <c r="CK35" s="10"/>
      <c r="CL35" s="209"/>
      <c r="CM35" s="10"/>
      <c r="CN35" s="209" t="str">
        <f>$A35</f>
        <v>RS 32 Kragerø</v>
      </c>
      <c r="CO35" s="207"/>
      <c r="CP35" s="207"/>
      <c r="CQ35" s="116"/>
      <c r="CR35" s="207"/>
      <c r="CS35" s="203"/>
      <c r="CT35" s="203" t="s">
        <v>23</v>
      </c>
      <c r="CU35" s="107" t="str">
        <f t="shared" si="36"/>
        <v>-</v>
      </c>
      <c r="CV35" s="62" t="str">
        <f t="shared" si="13"/>
        <v>-</v>
      </c>
      <c r="CW35" s="62" t="str">
        <f t="shared" si="14"/>
        <v>-</v>
      </c>
      <c r="CX35" s="62" t="str">
        <f t="shared" si="15"/>
        <v>-</v>
      </c>
      <c r="CY35" s="107" t="str">
        <f t="shared" si="16"/>
        <v>-</v>
      </c>
      <c r="CZ35" s="168">
        <f t="shared" si="37"/>
        <v>1.0974117647058823</v>
      </c>
      <c r="DA35" s="158">
        <v>0.88</v>
      </c>
      <c r="DB35" s="168" t="str">
        <f t="shared" si="38"/>
        <v>-</v>
      </c>
      <c r="DC35" s="160">
        <v>1.17</v>
      </c>
      <c r="DD35" s="190" t="s">
        <v>134</v>
      </c>
      <c r="DE35" s="29" t="s">
        <v>23</v>
      </c>
      <c r="DF35" s="29" t="s">
        <v>23</v>
      </c>
      <c r="DG35" s="29" t="s">
        <v>23</v>
      </c>
      <c r="DH35" s="149">
        <v>2022</v>
      </c>
      <c r="DI35" s="62" t="str">
        <f t="shared" si="39"/>
        <v>-</v>
      </c>
      <c r="DJ35" s="47">
        <f t="shared" si="17"/>
        <v>13.312034078807242</v>
      </c>
      <c r="DK35" s="48">
        <f t="shared" si="18"/>
        <v>0</v>
      </c>
      <c r="DM35" s="107" t="str">
        <f t="shared" si="25"/>
        <v>-</v>
      </c>
      <c r="DN35" s="141" t="str">
        <f t="shared" ref="DN35:DN78" si="246">IF($DY35=0,"-",(DM35-$DW35)*100)</f>
        <v>-</v>
      </c>
      <c r="DO35" s="107" t="e">
        <f t="shared" si="19"/>
        <v>#REF!</v>
      </c>
      <c r="DP35" s="133" t="e">
        <f>IF(SeilBeregnet=0,#REF!,(SeilBeregnet^0.5/(Depl^0.3333))^DP$3*DP$7)</f>
        <v>#REF!</v>
      </c>
      <c r="DQ35" s="133" t="e">
        <f>IF(SeilBeregnet=0,#REF!,(SeilBeregnet^0.5/Lwl)^DQ$3*DQ$7)</f>
        <v>#REF!</v>
      </c>
      <c r="DR35" s="133" t="e">
        <f>IF(SeilBeregnet=0,#REF!,(0.1*Loa/Depl^0.3333)^DR$3*DR$7)</f>
        <v>#REF!</v>
      </c>
      <c r="DS35" s="133" t="e">
        <f>IF(SeilBeregnet=0,#REF!,((Loa)/Bredde)^DS$3*DS$7)</f>
        <v>#REF!</v>
      </c>
      <c r="DT35" s="107" t="e">
        <f>IF(SeilBeregnet=0,#REF!,(Lwl)^DT$3)</f>
        <v>#REF!</v>
      </c>
      <c r="DU35" s="133" t="e">
        <f>IF(SeilBeregnet=0,#REF!,(Dypg/Loa)^DU$3*5*DU$7)</f>
        <v>#REF!</v>
      </c>
      <c r="DW35" s="107" t="str">
        <f t="shared" ref="DW35:DW287" si="247">IF(SeilBeregnet=0,"-",Skaleringsfaktor*(1*(LBf+SaDeplf)*Lf*PropF+Strikkf2)+ErfaringsF+Dyp_F)</f>
        <v>-</v>
      </c>
      <c r="DX35" s="107" t="str">
        <f t="shared" si="40"/>
        <v>-</v>
      </c>
      <c r="DZ35" s="107" t="str">
        <f t="shared" si="41"/>
        <v>-</v>
      </c>
      <c r="EA35" s="122" t="str">
        <f t="shared" ref="EA35:EA78" si="248">IF($DY35=0,"-",DZ35-$DW35)</f>
        <v>-</v>
      </c>
      <c r="EB35" s="107" t="str">
        <f t="shared" si="42"/>
        <v>-</v>
      </c>
      <c r="EC35" s="122" t="str">
        <f t="shared" ref="EC35:EC78" si="249">IF($DY35=0,"-",EB35-$DW35)</f>
        <v>-</v>
      </c>
      <c r="ED35" s="107" t="e">
        <f>IF(SeilBeregnet=0,#REF!,SeilBeregnet^0.5/Depl^0.33333)</f>
        <v>#REF!</v>
      </c>
      <c r="EE35" s="107" t="e">
        <f>IF(SeilBeregnet=0,#REF!,Lwl^0.3333)</f>
        <v>#REF!</v>
      </c>
      <c r="EF35" s="107" t="e">
        <f>IF(SeilBeregnet=0,#REF!,((Loa+Lwl)/Bredde)^EF$3)</f>
        <v>#REF!</v>
      </c>
      <c r="EH35" s="107" t="str">
        <f t="shared" si="43"/>
        <v>-</v>
      </c>
      <c r="EJ35" s="107" t="e">
        <f>IF(SeilBeregnet=0,#REF!,SeilBeregnet^0.5/Depl^0.33333)</f>
        <v>#REF!</v>
      </c>
      <c r="EK35" s="107" t="e">
        <f>IF(SeilBeregnet=0,#REF!,Lwl^EK$3)</f>
        <v>#REF!</v>
      </c>
      <c r="EL35" s="107" t="e">
        <f>IF(SeilBeregnet=0,#REF!,((Loa+Lwl)/Bredde)^EL$3)</f>
        <v>#REF!</v>
      </c>
      <c r="EM35" s="107" t="str">
        <f t="shared" si="44"/>
        <v>-</v>
      </c>
      <c r="EO35" s="107" t="e">
        <f>IF(SeilBeregnet=0,#REF!,(EP35*EQ35)^EO$3)</f>
        <v>#REF!</v>
      </c>
      <c r="EP35" s="107" t="e">
        <f>IF(SeilBeregnet=0,#REF!,SeilBeregnet^0.5/Depl^0.33333)</f>
        <v>#REF!</v>
      </c>
      <c r="EQ35" s="107" t="e">
        <f>IF(SeilBeregnet=0,#REF!,((Loa+Lwl)/Bredde)^EQ$3)</f>
        <v>#REF!</v>
      </c>
      <c r="ER35" s="107" t="e">
        <f>IF(SeilBeregnet=0,#REF!,Lwl^ER$3)</f>
        <v>#REF!</v>
      </c>
      <c r="ES35" s="107" t="str">
        <f t="shared" si="26"/>
        <v>-</v>
      </c>
      <c r="EU35" s="107" t="e">
        <f>IF(SeilBeregnet=0,#REF!,(EV:EV*EW:EW)^EU$3)</f>
        <v>#REF!</v>
      </c>
      <c r="EV35" s="107" t="e">
        <f>IF(SeilBeregnet=0,#REF!,SeilBeregnet^0.5/Depl^0.33333)</f>
        <v>#REF!</v>
      </c>
      <c r="EW35" s="107" t="e">
        <f>IF(SeilBeregnet=0,#REF!,((Loa+Lwl)/Bredde/6)^EW$3)</f>
        <v>#REF!</v>
      </c>
      <c r="EX35" s="107" t="e">
        <f>IF(SeilBeregnet=0,#REF!,(Lwl*0.7+Loa*0.3)^EX$3)</f>
        <v>#REF!</v>
      </c>
      <c r="EY35" s="107" t="str">
        <f t="shared" si="27"/>
        <v>-</v>
      </c>
      <c r="FA35" s="107" t="e">
        <f t="shared" si="20"/>
        <v>#REF!</v>
      </c>
      <c r="FB35" s="107" t="e">
        <f>IF(SeilBeregnet=0,#REF!,SeilBeregnet^0.5/Depl^0.3333)</f>
        <v>#REF!</v>
      </c>
      <c r="FC35" s="107" t="e">
        <f>IF(SeilBeregnet=0,#REF!,((Loa+Lwl)/Bredde/6)^FC$3)</f>
        <v>#REF!</v>
      </c>
      <c r="FD35" s="107" t="e">
        <f>IF(SeilBeregnet=0,#REF!,(Lwl*0.7+Loa*0.3)^FD$3)</f>
        <v>#REF!</v>
      </c>
      <c r="FE35" s="107" t="str">
        <f t="shared" si="28"/>
        <v>-</v>
      </c>
      <c r="FF35" s="141" t="str">
        <f t="shared" ref="FF35:FF78" si="250">IF($DY35=0,"-",(FE35-$DW35)*100)</f>
        <v>-</v>
      </c>
      <c r="FG35" s="107" t="e">
        <f t="shared" si="21"/>
        <v>#REF!</v>
      </c>
      <c r="FH35" s="133" t="e">
        <f>IF(SeilBeregnet=0,#REF!,(SeilBeregnet^0.5/(Depl^0.3333))^FH$3)</f>
        <v>#REF!</v>
      </c>
      <c r="FI35" s="133" t="e">
        <f>IF(SeilBeregnet=0,#REF!,((Loa+Lwl)/Bredde/6)^FI$3)</f>
        <v>#REF!</v>
      </c>
      <c r="FJ35" s="107" t="e">
        <f>IF(SeilBeregnet=0,#REF!,(Lwl*0.07+Loa*0.03)^FJ$3)</f>
        <v>#REF!</v>
      </c>
      <c r="FK35" s="107" t="str">
        <f t="shared" si="29"/>
        <v>-</v>
      </c>
      <c r="FL35" s="141" t="str">
        <f t="shared" ref="FL35:FL78" si="251">IF($DY35=0,"-",(FK35-$DW35)*100)</f>
        <v>-</v>
      </c>
      <c r="FM35" s="107" t="e">
        <f t="shared" si="22"/>
        <v>#REF!</v>
      </c>
      <c r="FN35" s="133" t="e">
        <f>IF(SeilBeregnet=0,#REF!,(SeilBeregnet^0.5/(Depl^0.3333))^FN$3)</f>
        <v>#REF!</v>
      </c>
      <c r="FO35" s="133" t="e">
        <f>IF(SeilBeregnet=0,#REF!,(SeilBeregnet^0.5/Lwl*FO$7)^FO$3)</f>
        <v>#REF!</v>
      </c>
      <c r="FP35" s="133" t="e">
        <f>IF(SeilBeregnet=0,#REF!,((Loa)/Bredde)^FP$3*FP$7)</f>
        <v>#REF!</v>
      </c>
      <c r="FQ35" s="107" t="e">
        <f>IF(SeilBeregnet=0,#REF!,(Lwl)^FQ$3)</f>
        <v>#REF!</v>
      </c>
      <c r="FR35" s="107" t="str">
        <f t="shared" si="30"/>
        <v>-</v>
      </c>
      <c r="FS35" s="141" t="str">
        <f t="shared" ref="FS35:FS78" si="252">IF($DY35=0,"-",(FR35-$DW35)*100)</f>
        <v>-</v>
      </c>
      <c r="FT35" s="107" t="e">
        <f t="shared" si="23"/>
        <v>#REF!</v>
      </c>
      <c r="FU35" s="133" t="e">
        <f>IF(SeilBeregnet=0,#REF!,(SeilBeregnet^0.5/(Depl^0.3333))^FU$3)</f>
        <v>#REF!</v>
      </c>
      <c r="FV35" s="133" t="e">
        <f>IF(SeilBeregnet=0,#REF!,(Loa/Bredde)^FV$3)</f>
        <v>#REF!</v>
      </c>
      <c r="FW35" s="107" t="e">
        <f>IF(SeilBeregnet=0,#REF!,Lwl^FW$3)</f>
        <v>#REF!</v>
      </c>
      <c r="FY35">
        <v>0.95</v>
      </c>
      <c r="FZ35" s="62" t="str">
        <f t="shared" si="48"/>
        <v>-</v>
      </c>
      <c r="GA35" s="62">
        <f t="shared" si="49"/>
        <v>2.0790065719996424</v>
      </c>
      <c r="GB35" s="107" t="str">
        <f t="shared" si="50"/>
        <v>-</v>
      </c>
      <c r="GC35" s="441" t="s">
        <v>833</v>
      </c>
      <c r="GD35" s="57" t="s">
        <v>510</v>
      </c>
      <c r="GE35" s="436" t="s">
        <v>513</v>
      </c>
      <c r="GF35" s="464" t="s">
        <v>514</v>
      </c>
      <c r="GG35" s="436" t="s">
        <v>511</v>
      </c>
      <c r="GH35" s="57" t="s">
        <v>512</v>
      </c>
      <c r="GI35" s="57" t="s">
        <v>416</v>
      </c>
      <c r="GJ35" s="57" t="s">
        <v>522</v>
      </c>
      <c r="GL35" s="599" t="s">
        <v>967</v>
      </c>
      <c r="GM35" s="436"/>
      <c r="GN35" s="58"/>
      <c r="GO35" s="58"/>
      <c r="GP35" s="58" t="s">
        <v>834</v>
      </c>
      <c r="GQ35" s="58" t="s">
        <v>416</v>
      </c>
      <c r="GS35" s="57" t="s">
        <v>470</v>
      </c>
      <c r="GT35" s="57" t="s">
        <v>927</v>
      </c>
      <c r="GU35" s="57" t="s">
        <v>465</v>
      </c>
      <c r="GV35" s="632" t="s">
        <v>878</v>
      </c>
      <c r="GW35" s="57">
        <v>1918</v>
      </c>
      <c r="GX35" s="57" t="s">
        <v>468</v>
      </c>
      <c r="GY35" s="57" t="s">
        <v>467</v>
      </c>
      <c r="GZ35" s="57" t="s">
        <v>478</v>
      </c>
    </row>
    <row r="36" spans="1:208" ht="15.6" x14ac:dyDescent="0.3">
      <c r="A36" s="60" t="s">
        <v>24</v>
      </c>
      <c r="B36" s="218"/>
      <c r="C36" s="61" t="str">
        <f>C35</f>
        <v>Gaffel</v>
      </c>
      <c r="D36" s="61"/>
      <c r="E36" s="61"/>
      <c r="F36" s="61"/>
      <c r="G36" s="54"/>
      <c r="H36" s="204">
        <f>TBFavrundet</f>
        <v>113.5</v>
      </c>
      <c r="I36" s="63">
        <f>COUNTA(O36:AG36)</f>
        <v>5</v>
      </c>
      <c r="J36" s="222">
        <f>SUM(O36:AG36)</f>
        <v>145.69999999999999</v>
      </c>
      <c r="K36" s="116">
        <f>Seilareal/Depl^0.667/K$7</f>
        <v>1.310890216846595</v>
      </c>
      <c r="L36" s="116">
        <f>Seilareal/Lwl/Lwl/L$7</f>
        <v>1.3493250600169278</v>
      </c>
      <c r="M36" s="92">
        <f>RiggF</f>
        <v>0.71420727522306116</v>
      </c>
      <c r="N36" s="242">
        <f>StHfaktor</f>
        <v>1.0024207957611946</v>
      </c>
      <c r="O36" s="143"/>
      <c r="P36" s="143"/>
      <c r="Q36" s="143"/>
      <c r="R36" s="165">
        <v>31</v>
      </c>
      <c r="S36" s="143"/>
      <c r="T36" s="143"/>
      <c r="U36" s="165">
        <v>25</v>
      </c>
      <c r="V36" s="143"/>
      <c r="W36" s="143"/>
      <c r="X36" s="165">
        <v>53.7</v>
      </c>
      <c r="Y36" s="143"/>
      <c r="Z36" s="143"/>
      <c r="AA36" s="165">
        <v>20</v>
      </c>
      <c r="AB36" s="143"/>
      <c r="AC36" s="165">
        <v>16</v>
      </c>
      <c r="AD36" s="143"/>
      <c r="AE36" s="143"/>
      <c r="AF36" s="143"/>
      <c r="AG36" s="551"/>
      <c r="AH36" s="557"/>
      <c r="AI36" s="557">
        <f t="shared" ref="AI36" si="253">AI35</f>
        <v>13.05</v>
      </c>
      <c r="AJ36" s="337" t="str">
        <f t="shared" ref="AJ36:AL36" si="254" xml:space="preserve"> AJ35</f>
        <v>Clipper</v>
      </c>
      <c r="AK36" s="339"/>
      <c r="AL36" s="337">
        <f t="shared" si="254"/>
        <v>0</v>
      </c>
      <c r="AM36" s="339"/>
      <c r="AN36" s="267" t="str">
        <f t="shared" ref="AN36" si="255" xml:space="preserve"> AN35</f>
        <v>RS</v>
      </c>
      <c r="AO36" s="45">
        <f>VLOOKUP(AN36,Skrogform!$1:$1048576,3,FALSE)</f>
        <v>0.97</v>
      </c>
      <c r="AP36" s="64">
        <f t="shared" ref="AP36:AZ37" si="256">AP35</f>
        <v>14.46</v>
      </c>
      <c r="AQ36" s="64">
        <f t="shared" si="256"/>
        <v>12.8</v>
      </c>
      <c r="AR36" s="64">
        <f t="shared" si="256"/>
        <v>4.9800000000000004</v>
      </c>
      <c r="AS36" s="64">
        <f t="shared" si="256"/>
        <v>2.5</v>
      </c>
      <c r="AT36" s="64"/>
      <c r="AU36" s="64">
        <f t="shared" si="256"/>
        <v>33</v>
      </c>
      <c r="AV36" s="64">
        <f t="shared" si="256"/>
        <v>9</v>
      </c>
      <c r="AW36" s="64">
        <f t="shared" si="256"/>
        <v>0</v>
      </c>
      <c r="AX36" s="256">
        <f>AX35</f>
        <v>1300</v>
      </c>
      <c r="AY36" s="256">
        <f t="shared" si="256"/>
        <v>230</v>
      </c>
      <c r="AZ36" s="256">
        <f t="shared" si="256"/>
        <v>1300</v>
      </c>
      <c r="BA36" s="256">
        <f t="shared" ref="BA36:BB36" si="257">BA35</f>
        <v>200</v>
      </c>
      <c r="BB36" s="256">
        <f t="shared" si="257"/>
        <v>300</v>
      </c>
      <c r="BC36" s="256"/>
      <c r="BD36" s="66"/>
      <c r="BE36" s="66"/>
      <c r="BF36" s="261"/>
      <c r="BG36" s="66"/>
      <c r="BH36" s="175"/>
      <c r="BI36" s="66"/>
      <c r="BJ36" s="66"/>
      <c r="BK36" s="65" t="str">
        <f t="shared" ref="BK36:BM37" si="258" xml:space="preserve"> BK35</f>
        <v>Fast</v>
      </c>
      <c r="BL36" s="267">
        <f t="shared" si="258"/>
        <v>6</v>
      </c>
      <c r="BM36" s="267">
        <f t="shared" si="258"/>
        <v>65</v>
      </c>
      <c r="BN36" s="45">
        <f t="shared" si="11"/>
        <v>0.97440497416094862</v>
      </c>
      <c r="BO36" s="59"/>
      <c r="BP36" s="59"/>
      <c r="BR36" s="49">
        <f t="shared" ref="BR36:BX40" si="259">IF(O36=0,0,O36*BR$9)</f>
        <v>0</v>
      </c>
      <c r="BS36" s="49">
        <f t="shared" si="259"/>
        <v>0</v>
      </c>
      <c r="BT36" s="49">
        <f t="shared" si="259"/>
        <v>0</v>
      </c>
      <c r="BU36" s="49">
        <f t="shared" si="259"/>
        <v>31</v>
      </c>
      <c r="BV36" s="49">
        <f t="shared" si="259"/>
        <v>0</v>
      </c>
      <c r="BW36" s="49">
        <f t="shared" si="259"/>
        <v>0</v>
      </c>
      <c r="BX36" s="49">
        <f t="shared" si="259"/>
        <v>25</v>
      </c>
      <c r="BY36" s="549">
        <f>IF(COUNT(Q36:U36)&gt;1,MINA(Q36:U36)*BY$9,0)</f>
        <v>-12.5</v>
      </c>
      <c r="BZ36" s="85">
        <f t="shared" ref="BZ36:CD39" si="260">IF(V36=0,0,V36*BZ$9)</f>
        <v>0</v>
      </c>
      <c r="CA36" s="85">
        <f t="shared" si="260"/>
        <v>0</v>
      </c>
      <c r="CB36" s="85">
        <f t="shared" si="260"/>
        <v>42.960000000000008</v>
      </c>
      <c r="CC36" s="85">
        <f t="shared" si="260"/>
        <v>0</v>
      </c>
      <c r="CD36" s="85">
        <f t="shared" si="260"/>
        <v>0</v>
      </c>
      <c r="CE36" s="85">
        <f>IF(AC36=0,0,AC36*CE$9)</f>
        <v>9.6</v>
      </c>
      <c r="CF36" s="85">
        <f t="shared" ref="CF36:CG39" si="261">IF(AA36=0,0,AA36*CF$9)</f>
        <v>8</v>
      </c>
      <c r="CG36" s="85">
        <f t="shared" si="261"/>
        <v>0</v>
      </c>
      <c r="CH36" s="85">
        <f t="shared" ref="CH36:CK39" si="262">IF(AD36=0,0,AD36*CH$9)</f>
        <v>0</v>
      </c>
      <c r="CI36" s="85">
        <f t="shared" si="262"/>
        <v>0</v>
      </c>
      <c r="CJ36" s="85">
        <f t="shared" si="262"/>
        <v>0</v>
      </c>
      <c r="CK36" s="85">
        <f t="shared" si="262"/>
        <v>0</v>
      </c>
      <c r="CL36" s="100">
        <f>SUM(BR36:CK36)</f>
        <v>104.06</v>
      </c>
      <c r="CM36" s="50"/>
      <c r="CN36" s="104">
        <f>J36</f>
        <v>145.69999999999999</v>
      </c>
      <c r="CO36" s="101">
        <f>CL36/CN36</f>
        <v>0.71420727522306116</v>
      </c>
      <c r="CP36" s="51">
        <f>Seilareal/Lwl/Lwl</f>
        <v>0.88928222656249978</v>
      </c>
      <c r="CQ36" s="116">
        <f>Seilareal/Depl^0.667/K$7</f>
        <v>1.310890216846595</v>
      </c>
      <c r="CR36" s="51">
        <f>Seilareal/Lwl/Lwl/SApRS1</f>
        <v>1.3493250600169278</v>
      </c>
      <c r="CS36" s="204"/>
      <c r="CT36" s="204">
        <f>_xlfn.SINGLE(IF((ROUND(_xlfn.SINGLE(TBF)/CT$6,3)*CT$6)*CT$4&lt;0.5,"-",(ROUND(_xlfn.SINGLE(TBF)/CT$6,3)*CT$6)*CT$4))</f>
        <v>113.5</v>
      </c>
      <c r="CU36" s="107">
        <f t="shared" si="36"/>
        <v>1.1335393659530768</v>
      </c>
      <c r="CV36" s="62">
        <f t="shared" si="13"/>
        <v>3.1672938083016291</v>
      </c>
      <c r="CW36" s="62">
        <f t="shared" si="14"/>
        <v>1.6543723254348335</v>
      </c>
      <c r="CX36" s="62">
        <f t="shared" si="15"/>
        <v>1.8914832180063517</v>
      </c>
      <c r="CY36" s="107">
        <f t="shared" si="16"/>
        <v>1.0024207957611946</v>
      </c>
      <c r="CZ36" s="168">
        <f t="shared" si="37"/>
        <v>1.0974117647058823</v>
      </c>
      <c r="DA36" s="159">
        <f>DA35</f>
        <v>0.88</v>
      </c>
      <c r="DB36" s="168">
        <f t="shared" si="38"/>
        <v>1.0878947368421052</v>
      </c>
      <c r="DC36" s="159">
        <f>DC35</f>
        <v>1.17</v>
      </c>
      <c r="DD36" s="190" t="s">
        <v>134</v>
      </c>
      <c r="DE36" s="62">
        <v>0.88</v>
      </c>
      <c r="DF36" s="62">
        <v>0.87</v>
      </c>
      <c r="DG36" s="62">
        <v>0.87</v>
      </c>
      <c r="DH36" s="150">
        <v>0.92</v>
      </c>
      <c r="DI36" s="62">
        <f t="shared" si="39"/>
        <v>2.1266854783165212</v>
      </c>
      <c r="DJ36" s="47">
        <f t="shared" si="17"/>
        <v>13.312034078807242</v>
      </c>
      <c r="DK36" s="48">
        <f t="shared" si="18"/>
        <v>0</v>
      </c>
      <c r="DM36" s="107">
        <f t="shared" si="25"/>
        <v>1.1163504525416694</v>
      </c>
      <c r="DN36" s="141">
        <f t="shared" si="246"/>
        <v>-5.2246831946038963</v>
      </c>
      <c r="DO36" s="107">
        <f t="shared" si="19"/>
        <v>4.8846886037977884</v>
      </c>
      <c r="DP36" s="133">
        <f t="shared" ref="DP36:DP47" si="263">IF(SeilBeregnet=0,DP35,(SeilBeregnet^0.5/(Depl^0.3333))^DP$3*DP$7)</f>
        <v>3.1806890563121311</v>
      </c>
      <c r="DQ36" s="133">
        <f t="shared" ref="DQ36:DQ47" si="264">IF(SeilBeregnet=0,DQ35,(SeilBeregnet^0.5/Lwl)^DQ$3*DQ$7)</f>
        <v>0</v>
      </c>
      <c r="DR36" s="133">
        <f t="shared" ref="DR36:DR47" si="265">IF(SeilBeregnet=0,DR35,(0.1*Loa/Depl^0.3333)^DR$3*DR$7)</f>
        <v>0</v>
      </c>
      <c r="DS36" s="133">
        <f t="shared" ref="DS36:DS47" si="266">IF(SeilBeregnet=0,DS35,((Loa)/Bredde)^DS$3*DS$7)</f>
        <v>1.7039995474856575</v>
      </c>
      <c r="DT36" s="107">
        <f t="shared" ref="DT36:DT47" si="267">IF(SeilBeregnet=0,DT35,(Lwl)^DT$3)</f>
        <v>1.8914832180063517</v>
      </c>
      <c r="DU36" s="133">
        <f t="shared" ref="DU36:DU47" si="268">IF(SeilBeregnet=0,DU35,(Dypg/Loa)^DU$3*5*DU$7)</f>
        <v>2.0790065719996424</v>
      </c>
      <c r="DW36" s="72">
        <f t="shared" si="247"/>
        <v>1.1685972844877084</v>
      </c>
      <c r="DX36" s="107">
        <f t="shared" si="40"/>
        <v>1.1499811826458319</v>
      </c>
      <c r="DY36" s="122">
        <f>DX36-DW36</f>
        <v>-1.8616101841876453E-2</v>
      </c>
      <c r="DZ36" s="107">
        <f t="shared" si="41"/>
        <v>1.1225463049543059</v>
      </c>
      <c r="EA36" s="122">
        <f t="shared" si="248"/>
        <v>-4.6050979533402536E-2</v>
      </c>
      <c r="EB36" s="107">
        <f t="shared" si="42"/>
        <v>1.1418742951339893</v>
      </c>
      <c r="EC36" s="122">
        <f t="shared" si="249"/>
        <v>-2.6722989353719084E-2</v>
      </c>
      <c r="ED36" s="107">
        <f t="shared" ref="ED36:ED47" si="269">IF(SeilBeregnet=0,ED35,SeilBeregnet^0.5/Depl^0.33333)</f>
        <v>3.1803554347100107</v>
      </c>
      <c r="EE36" s="107">
        <f t="shared" ref="EE36:EE47" si="270">IF(SeilBeregnet=0,EE35,Lwl^0.3333)</f>
        <v>2.3390154090727244</v>
      </c>
      <c r="EF36" s="107">
        <f t="shared" ref="EF36:EF47" si="271">IF(SeilBeregnet=0,EF35,((Loa+Lwl)/Bredde)^EF$3)</f>
        <v>1.5295868003629796</v>
      </c>
      <c r="EH36" s="107">
        <f t="shared" si="43"/>
        <v>1.1306676181909421</v>
      </c>
      <c r="EJ36" s="107">
        <f t="shared" ref="EJ36:EJ47" si="272">IF(SeilBeregnet=0,EJ35,SeilBeregnet^0.5/Depl^0.33333)</f>
        <v>3.1803554347100107</v>
      </c>
      <c r="EK36" s="107">
        <f t="shared" ref="EK36:EK47" si="273">IF(SeilBeregnet=0,EK35,Lwl^EK$3)</f>
        <v>2.3391943116603535</v>
      </c>
      <c r="EL36" s="107">
        <f t="shared" ref="EL36:EL47" si="274">IF(SeilBeregnet=0,EL35,((Loa+Lwl)/Bredde)^EL$3)</f>
        <v>1.762277215907347</v>
      </c>
      <c r="EM36" s="107">
        <f t="shared" si="44"/>
        <v>1.1276874248905773</v>
      </c>
      <c r="EO36" s="107">
        <f t="shared" ref="EO36:EO47" si="275">IF(SeilBeregnet=0,EO35,(EP36*EQ36)^EO$3)</f>
        <v>4.8646296933950985</v>
      </c>
      <c r="EP36" s="107">
        <f t="shared" ref="EP36:EP47" si="276">IF(SeilBeregnet=0,EP35,SeilBeregnet^0.5/Depl^0.33333)</f>
        <v>3.1803554347100107</v>
      </c>
      <c r="EQ36" s="107">
        <f t="shared" ref="EQ36:EQ47" si="277">IF(SeilBeregnet=0,EQ35,((Loa+Lwl)/Bredde)^EQ$3)</f>
        <v>1.5295868003629796</v>
      </c>
      <c r="ER36" s="107">
        <f t="shared" ref="ER36:ER47" si="278">IF(SeilBeregnet=0,ER35,Lwl^ER$3)</f>
        <v>1.8914832180063517</v>
      </c>
      <c r="ES36" s="107">
        <f t="shared" si="26"/>
        <v>1.1308047082022701</v>
      </c>
      <c r="EU36" s="107">
        <f>IF(SeilBeregnet=0,EU35,(EV:EV*EW:EW)^EU$3)</f>
        <v>1.7630149169268128</v>
      </c>
      <c r="EV36" s="107">
        <f t="shared" ref="EV36:EV47" si="279">IF(SeilBeregnet=0,EV35,SeilBeregnet^0.5/Depl^0.33333)</f>
        <v>3.1803554347100107</v>
      </c>
      <c r="EW36" s="107">
        <f t="shared" ref="EW36:EW47" si="280">IF(SeilBeregnet=0,EW35,((Loa+Lwl)/Bredde/6)^EW$3)</f>
        <v>0.97731893843804551</v>
      </c>
      <c r="EX36" s="107">
        <f t="shared" ref="EX36:EX47" si="281">IF(SeilBeregnet=0,EX35,(Lwl*0.7+Loa*0.3)^EX$3)</f>
        <v>1.9096183627113388</v>
      </c>
      <c r="EY36" s="107">
        <f t="shared" si="27"/>
        <v>1.1031360028559918</v>
      </c>
      <c r="FA36" s="107">
        <f t="shared" si="20"/>
        <v>1.763107385276484</v>
      </c>
      <c r="FB36" s="107">
        <f t="shared" ref="FB36:FB47" si="282">IF(SeilBeregnet=0,FB35,SeilBeregnet^0.5/Depl^0.3333)</f>
        <v>3.1806890563121311</v>
      </c>
      <c r="FC36" s="107">
        <f t="shared" ref="FC36:FC47" si="283">IF(SeilBeregnet=0,FC35,((Loa+Lwl)/Bredde/6)^FC$3)</f>
        <v>0.97731893843804551</v>
      </c>
      <c r="FD36" s="107">
        <f t="shared" ref="FD36:FD47" si="284">IF(SeilBeregnet=0,FD35,(Lwl*0.7+Loa*0.3)^FD$3)</f>
        <v>1.9096183627113388</v>
      </c>
      <c r="FE36" s="107">
        <f t="shared" si="28"/>
        <v>1.1070498954150159</v>
      </c>
      <c r="FF36" s="141">
        <f t="shared" si="250"/>
        <v>-6.1547389072692527</v>
      </c>
      <c r="FG36" s="107">
        <f t="shared" si="21"/>
        <v>3.0380424913528259</v>
      </c>
      <c r="FH36" s="133">
        <f t="shared" ref="FH36:FH47" si="285">IF(SeilBeregnet=0,FH35,(SeilBeregnet^0.5/(Depl^0.3333))^FH$3)</f>
        <v>3.1806890563121311</v>
      </c>
      <c r="FI36" s="133">
        <f t="shared" ref="FI36:FI47" si="286">IF(SeilBeregnet=0,FI35,((Loa+Lwl)/Bredde/6)^FI$3)</f>
        <v>0.95515230742966828</v>
      </c>
      <c r="FJ36" s="107">
        <f t="shared" ref="FJ36:FJ47" si="287">IF(SeilBeregnet=0,FJ35,(Lwl*0.07+Loa*0.03)^FJ$3)</f>
        <v>1.0738573206949191</v>
      </c>
      <c r="FK36" s="107">
        <f t="shared" si="29"/>
        <v>1.1364653499295447</v>
      </c>
      <c r="FL36" s="141">
        <f t="shared" si="251"/>
        <v>-3.2131934558163655</v>
      </c>
      <c r="FM36" s="107">
        <f t="shared" si="22"/>
        <v>5.1816401932544505</v>
      </c>
      <c r="FN36" s="133">
        <f t="shared" ref="FN36:FN47" si="288">IF(SeilBeregnet=0,FN35,(SeilBeregnet^0.5/(Depl^0.3333))^FN$3)</f>
        <v>3.1806890563121311</v>
      </c>
      <c r="FO36" s="133">
        <f t="shared" ref="FO36:FO47" si="289">IF(SeilBeregnet=0,FO35,(SeilBeregnet^0.5/Lwl*FO$7)^FO$3)</f>
        <v>0.796951589456662</v>
      </c>
      <c r="FP36" s="133">
        <f t="shared" ref="FP36:FP47" si="290">IF(SeilBeregnet=0,FP35,((Loa)/Bredde)^FP$3*FP$7)</f>
        <v>1.7039995474856575</v>
      </c>
      <c r="FQ36" s="107">
        <f t="shared" ref="FQ36:FQ47" si="291">IF(SeilBeregnet=0,FQ35,(Lwl)^FQ$3)</f>
        <v>1.8914832180063517</v>
      </c>
      <c r="FR36" s="107">
        <f t="shared" si="30"/>
        <v>1.1111377819473278</v>
      </c>
      <c r="FS36" s="141">
        <f t="shared" si="252"/>
        <v>-5.7459502540380569</v>
      </c>
      <c r="FT36" s="107">
        <f t="shared" si="23"/>
        <v>5.419892712648454</v>
      </c>
      <c r="FU36" s="133">
        <f t="shared" ref="FU36:FU47" si="292">IF(SeilBeregnet=0,FU35,(SeilBeregnet^0.5/(Depl^0.3333))^FU$3)</f>
        <v>3.1806890563121311</v>
      </c>
      <c r="FV36" s="133">
        <f t="shared" ref="FV36:FV47" si="293">IF(SeilBeregnet=0,FV35,(Loa/Bredde)^FV$3)</f>
        <v>1.7039995474856575</v>
      </c>
      <c r="FW36" s="107">
        <f t="shared" ref="FW36:FW47" si="294">IF(SeilBeregnet=0,FW35,Lwl^FW$3)</f>
        <v>1.8914832180063517</v>
      </c>
      <c r="FY36">
        <v>0.95</v>
      </c>
      <c r="FZ36" s="62">
        <f t="shared" si="48"/>
        <v>1.1702997666257986</v>
      </c>
      <c r="GA36" s="62">
        <f t="shared" si="49"/>
        <v>2.0790065719996424</v>
      </c>
      <c r="GB36" s="107">
        <f t="shared" si="50"/>
        <v>1.0433899078703139</v>
      </c>
      <c r="GC36" s="440"/>
      <c r="GD36" s="17"/>
      <c r="GE36" s="442"/>
      <c r="GF36" s="462"/>
      <c r="GG36" s="17"/>
      <c r="GH36" s="17"/>
      <c r="GI36" s="17"/>
      <c r="GJ36" s="17"/>
      <c r="GL36" s="17"/>
      <c r="GM36" s="442"/>
      <c r="GN36" s="8"/>
      <c r="GO36" s="8"/>
      <c r="GP36" s="8"/>
      <c r="GQ36" s="8"/>
      <c r="GS36" s="17"/>
      <c r="GT36" s="17"/>
      <c r="GU36" s="17"/>
      <c r="GV36" s="629"/>
      <c r="GW36" s="17"/>
      <c r="GX36" s="17"/>
      <c r="GY36" s="17"/>
      <c r="GZ36" s="17"/>
    </row>
    <row r="37" spans="1:208" ht="15.6" x14ac:dyDescent="0.3">
      <c r="A37" s="60" t="s">
        <v>831</v>
      </c>
      <c r="B37" s="218"/>
      <c r="C37" s="14" t="str">
        <f>C35</f>
        <v>Gaffel</v>
      </c>
      <c r="G37" s="54"/>
      <c r="H37" s="204">
        <f>TBFavrundet</f>
        <v>110.00000000000001</v>
      </c>
      <c r="I37" s="63">
        <f>COUNTA(O37:AG37)</f>
        <v>5</v>
      </c>
      <c r="J37" s="222">
        <f>SUM(O37:AG37)</f>
        <v>133.69999999999999</v>
      </c>
      <c r="K37" s="116">
        <f>Seilareal/Depl^0.667/K$7</f>
        <v>1.2029239670033613</v>
      </c>
      <c r="L37" s="116">
        <f>Seilareal/Lwl/Lwl/L$7</f>
        <v>1.2381932774486153</v>
      </c>
      <c r="M37" s="92">
        <f>RiggF</f>
        <v>0.71099476439790588</v>
      </c>
      <c r="N37" s="242">
        <f>StHfaktor</f>
        <v>1.0024207957611946</v>
      </c>
      <c r="O37" s="143"/>
      <c r="P37" s="143"/>
      <c r="Q37" s="143"/>
      <c r="R37" s="143"/>
      <c r="S37" s="165">
        <v>19</v>
      </c>
      <c r="T37" s="143"/>
      <c r="U37" s="165">
        <v>25</v>
      </c>
      <c r="V37" s="143"/>
      <c r="W37" s="143"/>
      <c r="X37" s="165">
        <v>53.7</v>
      </c>
      <c r="Y37" s="143"/>
      <c r="Z37" s="143"/>
      <c r="AA37" s="165">
        <v>20</v>
      </c>
      <c r="AB37" s="143"/>
      <c r="AC37" s="165">
        <v>16</v>
      </c>
      <c r="AD37" s="143"/>
      <c r="AE37" s="143"/>
      <c r="AF37" s="143"/>
      <c r="AG37" s="551"/>
      <c r="AH37" s="557"/>
      <c r="AI37" s="557">
        <f t="shared" ref="AI37" si="295">AI36</f>
        <v>13.05</v>
      </c>
      <c r="AJ37" s="337" t="str">
        <f t="shared" ref="AJ37:AL37" si="296" xml:space="preserve"> AJ36</f>
        <v>Clipper</v>
      </c>
      <c r="AK37" s="339"/>
      <c r="AL37" s="337">
        <f t="shared" si="296"/>
        <v>0</v>
      </c>
      <c r="AM37" s="339"/>
      <c r="AN37" s="267" t="str">
        <f t="shared" ref="AN37" si="297" xml:space="preserve"> AN36</f>
        <v>RS</v>
      </c>
      <c r="AO37" s="45">
        <f>VLOOKUP(AN37,Skrogform!$1:$1048576,3,FALSE)</f>
        <v>0.97</v>
      </c>
      <c r="AP37" s="64">
        <f t="shared" si="256"/>
        <v>14.46</v>
      </c>
      <c r="AQ37" s="64">
        <f t="shared" si="256"/>
        <v>12.8</v>
      </c>
      <c r="AR37" s="64">
        <f t="shared" si="256"/>
        <v>4.9800000000000004</v>
      </c>
      <c r="AS37" s="64">
        <f t="shared" si="256"/>
        <v>2.5</v>
      </c>
      <c r="AT37" s="64"/>
      <c r="AU37" s="64">
        <f t="shared" si="256"/>
        <v>33</v>
      </c>
      <c r="AV37" s="64">
        <f t="shared" si="256"/>
        <v>9</v>
      </c>
      <c r="AW37" s="64">
        <f t="shared" si="256"/>
        <v>0</v>
      </c>
      <c r="AX37" s="256">
        <f>AX36</f>
        <v>1300</v>
      </c>
      <c r="AY37" s="256">
        <f t="shared" ref="AY37:AZ37" si="298">AY36</f>
        <v>230</v>
      </c>
      <c r="AZ37" s="256">
        <f t="shared" si="298"/>
        <v>1300</v>
      </c>
      <c r="BA37" s="256">
        <f t="shared" ref="BA37:BB37" si="299">BA36</f>
        <v>200</v>
      </c>
      <c r="BB37" s="256">
        <f t="shared" si="299"/>
        <v>300</v>
      </c>
      <c r="BC37" s="256"/>
      <c r="BD37" s="66"/>
      <c r="BE37" s="66"/>
      <c r="BF37" s="261"/>
      <c r="BG37" s="66"/>
      <c r="BH37" s="175"/>
      <c r="BI37" s="66"/>
      <c r="BJ37" s="66"/>
      <c r="BK37" s="65" t="str">
        <f t="shared" si="258"/>
        <v>Fast</v>
      </c>
      <c r="BL37" s="267">
        <f t="shared" si="258"/>
        <v>6</v>
      </c>
      <c r="BM37" s="267">
        <f t="shared" si="258"/>
        <v>65</v>
      </c>
      <c r="BN37" s="45">
        <f t="shared" si="11"/>
        <v>0.97440497416094862</v>
      </c>
      <c r="BO37" s="59"/>
      <c r="BP37" s="59"/>
      <c r="BR37" s="49">
        <f t="shared" si="259"/>
        <v>0</v>
      </c>
      <c r="BS37" s="49">
        <f t="shared" si="259"/>
        <v>0</v>
      </c>
      <c r="BT37" s="49">
        <f t="shared" si="259"/>
        <v>0</v>
      </c>
      <c r="BU37" s="49">
        <f t="shared" si="259"/>
        <v>0</v>
      </c>
      <c r="BV37" s="49">
        <f t="shared" si="259"/>
        <v>19</v>
      </c>
      <c r="BW37" s="49">
        <f t="shared" si="259"/>
        <v>0</v>
      </c>
      <c r="BX37" s="49">
        <f t="shared" si="259"/>
        <v>25</v>
      </c>
      <c r="BY37" s="549">
        <f>IF(COUNT(Q37:U37)&gt;1,MINA(Q37:U37)*BY$9,0)</f>
        <v>-9.5</v>
      </c>
      <c r="BZ37" s="85">
        <f t="shared" si="260"/>
        <v>0</v>
      </c>
      <c r="CA37" s="85">
        <f t="shared" si="260"/>
        <v>0</v>
      </c>
      <c r="CB37" s="85">
        <f t="shared" si="260"/>
        <v>42.960000000000008</v>
      </c>
      <c r="CC37" s="85">
        <f t="shared" si="260"/>
        <v>0</v>
      </c>
      <c r="CD37" s="85">
        <f t="shared" si="260"/>
        <v>0</v>
      </c>
      <c r="CE37" s="85">
        <f>IF(AC37=0,0,AC37*CE$9)</f>
        <v>9.6</v>
      </c>
      <c r="CF37" s="85">
        <f t="shared" si="261"/>
        <v>8</v>
      </c>
      <c r="CG37" s="85">
        <f t="shared" si="261"/>
        <v>0</v>
      </c>
      <c r="CH37" s="85">
        <f t="shared" si="262"/>
        <v>0</v>
      </c>
      <c r="CI37" s="85">
        <f t="shared" si="262"/>
        <v>0</v>
      </c>
      <c r="CJ37" s="85">
        <f t="shared" si="262"/>
        <v>0</v>
      </c>
      <c r="CK37" s="85">
        <f t="shared" si="262"/>
        <v>0</v>
      </c>
      <c r="CL37" s="100">
        <f>SUM(BR37:CK37)</f>
        <v>95.06</v>
      </c>
      <c r="CM37" s="50"/>
      <c r="CN37" s="104">
        <f>J37</f>
        <v>133.69999999999999</v>
      </c>
      <c r="CO37" s="101">
        <f>CL37/CN37</f>
        <v>0.71099476439790588</v>
      </c>
      <c r="CP37" s="51">
        <f>Seilareal/Lwl/Lwl</f>
        <v>0.81604003906249978</v>
      </c>
      <c r="CQ37" s="116">
        <f>Seilareal/Depl^0.667/K$7</f>
        <v>1.2029239670033613</v>
      </c>
      <c r="CR37" s="51">
        <f>Seilareal/Lwl/Lwl/SApRS1</f>
        <v>1.2381932774486153</v>
      </c>
      <c r="CS37" s="204"/>
      <c r="CT37" s="204">
        <f>(ROUND(TBF/CT$6,3)*CT$6)*CT$4</f>
        <v>110.00000000000001</v>
      </c>
      <c r="CU37" s="107">
        <f t="shared" si="36"/>
        <v>1.1006112431867707</v>
      </c>
      <c r="CV37" s="62">
        <f t="shared" si="13"/>
        <v>3.027229493679152</v>
      </c>
      <c r="CW37" s="62">
        <f t="shared" si="14"/>
        <v>1.6543723254348335</v>
      </c>
      <c r="CX37" s="62">
        <f t="shared" si="15"/>
        <v>1.8914832180063517</v>
      </c>
      <c r="CY37" s="107">
        <f t="shared" si="16"/>
        <v>1.0024207957611946</v>
      </c>
      <c r="CZ37" s="168" t="str">
        <f t="shared" si="37"/>
        <v>-</v>
      </c>
      <c r="DA37" s="158"/>
      <c r="DB37" s="168" t="str">
        <f t="shared" si="38"/>
        <v>-</v>
      </c>
      <c r="DC37" s="160"/>
      <c r="DD37" s="190" t="s">
        <v>134</v>
      </c>
      <c r="DE37" s="62">
        <v>0.86</v>
      </c>
      <c r="DF37" s="62">
        <v>0.86</v>
      </c>
      <c r="DG37" s="62">
        <v>0.86</v>
      </c>
      <c r="DH37" s="150">
        <v>0.89</v>
      </c>
      <c r="DI37" s="62">
        <f t="shared" si="39"/>
        <v>2.1266854783165212</v>
      </c>
      <c r="DJ37" s="47">
        <f t="shared" si="17"/>
        <v>13.312034078807242</v>
      </c>
      <c r="DK37" s="48">
        <f t="shared" si="18"/>
        <v>0</v>
      </c>
      <c r="DM37" s="107">
        <f t="shared" si="25"/>
        <v>1.0842046677284383</v>
      </c>
      <c r="DN37" s="141" t="str">
        <f t="shared" si="246"/>
        <v>-</v>
      </c>
      <c r="DO37" s="107">
        <f t="shared" si="19"/>
        <v>4.7440319234696506</v>
      </c>
      <c r="DP37" s="133">
        <f t="shared" si="263"/>
        <v>3.0400323759839929</v>
      </c>
      <c r="DQ37" s="133">
        <f t="shared" si="264"/>
        <v>0</v>
      </c>
      <c r="DR37" s="133">
        <f t="shared" si="265"/>
        <v>0</v>
      </c>
      <c r="DS37" s="133">
        <f t="shared" si="266"/>
        <v>1.7039995474856575</v>
      </c>
      <c r="DT37" s="107">
        <f t="shared" si="267"/>
        <v>1.8914832180063517</v>
      </c>
      <c r="DU37" s="133">
        <f t="shared" si="268"/>
        <v>2.0790065719996424</v>
      </c>
      <c r="DW37" s="107">
        <f t="shared" si="247"/>
        <v>1.1346507661719285</v>
      </c>
      <c r="DX37" s="107">
        <f t="shared" si="40"/>
        <v>1.1099284295118736</v>
      </c>
      <c r="DZ37" s="107">
        <f t="shared" si="41"/>
        <v>1.0911922834501409</v>
      </c>
      <c r="EA37" s="122" t="str">
        <f t="shared" si="248"/>
        <v>-</v>
      </c>
      <c r="EB37" s="107">
        <f t="shared" si="42"/>
        <v>1.1037553884493374</v>
      </c>
      <c r="EC37" s="122" t="str">
        <f t="shared" si="249"/>
        <v>-</v>
      </c>
      <c r="ED37" s="107">
        <f t="shared" si="269"/>
        <v>3.0397135078224666</v>
      </c>
      <c r="EE37" s="107">
        <f t="shared" si="270"/>
        <v>2.3390154090727244</v>
      </c>
      <c r="EF37" s="107">
        <f t="shared" si="271"/>
        <v>1.5295868003629796</v>
      </c>
      <c r="EH37" s="107">
        <f t="shared" si="43"/>
        <v>1.0966461231585682</v>
      </c>
      <c r="EJ37" s="107">
        <f t="shared" si="272"/>
        <v>3.0397135078224666</v>
      </c>
      <c r="EK37" s="107">
        <f t="shared" si="273"/>
        <v>2.3391943116603535</v>
      </c>
      <c r="EL37" s="107">
        <f t="shared" si="274"/>
        <v>1.762277215907347</v>
      </c>
      <c r="EM37" s="107">
        <f t="shared" si="44"/>
        <v>1.092347912078635</v>
      </c>
      <c r="EO37" s="107">
        <f t="shared" si="275"/>
        <v>4.6495056584502956</v>
      </c>
      <c r="EP37" s="107">
        <f t="shared" si="276"/>
        <v>3.0397135078224666</v>
      </c>
      <c r="EQ37" s="107">
        <f t="shared" si="277"/>
        <v>1.5295868003629796</v>
      </c>
      <c r="ER37" s="107">
        <f t="shared" si="278"/>
        <v>1.8914832180063517</v>
      </c>
      <c r="ES37" s="107">
        <f t="shared" si="26"/>
        <v>1.0955085647223246</v>
      </c>
      <c r="EU37" s="107">
        <f>IF(SeilBeregnet=0,EU36,(EV:EV*EW:EW)^EU$3)</f>
        <v>1.7235920569035008</v>
      </c>
      <c r="EV37" s="107">
        <f t="shared" si="279"/>
        <v>3.0397135078224666</v>
      </c>
      <c r="EW37" s="107">
        <f t="shared" si="280"/>
        <v>0.97731893843804551</v>
      </c>
      <c r="EX37" s="107">
        <f t="shared" si="281"/>
        <v>1.9096183627113388</v>
      </c>
      <c r="EY37" s="107">
        <f t="shared" si="27"/>
        <v>1.0784687264706765</v>
      </c>
      <c r="FA37" s="107">
        <f t="shared" si="20"/>
        <v>1.7236824575640275</v>
      </c>
      <c r="FB37" s="107">
        <f t="shared" si="282"/>
        <v>3.0400323759839929</v>
      </c>
      <c r="FC37" s="107">
        <f t="shared" si="283"/>
        <v>0.97731893843804551</v>
      </c>
      <c r="FD37" s="107">
        <f t="shared" si="284"/>
        <v>1.9096183627113388</v>
      </c>
      <c r="FE37" s="107">
        <f t="shared" si="28"/>
        <v>1.0775283994075149</v>
      </c>
      <c r="FF37" s="141" t="str">
        <f t="shared" si="250"/>
        <v>-</v>
      </c>
      <c r="FG37" s="107">
        <f t="shared" si="21"/>
        <v>2.9036939385820077</v>
      </c>
      <c r="FH37" s="133">
        <f t="shared" si="285"/>
        <v>3.0400323759839929</v>
      </c>
      <c r="FI37" s="133">
        <f t="shared" si="286"/>
        <v>0.95515230742966828</v>
      </c>
      <c r="FJ37" s="107">
        <f t="shared" si="287"/>
        <v>1.0738573206949191</v>
      </c>
      <c r="FK37" s="107">
        <f t="shared" si="29"/>
        <v>1.0978861124417056</v>
      </c>
      <c r="FL37" s="141" t="str">
        <f t="shared" si="251"/>
        <v>-</v>
      </c>
      <c r="FM37" s="107">
        <f t="shared" si="22"/>
        <v>5.0057406573781567</v>
      </c>
      <c r="FN37" s="133">
        <f t="shared" si="288"/>
        <v>3.0400323759839929</v>
      </c>
      <c r="FO37" s="133">
        <f t="shared" si="289"/>
        <v>0.76170873390850657</v>
      </c>
      <c r="FP37" s="133">
        <f t="shared" si="290"/>
        <v>1.7039995474856575</v>
      </c>
      <c r="FQ37" s="107">
        <f t="shared" si="291"/>
        <v>1.8914832180063517</v>
      </c>
      <c r="FR37" s="107">
        <f t="shared" si="30"/>
        <v>1.0828660901923255</v>
      </c>
      <c r="FS37" s="141" t="str">
        <f t="shared" si="252"/>
        <v>-</v>
      </c>
      <c r="FT37" s="107">
        <f t="shared" si="23"/>
        <v>5.1802137930184724</v>
      </c>
      <c r="FU37" s="133">
        <f t="shared" si="292"/>
        <v>3.0400323759839929</v>
      </c>
      <c r="FV37" s="133">
        <f t="shared" si="293"/>
        <v>1.7039995474856575</v>
      </c>
      <c r="FW37" s="107">
        <f t="shared" si="294"/>
        <v>1.8914832180063517</v>
      </c>
      <c r="FY37">
        <v>0.95</v>
      </c>
      <c r="FZ37" s="62">
        <f t="shared" si="48"/>
        <v>1.1466628822341733</v>
      </c>
      <c r="GA37" s="62">
        <f t="shared" si="49"/>
        <v>2.0790065719996424</v>
      </c>
      <c r="GB37" s="107">
        <f t="shared" si="50"/>
        <v>1.0277771620453802</v>
      </c>
      <c r="GC37" s="440"/>
      <c r="GD37" s="17"/>
      <c r="GE37" s="442"/>
      <c r="GF37" s="462"/>
      <c r="GG37" s="17"/>
      <c r="GH37" s="17"/>
      <c r="GI37" s="17"/>
      <c r="GJ37" s="17"/>
      <c r="GL37" s="17"/>
      <c r="GM37" s="442"/>
      <c r="GN37" s="8"/>
      <c r="GO37" s="8"/>
      <c r="GP37" s="8"/>
      <c r="GQ37" s="8"/>
      <c r="GS37" s="17"/>
      <c r="GT37" s="17"/>
      <c r="GU37" s="17"/>
      <c r="GV37" s="629"/>
      <c r="GW37" s="17"/>
      <c r="GX37" s="17"/>
      <c r="GY37" s="17"/>
      <c r="GZ37" s="17"/>
    </row>
    <row r="38" spans="1:208" ht="15.6" x14ac:dyDescent="0.3">
      <c r="A38" s="60" t="s">
        <v>1025</v>
      </c>
      <c r="B38" s="218"/>
      <c r="C38" s="14" t="str">
        <f>C35</f>
        <v>Gaffel</v>
      </c>
      <c r="G38" s="54"/>
      <c r="H38" s="204">
        <f>TBFavrundet</f>
        <v>112.00000000000001</v>
      </c>
      <c r="I38" s="63">
        <f>COUNTA(O38:AG38)</f>
        <v>5</v>
      </c>
      <c r="J38" s="222">
        <f>SUM(O38:AG38)</f>
        <v>138</v>
      </c>
      <c r="K38" s="116">
        <f>Seilareal/Depl^0.667/K$7</f>
        <v>1.2416118731971868</v>
      </c>
      <c r="L38" s="116">
        <f>Seilareal/Lwl/Lwl/L$7</f>
        <v>1.2780154995355943</v>
      </c>
      <c r="M38" s="92">
        <f>RiggF</f>
        <v>0.73173913043478267</v>
      </c>
      <c r="N38" s="242">
        <f>StHfaktor</f>
        <v>1.0024207957611946</v>
      </c>
      <c r="O38" s="143"/>
      <c r="P38" s="143"/>
      <c r="Q38" s="143"/>
      <c r="R38" s="165">
        <v>31</v>
      </c>
      <c r="S38" s="143"/>
      <c r="T38" s="143"/>
      <c r="U38" s="165">
        <v>25</v>
      </c>
      <c r="V38" s="143"/>
      <c r="W38" s="143"/>
      <c r="X38" s="165">
        <v>53.7</v>
      </c>
      <c r="Y38" s="143"/>
      <c r="Z38" s="143"/>
      <c r="AA38" s="143"/>
      <c r="AB38" s="165">
        <v>12.3</v>
      </c>
      <c r="AC38" s="165">
        <v>16</v>
      </c>
      <c r="AD38" s="143"/>
      <c r="AE38" s="143"/>
      <c r="AF38" s="143"/>
      <c r="AG38" s="551"/>
      <c r="AH38" s="557"/>
      <c r="AI38" s="557">
        <f>AI36</f>
        <v>13.05</v>
      </c>
      <c r="AJ38" s="337" t="str">
        <f xml:space="preserve"> AJ36</f>
        <v>Clipper</v>
      </c>
      <c r="AK38" s="339"/>
      <c r="AL38" s="337">
        <f xml:space="preserve"> AL36</f>
        <v>0</v>
      </c>
      <c r="AM38" s="339"/>
      <c r="AN38" s="267" t="str">
        <f xml:space="preserve"> AN36</f>
        <v>RS</v>
      </c>
      <c r="AO38" s="45">
        <f>VLOOKUP(AN38,Skrogform!$1:$1048576,3,FALSE)</f>
        <v>0.97</v>
      </c>
      <c r="AP38" s="64">
        <f t="shared" ref="AP38:AS39" si="300">AP36</f>
        <v>14.46</v>
      </c>
      <c r="AQ38" s="64">
        <f t="shared" si="300"/>
        <v>12.8</v>
      </c>
      <c r="AR38" s="64">
        <f t="shared" si="300"/>
        <v>4.9800000000000004</v>
      </c>
      <c r="AS38" s="64">
        <f t="shared" si="300"/>
        <v>2.5</v>
      </c>
      <c r="AT38" s="64"/>
      <c r="AU38" s="64">
        <f t="shared" ref="AU38:BB39" si="301">AU36</f>
        <v>33</v>
      </c>
      <c r="AV38" s="64">
        <f t="shared" si="301"/>
        <v>9</v>
      </c>
      <c r="AW38" s="64">
        <f t="shared" si="301"/>
        <v>0</v>
      </c>
      <c r="AX38" s="256">
        <f t="shared" si="301"/>
        <v>1300</v>
      </c>
      <c r="AY38" s="256">
        <f t="shared" si="301"/>
        <v>230</v>
      </c>
      <c r="AZ38" s="256">
        <f t="shared" si="301"/>
        <v>1300</v>
      </c>
      <c r="BA38" s="256">
        <f t="shared" si="301"/>
        <v>200</v>
      </c>
      <c r="BB38" s="256">
        <f t="shared" si="301"/>
        <v>300</v>
      </c>
      <c r="BC38" s="256"/>
      <c r="BD38" s="66"/>
      <c r="BE38" s="66"/>
      <c r="BF38" s="261"/>
      <c r="BG38" s="66"/>
      <c r="BH38" s="175"/>
      <c r="BI38" s="66"/>
      <c r="BJ38" s="66"/>
      <c r="BK38" s="65" t="str">
        <f t="shared" ref="BK38:BM39" si="302" xml:space="preserve"> BK36</f>
        <v>Fast</v>
      </c>
      <c r="BL38" s="267">
        <f t="shared" si="302"/>
        <v>6</v>
      </c>
      <c r="BM38" s="267">
        <f t="shared" si="302"/>
        <v>65</v>
      </c>
      <c r="BN38" s="45">
        <f t="shared" ref="BN38" si="303">IF((BK38="Fast"),(1.006248-(0.06415*((BM38/100*SQRT(BL38))/POWER(AU38,(1/3))))),1)</f>
        <v>0.97440497416094862</v>
      </c>
      <c r="BO38" s="59"/>
      <c r="BP38" s="59"/>
      <c r="BR38" s="49">
        <f t="shared" ref="BR38" si="304">IF(O38=0,0,O38*BR$9)</f>
        <v>0</v>
      </c>
      <c r="BS38" s="49">
        <f t="shared" ref="BS38" si="305">IF(P38=0,0,P38*BS$9)</f>
        <v>0</v>
      </c>
      <c r="BT38" s="49">
        <f t="shared" ref="BT38" si="306">IF(Q38=0,0,Q38*BT$9)</f>
        <v>0</v>
      </c>
      <c r="BU38" s="49">
        <f t="shared" ref="BU38" si="307">IF(R38=0,0,R38*BU$9)</f>
        <v>31</v>
      </c>
      <c r="BV38" s="49">
        <f t="shared" ref="BV38" si="308">IF(S38=0,0,S38*BV$9)</f>
        <v>0</v>
      </c>
      <c r="BW38" s="49">
        <f t="shared" ref="BW38" si="309">IF(T38=0,0,T38*BW$9)</f>
        <v>0</v>
      </c>
      <c r="BX38" s="49">
        <f t="shared" ref="BX38" si="310">IF(U38=0,0,U38*BX$9)</f>
        <v>25</v>
      </c>
      <c r="BY38" s="549">
        <f>IF(COUNT(Q38:U38)&gt;1,MINA(Q38:U38)*BY$9,0)</f>
        <v>-12.5</v>
      </c>
      <c r="BZ38" s="85">
        <f t="shared" ref="BZ38" si="311">IF(V38=0,0,V38*BZ$9)</f>
        <v>0</v>
      </c>
      <c r="CA38" s="85">
        <f t="shared" ref="CA38" si="312">IF(W38=0,0,W38*CA$9)</f>
        <v>0</v>
      </c>
      <c r="CB38" s="85">
        <f t="shared" ref="CB38" si="313">IF(X38=0,0,X38*CB$9)</f>
        <v>42.960000000000008</v>
      </c>
      <c r="CC38" s="85">
        <f t="shared" ref="CC38" si="314">IF(Y38=0,0,Y38*CC$9)</f>
        <v>0</v>
      </c>
      <c r="CD38" s="85">
        <f t="shared" ref="CD38" si="315">IF(Z38=0,0,Z38*CD$9)</f>
        <v>0</v>
      </c>
      <c r="CE38" s="85">
        <f>IF(AC38=0,0,AC38*CE$9)</f>
        <v>9.6</v>
      </c>
      <c r="CF38" s="85">
        <f t="shared" ref="CF38" si="316">IF(AA38=0,0,AA38*CF$9)</f>
        <v>0</v>
      </c>
      <c r="CG38" s="85">
        <f t="shared" ref="CG38" si="317">IF(AB38=0,0,AB38*CG$9)</f>
        <v>4.9200000000000008</v>
      </c>
      <c r="CH38" s="85">
        <f t="shared" ref="CH38" si="318">IF(AD38=0,0,AD38*CH$9)</f>
        <v>0</v>
      </c>
      <c r="CI38" s="85">
        <f t="shared" ref="CI38" si="319">IF(AE38=0,0,AE38*CI$9)</f>
        <v>0</v>
      </c>
      <c r="CJ38" s="85">
        <f t="shared" ref="CJ38" si="320">IF(AF38=0,0,AF38*CJ$9)</f>
        <v>0</v>
      </c>
      <c r="CK38" s="85">
        <f t="shared" ref="CK38" si="321">IF(AG38=0,0,AG38*CK$9)</f>
        <v>0</v>
      </c>
      <c r="CL38" s="100">
        <f>SUM(BR38:CK38)</f>
        <v>100.98</v>
      </c>
      <c r="CM38" s="50"/>
      <c r="CN38" s="104">
        <f>J38</f>
        <v>138</v>
      </c>
      <c r="CO38" s="101">
        <f>CL38/CN38</f>
        <v>0.73173913043478267</v>
      </c>
      <c r="CP38" s="51">
        <f>Seilareal/Lwl/Lwl</f>
        <v>0.84228515625</v>
      </c>
      <c r="CQ38" s="116">
        <f>Seilareal/Depl^0.667/K$7</f>
        <v>1.2416118731971868</v>
      </c>
      <c r="CR38" s="51">
        <f>Seilareal/Lwl/Lwl/SApRS1</f>
        <v>1.2780154995355943</v>
      </c>
      <c r="CS38" s="204"/>
      <c r="CT38" s="204">
        <f>(ROUND(TBF/CT$6,3)*CT$6)*CT$4</f>
        <v>112.00000000000001</v>
      </c>
      <c r="CU38" s="107">
        <f t="shared" si="36"/>
        <v>1.1224370243601309</v>
      </c>
      <c r="CV38" s="62">
        <f t="shared" si="13"/>
        <v>3.1200684660931803</v>
      </c>
      <c r="CW38" s="62">
        <f t="shared" si="14"/>
        <v>1.6543723254348335</v>
      </c>
      <c r="CX38" s="62">
        <f t="shared" si="15"/>
        <v>1.8914832180063517</v>
      </c>
      <c r="CY38" s="107">
        <f t="shared" si="16"/>
        <v>1.0024207957611946</v>
      </c>
      <c r="CZ38" s="168" t="str">
        <f t="shared" ref="CZ38" si="322">IF(DA38=0,"-",IF(CP38="TBF","-",CZ$7*DA38))</f>
        <v>-</v>
      </c>
      <c r="DA38" s="158"/>
      <c r="DB38" s="168" t="str">
        <f t="shared" ref="DB38" si="323">IF(DC38=0,"-",IF(CT38="TBF","-",DB$7*DC38))</f>
        <v>-</v>
      </c>
      <c r="DC38" s="160"/>
      <c r="DD38" s="190" t="s">
        <v>134</v>
      </c>
      <c r="DE38" s="62">
        <v>0.82</v>
      </c>
      <c r="DF38" s="62">
        <v>0.83</v>
      </c>
      <c r="DG38" s="62">
        <v>0.82</v>
      </c>
      <c r="DH38" s="150">
        <v>0.86</v>
      </c>
      <c r="DI38" s="62">
        <f t="shared" si="39"/>
        <v>2.1266854783165212</v>
      </c>
      <c r="DJ38" s="47">
        <f t="shared" si="17"/>
        <v>13.312034078807242</v>
      </c>
      <c r="DK38" s="48">
        <f t="shared" ref="DK38" si="324">DJ$7*IF(DJ38&lt;DJ$5,-0.04,IF(DJ38&lt;DJ$5*1.1,-0.03,IF(DJ38&lt;DJ$5*1.2,-0.02,IF(DJ38&lt;DJ$5*1.3,-0.01,0))))</f>
        <v>0</v>
      </c>
      <c r="DM38" s="107">
        <f t="shared" si="25"/>
        <v>1.1055118910390067</v>
      </c>
      <c r="DN38" s="141" t="str">
        <f t="shared" ref="DN38" si="325">IF($DY38=0,"-",(DM38-$DW38)*100)</f>
        <v>-</v>
      </c>
      <c r="DO38" s="107">
        <f t="shared" ref="DO38" si="326">SUM(DP38:DS38)^DO$3+DO$7</f>
        <v>4.8372635342480974</v>
      </c>
      <c r="DP38" s="133">
        <f>IF(SeilBeregnet=0,DP36,(SeilBeregnet^0.5/(Depl^0.3333))^DP$3*DP$7)</f>
        <v>3.1332639867624401</v>
      </c>
      <c r="DQ38" s="133">
        <f>IF(SeilBeregnet=0,DQ36,(SeilBeregnet^0.5/Lwl)^DQ$3*DQ$7)</f>
        <v>0</v>
      </c>
      <c r="DR38" s="133">
        <f>IF(SeilBeregnet=0,DR36,(0.1*Loa/Depl^0.3333)^DR$3*DR$7)</f>
        <v>0</v>
      </c>
      <c r="DS38" s="133">
        <f>IF(SeilBeregnet=0,DS36,((Loa)/Bredde)^DS$3*DS$7)</f>
        <v>1.7039995474856575</v>
      </c>
      <c r="DT38" s="107">
        <f>IF(SeilBeregnet=0,DT36,(Lwl)^DT$3)</f>
        <v>1.8914832180063517</v>
      </c>
      <c r="DU38" s="133">
        <f>IF(SeilBeregnet=0,DU36,(Dypg/Loa)^DU$3*5*DU$7)</f>
        <v>2.0790065719996424</v>
      </c>
      <c r="DW38" s="107">
        <f t="shared" si="247"/>
        <v>1.1571515715052896</v>
      </c>
      <c r="DX38" s="107">
        <f t="shared" si="40"/>
        <v>1.1364766366932102</v>
      </c>
      <c r="DZ38" s="107">
        <f t="shared" si="41"/>
        <v>1.1119747014795998</v>
      </c>
      <c r="EA38" s="122" t="str">
        <f t="shared" ref="EA38" si="327">IF($DY38=0,"-",DZ38-$DW38)</f>
        <v>-</v>
      </c>
      <c r="EB38" s="107">
        <f t="shared" ref="EB38" si="328">IF(SeilBeregnet=0,"-",EB$7*(EB$4*ED38*EE38*EF38*PropF+EB$6)+ErfaringsF+Dyp_F)</f>
        <v>1.1290217822177142</v>
      </c>
      <c r="EC38" s="122" t="str">
        <f t="shared" ref="EC38" si="329">IF($DY38=0,"-",EB38-$DW38)</f>
        <v>-</v>
      </c>
      <c r="ED38" s="107">
        <f>IF(SeilBeregnet=0,ED36,SeilBeregnet^0.5/Depl^0.33333)</f>
        <v>3.1329353395628483</v>
      </c>
      <c r="EE38" s="107">
        <f>IF(SeilBeregnet=0,EE36,Lwl^0.3333)</f>
        <v>2.3390154090727244</v>
      </c>
      <c r="EF38" s="107">
        <f>IF(SeilBeregnet=0,EF36,((Loa+Lwl)/Bredde)^EF$3)</f>
        <v>1.5295868003629796</v>
      </c>
      <c r="EH38" s="107">
        <f t="shared" ref="EH38" si="330">IF(SeilBeregnet=0,"-",EH$7*(EH$4*EJ38*EK38*EL38*PropF+EH$6)+ErfaringsF+Dyp_F)</f>
        <v>1.1191966253854051</v>
      </c>
      <c r="EJ38" s="107">
        <f>IF(SeilBeregnet=0,EJ36,SeilBeregnet^0.5/Depl^0.33333)</f>
        <v>3.1329353395628483</v>
      </c>
      <c r="EK38" s="107">
        <f>IF(SeilBeregnet=0,EK36,Lwl^EK$3)</f>
        <v>2.3391943116603535</v>
      </c>
      <c r="EL38" s="107">
        <f>IF(SeilBeregnet=0,EL36,((Loa+Lwl)/Bredde)^EL$3)</f>
        <v>1.762277215907347</v>
      </c>
      <c r="EM38" s="107">
        <f t="shared" ref="EM38" si="331">IF(SeilBeregnet=0,"-",EM$7*(EM$4*EO38+EM$6)*ER38*PropF+ErfaringsF+Dyp_F)</f>
        <v>1.11577203737362</v>
      </c>
      <c r="EO38" s="107">
        <f>IF(SeilBeregnet=0,EO36,(EP38*EQ38)^EO$3)</f>
        <v>4.7920965417860417</v>
      </c>
      <c r="EP38" s="107">
        <f>IF(SeilBeregnet=0,EP36,SeilBeregnet^0.5/Depl^0.33333)</f>
        <v>3.1329353395628483</v>
      </c>
      <c r="EQ38" s="107">
        <f>IF(SeilBeregnet=0,EQ36,((Loa+Lwl)/Bredde)^EQ$3)</f>
        <v>1.5295868003629796</v>
      </c>
      <c r="ER38" s="107">
        <f>IF(SeilBeregnet=0,ER36,Lwl^ER$3)</f>
        <v>1.8914832180063517</v>
      </c>
      <c r="ES38" s="107">
        <f t="shared" si="26"/>
        <v>1.1189928051076625</v>
      </c>
      <c r="EU38" s="107">
        <f>IF(SeilBeregnet=0,EU36,(EV:EV*EW:EW)^EU$3)</f>
        <v>1.7498220024495637</v>
      </c>
      <c r="EV38" s="107">
        <f>IF(SeilBeregnet=0,EV36,SeilBeregnet^0.5/Depl^0.33333)</f>
        <v>3.1329353395628483</v>
      </c>
      <c r="EW38" s="107">
        <f>IF(SeilBeregnet=0,EW36,((Loa+Lwl)/Bredde/6)^EW$3)</f>
        <v>0.97731893843804551</v>
      </c>
      <c r="EX38" s="107">
        <f>IF(SeilBeregnet=0,EX36,(Lwl*0.7+Loa*0.3)^EX$3)</f>
        <v>1.9096183627113388</v>
      </c>
      <c r="EY38" s="107">
        <f t="shared" si="27"/>
        <v>1.094881064793515</v>
      </c>
      <c r="FA38" s="107">
        <f t="shared" si="20"/>
        <v>1.7499137788442112</v>
      </c>
      <c r="FB38" s="107">
        <f>IF(SeilBeregnet=0,FB36,SeilBeregnet^0.5/Depl^0.3333)</f>
        <v>3.1332639867624401</v>
      </c>
      <c r="FC38" s="107">
        <f>IF(SeilBeregnet=0,FC36,((Loa+Lwl)/Bredde/6)^FC$3)</f>
        <v>0.97731893843804551</v>
      </c>
      <c r="FD38" s="107">
        <f>IF(SeilBeregnet=0,FD36,(Lwl*0.7+Loa*0.3)^FD$3)</f>
        <v>1.9096183627113388</v>
      </c>
      <c r="FE38" s="107">
        <f t="shared" si="28"/>
        <v>1.0970961626943201</v>
      </c>
      <c r="FF38" s="141" t="str">
        <f t="shared" ref="FF38" si="332">IF($DY38=0,"-",(FE38-$DW38)*100)</f>
        <v>-</v>
      </c>
      <c r="FG38" s="107">
        <f t="shared" si="21"/>
        <v>2.9927443267424261</v>
      </c>
      <c r="FH38" s="133">
        <f>IF(SeilBeregnet=0,FH36,(SeilBeregnet^0.5/(Depl^0.3333))^FH$3)</f>
        <v>3.1332639867624401</v>
      </c>
      <c r="FI38" s="133">
        <f>IF(SeilBeregnet=0,FI36,((Loa+Lwl)/Bredde/6)^FI$3)</f>
        <v>0.95515230742966828</v>
      </c>
      <c r="FJ38" s="107">
        <f>IF(SeilBeregnet=0,FJ36,(Lwl*0.07+Loa*0.03)^FJ$3)</f>
        <v>1.0738573206949191</v>
      </c>
      <c r="FK38" s="107">
        <f t="shared" si="29"/>
        <v>1.1234576277455257</v>
      </c>
      <c r="FL38" s="141" t="str">
        <f t="shared" ref="FL38" si="333">IF($DY38=0,"-",(FK38-$DW38)*100)</f>
        <v>-</v>
      </c>
      <c r="FM38" s="107">
        <f t="shared" si="22"/>
        <v>5.1223323260189204</v>
      </c>
      <c r="FN38" s="133">
        <f>IF(SeilBeregnet=0,FN36,(SeilBeregnet^0.5/(Depl^0.3333))^FN$3)</f>
        <v>3.1332639867624401</v>
      </c>
      <c r="FO38" s="133">
        <f>IF(SeilBeregnet=0,FO36,(SeilBeregnet^0.5/Lwl*FO$7)^FO$3)</f>
        <v>0.785068791770823</v>
      </c>
      <c r="FP38" s="133">
        <f>IF(SeilBeregnet=0,FP36,((Loa)/Bredde)^FP$3*FP$7)</f>
        <v>1.7039995474856575</v>
      </c>
      <c r="FQ38" s="107">
        <f>IF(SeilBeregnet=0,FQ36,(Lwl)^FQ$3)</f>
        <v>1.8914832180063517</v>
      </c>
      <c r="FR38" s="107">
        <f t="shared" si="30"/>
        <v>1.1016054444526531</v>
      </c>
      <c r="FS38" s="141" t="str">
        <f t="shared" ref="FS38" si="334">IF($DY38=0,"-",(FR38-$DW38)*100)</f>
        <v>-</v>
      </c>
      <c r="FT38" s="107">
        <f t="shared" si="23"/>
        <v>5.339080415596305</v>
      </c>
      <c r="FU38" s="133">
        <f>IF(SeilBeregnet=0,FU36,(SeilBeregnet^0.5/(Depl^0.3333))^FU$3)</f>
        <v>3.1332639867624401</v>
      </c>
      <c r="FV38" s="133">
        <f>IF(SeilBeregnet=0,FV36,(Loa/Bredde)^FV$3)</f>
        <v>1.7039995474856575</v>
      </c>
      <c r="FW38" s="107">
        <f>IF(SeilBeregnet=0,FW36,Lwl^FW$3)</f>
        <v>1.8914832180063517</v>
      </c>
      <c r="FY38">
        <v>0.95</v>
      </c>
      <c r="FZ38" s="62">
        <f t="shared" ref="FZ38" si="335">IF(SeilBeregnet=0,"-",0.06*2.43^(1/2)*(SeilBeregnet^(1/2)/Depl^(1/3)+(Loa/Bredde)^(1/2)+GA38)*Lwl^(1/4)*FY38)</f>
        <v>1.1623301424060621</v>
      </c>
      <c r="GA38" s="62">
        <f t="shared" si="49"/>
        <v>2.0790065719996424</v>
      </c>
      <c r="GB38" s="107">
        <f t="shared" si="50"/>
        <v>1.0381781617550934</v>
      </c>
      <c r="GC38" s="440"/>
      <c r="GD38" s="17"/>
      <c r="GE38" s="442"/>
      <c r="GF38" s="462"/>
      <c r="GG38" s="17"/>
      <c r="GH38" s="17"/>
      <c r="GI38" s="17"/>
      <c r="GJ38" s="17"/>
      <c r="GL38" s="17"/>
      <c r="GM38" s="442"/>
      <c r="GN38" s="8"/>
      <c r="GO38" s="8"/>
      <c r="GP38" s="8"/>
      <c r="GQ38" s="8"/>
      <c r="GS38" s="17"/>
      <c r="GT38" s="17"/>
      <c r="GU38" s="17"/>
      <c r="GV38" s="629"/>
      <c r="GW38" s="17"/>
      <c r="GX38" s="17"/>
      <c r="GY38" s="17"/>
      <c r="GZ38" s="17"/>
    </row>
    <row r="39" spans="1:208" ht="15.6" x14ac:dyDescent="0.3">
      <c r="A39" s="60" t="s">
        <v>25</v>
      </c>
      <c r="B39" s="218"/>
      <c r="C39" s="14" t="str">
        <f>C36</f>
        <v>Gaffel</v>
      </c>
      <c r="G39" s="54"/>
      <c r="H39" s="204">
        <f>TBFavrundet</f>
        <v>110.5</v>
      </c>
      <c r="I39" s="63">
        <f>COUNTA(O39:AG39)</f>
        <v>4</v>
      </c>
      <c r="J39" s="222">
        <f>SUM(O39:AG39)</f>
        <v>125.7</v>
      </c>
      <c r="K39" s="116">
        <f>Seilareal/Depl^0.667/K$7</f>
        <v>1.1309464671078724</v>
      </c>
      <c r="L39" s="116">
        <f>Seilareal/Lwl/Lwl/L$7</f>
        <v>1.164105422403074</v>
      </c>
      <c r="M39" s="92">
        <f>RiggF</f>
        <v>0.76420047732696894</v>
      </c>
      <c r="N39" s="242">
        <f>StHfaktor</f>
        <v>1.0024207957611946</v>
      </c>
      <c r="O39" s="143"/>
      <c r="P39" s="143"/>
      <c r="Q39" s="143"/>
      <c r="R39" s="165">
        <v>31</v>
      </c>
      <c r="S39" s="143"/>
      <c r="T39" s="143"/>
      <c r="U39" s="165">
        <v>25</v>
      </c>
      <c r="V39" s="143"/>
      <c r="W39" s="143"/>
      <c r="X39" s="165">
        <v>53.7</v>
      </c>
      <c r="Y39" s="143"/>
      <c r="Z39" s="143"/>
      <c r="AA39" s="143"/>
      <c r="AB39" s="143"/>
      <c r="AC39" s="165">
        <v>16</v>
      </c>
      <c r="AD39" s="143"/>
      <c r="AE39" s="143"/>
      <c r="AF39" s="143"/>
      <c r="AG39" s="551"/>
      <c r="AH39" s="557"/>
      <c r="AI39" s="557">
        <f>AI37</f>
        <v>13.05</v>
      </c>
      <c r="AJ39" s="337" t="str">
        <f xml:space="preserve"> AJ37</f>
        <v>Clipper</v>
      </c>
      <c r="AK39" s="339"/>
      <c r="AL39" s="337">
        <f xml:space="preserve"> AL37</f>
        <v>0</v>
      </c>
      <c r="AM39" s="339"/>
      <c r="AN39" s="267" t="str">
        <f xml:space="preserve"> AN37</f>
        <v>RS</v>
      </c>
      <c r="AO39" s="45">
        <f>VLOOKUP(AN39,Skrogform!$1:$1048576,3,FALSE)</f>
        <v>0.97</v>
      </c>
      <c r="AP39" s="64">
        <f t="shared" si="300"/>
        <v>14.46</v>
      </c>
      <c r="AQ39" s="64">
        <f t="shared" si="300"/>
        <v>12.8</v>
      </c>
      <c r="AR39" s="64">
        <f t="shared" si="300"/>
        <v>4.9800000000000004</v>
      </c>
      <c r="AS39" s="64">
        <f t="shared" si="300"/>
        <v>2.5</v>
      </c>
      <c r="AT39" s="64"/>
      <c r="AU39" s="64">
        <f t="shared" si="301"/>
        <v>33</v>
      </c>
      <c r="AV39" s="64">
        <f t="shared" si="301"/>
        <v>9</v>
      </c>
      <c r="AW39" s="64">
        <f t="shared" si="301"/>
        <v>0</v>
      </c>
      <c r="AX39" s="256">
        <f t="shared" si="301"/>
        <v>1300</v>
      </c>
      <c r="AY39" s="256">
        <f t="shared" si="301"/>
        <v>230</v>
      </c>
      <c r="AZ39" s="256">
        <f t="shared" si="301"/>
        <v>1300</v>
      </c>
      <c r="BA39" s="256">
        <f t="shared" si="301"/>
        <v>200</v>
      </c>
      <c r="BB39" s="256">
        <f t="shared" si="301"/>
        <v>300</v>
      </c>
      <c r="BC39" s="256"/>
      <c r="BD39" s="66"/>
      <c r="BE39" s="66"/>
      <c r="BF39" s="261"/>
      <c r="BG39" s="66"/>
      <c r="BH39" s="175"/>
      <c r="BI39" s="66"/>
      <c r="BJ39" s="66"/>
      <c r="BK39" s="65" t="str">
        <f t="shared" si="302"/>
        <v>Fast</v>
      </c>
      <c r="BL39" s="267">
        <f t="shared" si="302"/>
        <v>6</v>
      </c>
      <c r="BM39" s="267">
        <f t="shared" si="302"/>
        <v>65</v>
      </c>
      <c r="BN39" s="45">
        <f t="shared" si="11"/>
        <v>0.97440497416094862</v>
      </c>
      <c r="BO39" s="59"/>
      <c r="BP39" s="59"/>
      <c r="BR39" s="49">
        <f t="shared" si="259"/>
        <v>0</v>
      </c>
      <c r="BS39" s="49">
        <f t="shared" si="259"/>
        <v>0</v>
      </c>
      <c r="BT39" s="49">
        <f t="shared" si="259"/>
        <v>0</v>
      </c>
      <c r="BU39" s="49">
        <f t="shared" si="259"/>
        <v>31</v>
      </c>
      <c r="BV39" s="49">
        <f t="shared" si="259"/>
        <v>0</v>
      </c>
      <c r="BW39" s="49">
        <f t="shared" si="259"/>
        <v>0</v>
      </c>
      <c r="BX39" s="49">
        <f t="shared" si="259"/>
        <v>25</v>
      </c>
      <c r="BY39" s="549">
        <f>IF(COUNT(Q39:U39)&gt;1,MINA(Q39:U39)*BY$9,0)</f>
        <v>-12.5</v>
      </c>
      <c r="BZ39" s="85">
        <f t="shared" si="260"/>
        <v>0</v>
      </c>
      <c r="CA39" s="85">
        <f t="shared" si="260"/>
        <v>0</v>
      </c>
      <c r="CB39" s="85">
        <f t="shared" si="260"/>
        <v>42.960000000000008</v>
      </c>
      <c r="CC39" s="85">
        <f t="shared" si="260"/>
        <v>0</v>
      </c>
      <c r="CD39" s="85">
        <f t="shared" si="260"/>
        <v>0</v>
      </c>
      <c r="CE39" s="85">
        <f>IF(AC39=0,0,AC39*CE$9)</f>
        <v>9.6</v>
      </c>
      <c r="CF39" s="85">
        <f t="shared" si="261"/>
        <v>0</v>
      </c>
      <c r="CG39" s="85">
        <f t="shared" si="261"/>
        <v>0</v>
      </c>
      <c r="CH39" s="85">
        <f t="shared" si="262"/>
        <v>0</v>
      </c>
      <c r="CI39" s="85">
        <f t="shared" si="262"/>
        <v>0</v>
      </c>
      <c r="CJ39" s="85">
        <f t="shared" si="262"/>
        <v>0</v>
      </c>
      <c r="CK39" s="85">
        <f t="shared" si="262"/>
        <v>0</v>
      </c>
      <c r="CL39" s="100">
        <f>SUM(BR39:CK39)</f>
        <v>96.06</v>
      </c>
      <c r="CM39" s="50"/>
      <c r="CN39" s="104">
        <f>J39</f>
        <v>125.7</v>
      </c>
      <c r="CO39" s="101">
        <f>CL39/CN39</f>
        <v>0.76420047732696894</v>
      </c>
      <c r="CP39" s="51">
        <f>Seilareal/Lwl/Lwl</f>
        <v>0.7672119140625</v>
      </c>
      <c r="CQ39" s="116">
        <f>Seilareal/Depl^0.667/K$7</f>
        <v>1.1309464671078724</v>
      </c>
      <c r="CR39" s="51">
        <f>Seilareal/Lwl/Lwl/SApRS1</f>
        <v>1.164105422403074</v>
      </c>
      <c r="CS39" s="204"/>
      <c r="CT39" s="204">
        <f>(ROUND(TBF/CT$6,3)*CT$6)*CT$4</f>
        <v>110.5</v>
      </c>
      <c r="CU39" s="107">
        <f t="shared" si="36"/>
        <v>1.1043447704999929</v>
      </c>
      <c r="CV39" s="62">
        <f t="shared" si="13"/>
        <v>3.043110567372969</v>
      </c>
      <c r="CW39" s="62">
        <f t="shared" si="14"/>
        <v>1.6543723254348335</v>
      </c>
      <c r="CX39" s="62">
        <f t="shared" si="15"/>
        <v>1.8914832180063517</v>
      </c>
      <c r="CY39" s="107">
        <f t="shared" si="16"/>
        <v>1.0024207957611946</v>
      </c>
      <c r="CZ39" s="168" t="str">
        <f t="shared" si="37"/>
        <v>-</v>
      </c>
      <c r="DA39" s="158"/>
      <c r="DB39" s="168" t="str">
        <f t="shared" si="38"/>
        <v>-</v>
      </c>
      <c r="DC39" s="160"/>
      <c r="DD39" s="190" t="s">
        <v>134</v>
      </c>
      <c r="DE39" s="62">
        <v>0.82</v>
      </c>
      <c r="DF39" s="62">
        <v>0.83</v>
      </c>
      <c r="DG39" s="62">
        <v>0.82</v>
      </c>
      <c r="DH39" s="150">
        <v>0.86</v>
      </c>
      <c r="DI39" s="62">
        <f t="shared" si="39"/>
        <v>2.1266854783165212</v>
      </c>
      <c r="DJ39" s="47">
        <f t="shared" si="17"/>
        <v>13.312034078807242</v>
      </c>
      <c r="DK39" s="48">
        <f t="shared" si="18"/>
        <v>0</v>
      </c>
      <c r="DM39" s="107">
        <f t="shared" si="25"/>
        <v>1.0878494903154083</v>
      </c>
      <c r="DN39" s="141" t="str">
        <f t="shared" si="246"/>
        <v>-</v>
      </c>
      <c r="DO39" s="107">
        <f t="shared" si="19"/>
        <v>4.7599801620473325</v>
      </c>
      <c r="DP39" s="133">
        <f>IF(SeilBeregnet=0,DP37,(SeilBeregnet^0.5/(Depl^0.3333))^DP$3*DP$7)</f>
        <v>3.0559806145616752</v>
      </c>
      <c r="DQ39" s="133">
        <f>IF(SeilBeregnet=0,DQ37,(SeilBeregnet^0.5/Lwl)^DQ$3*DQ$7)</f>
        <v>0</v>
      </c>
      <c r="DR39" s="133">
        <f>IF(SeilBeregnet=0,DR37,(0.1*Loa/Depl^0.3333)^DR$3*DR$7)</f>
        <v>0</v>
      </c>
      <c r="DS39" s="133">
        <f>IF(SeilBeregnet=0,DS37,((Loa)/Bredde)^DS$3*DS$7)</f>
        <v>1.7039995474856575</v>
      </c>
      <c r="DT39" s="107">
        <f>IF(SeilBeregnet=0,DT37,(Lwl)^DT$3)</f>
        <v>1.8914832180063517</v>
      </c>
      <c r="DU39" s="133">
        <f>IF(SeilBeregnet=0,DU37,(Dypg/Loa)^DU$3*5*DU$7)</f>
        <v>2.0790065719996424</v>
      </c>
      <c r="DW39" s="107">
        <f t="shared" si="247"/>
        <v>1.1384997634020546</v>
      </c>
      <c r="DX39" s="107">
        <f t="shared" si="40"/>
        <v>1.1144697770055243</v>
      </c>
      <c r="DZ39" s="107">
        <f t="shared" si="41"/>
        <v>1.0947473326248522</v>
      </c>
      <c r="EA39" s="122" t="str">
        <f t="shared" si="248"/>
        <v>-</v>
      </c>
      <c r="EB39" s="107">
        <f t="shared" si="42"/>
        <v>1.1080774684010966</v>
      </c>
      <c r="EC39" s="122" t="str">
        <f t="shared" si="249"/>
        <v>-</v>
      </c>
      <c r="ED39" s="107">
        <f>IF(SeilBeregnet=0,ED37,SeilBeregnet^0.5/Depl^0.33333)</f>
        <v>3.0556600735937818</v>
      </c>
      <c r="EE39" s="107">
        <f>IF(SeilBeregnet=0,EE37,Lwl^0.3333)</f>
        <v>2.3390154090727244</v>
      </c>
      <c r="EF39" s="107">
        <f>IF(SeilBeregnet=0,EF37,((Loa+Lwl)/Bredde)^EF$3)</f>
        <v>1.5295868003629796</v>
      </c>
      <c r="EH39" s="107">
        <f t="shared" si="43"/>
        <v>1.1005036215602078</v>
      </c>
      <c r="EJ39" s="107">
        <f>IF(SeilBeregnet=0,EJ37,SeilBeregnet^0.5/Depl^0.33333)</f>
        <v>3.0556600735937818</v>
      </c>
      <c r="EK39" s="107">
        <f>IF(SeilBeregnet=0,EK37,Lwl^EK$3)</f>
        <v>2.3391943116603535</v>
      </c>
      <c r="EL39" s="107">
        <f>IF(SeilBeregnet=0,EL37,((Loa+Lwl)/Bredde)^EL$3)</f>
        <v>1.762277215907347</v>
      </c>
      <c r="EM39" s="107">
        <f t="shared" si="44"/>
        <v>1.0963548528099898</v>
      </c>
      <c r="EO39" s="107">
        <f>IF(SeilBeregnet=0,EO37,(EP39*EQ39)^EO$3)</f>
        <v>4.6738973149652194</v>
      </c>
      <c r="EP39" s="107">
        <f>IF(SeilBeregnet=0,EP37,SeilBeregnet^0.5/Depl^0.33333)</f>
        <v>3.0556600735937818</v>
      </c>
      <c r="EQ39" s="107">
        <f>IF(SeilBeregnet=0,EQ37,((Loa+Lwl)/Bredde)^EQ$3)</f>
        <v>1.5295868003629796</v>
      </c>
      <c r="ER39" s="107">
        <f>IF(SeilBeregnet=0,ER37,Lwl^ER$3)</f>
        <v>1.8914832180063517</v>
      </c>
      <c r="ES39" s="107">
        <f t="shared" si="26"/>
        <v>1.0995510613238069</v>
      </c>
      <c r="EU39" s="107">
        <f>IF(SeilBeregnet=0,EU37,(EV:EV*EW:EW)^EU$3)</f>
        <v>1.7281071897750426</v>
      </c>
      <c r="EV39" s="107">
        <f>IF(SeilBeregnet=0,EV37,SeilBeregnet^0.5/Depl^0.33333)</f>
        <v>3.0556600735937818</v>
      </c>
      <c r="EW39" s="107">
        <f>IF(SeilBeregnet=0,EW37,((Loa+Lwl)/Bredde/6)^EW$3)</f>
        <v>0.97731893843804551</v>
      </c>
      <c r="EX39" s="107">
        <f>IF(SeilBeregnet=0,EX37,(Lwl*0.7+Loa*0.3)^EX$3)</f>
        <v>1.9096183627113388</v>
      </c>
      <c r="EY39" s="107">
        <f t="shared" si="27"/>
        <v>1.0812938901039817</v>
      </c>
      <c r="FA39" s="107">
        <f t="shared" si="20"/>
        <v>1.7281978272497227</v>
      </c>
      <c r="FB39" s="107">
        <f>IF(SeilBeregnet=0,FB37,SeilBeregnet^0.5/Depl^0.3333)</f>
        <v>3.0559806145616752</v>
      </c>
      <c r="FC39" s="107">
        <f>IF(SeilBeregnet=0,FC37,((Loa+Lwl)/Bredde/6)^FC$3)</f>
        <v>0.97731893843804551</v>
      </c>
      <c r="FD39" s="107">
        <f>IF(SeilBeregnet=0,FD37,(Lwl*0.7+Loa*0.3)^FD$3)</f>
        <v>1.9096183627113388</v>
      </c>
      <c r="FE39" s="107">
        <f t="shared" si="28"/>
        <v>1.0808756692307424</v>
      </c>
      <c r="FF39" s="141" t="str">
        <f t="shared" si="250"/>
        <v>-</v>
      </c>
      <c r="FG39" s="107">
        <f t="shared" si="21"/>
        <v>2.91892693545892</v>
      </c>
      <c r="FH39" s="133">
        <f>IF(SeilBeregnet=0,FH37,(SeilBeregnet^0.5/(Depl^0.3333))^FH$3)</f>
        <v>3.0559806145616752</v>
      </c>
      <c r="FI39" s="133">
        <f>IF(SeilBeregnet=0,FI37,((Loa+Lwl)/Bredde/6)^FI$3)</f>
        <v>0.95515230742966828</v>
      </c>
      <c r="FJ39" s="107">
        <f>IF(SeilBeregnet=0,FJ37,(Lwl*0.07+Loa*0.03)^FJ$3)</f>
        <v>1.0738573206949191</v>
      </c>
      <c r="FK39" s="107">
        <f t="shared" si="29"/>
        <v>1.1022603866117326</v>
      </c>
      <c r="FL39" s="141" t="str">
        <f t="shared" si="251"/>
        <v>-</v>
      </c>
      <c r="FM39" s="107">
        <f t="shared" si="22"/>
        <v>5.0256848772851974</v>
      </c>
      <c r="FN39" s="133">
        <f>IF(SeilBeregnet=0,FN37,(SeilBeregnet^0.5/(Depl^0.3333))^FN$3)</f>
        <v>3.0559806145616752</v>
      </c>
      <c r="FO39" s="133">
        <f>IF(SeilBeregnet=0,FO37,(SeilBeregnet^0.5/Lwl*FO$7)^FO$3)</f>
        <v>0.76570471523786499</v>
      </c>
      <c r="FP39" s="133">
        <f>IF(SeilBeregnet=0,FP37,((Loa)/Bredde)^FP$3*FP$7)</f>
        <v>1.7039995474856575</v>
      </c>
      <c r="FQ39" s="107">
        <f>IF(SeilBeregnet=0,FQ37,(Lwl)^FQ$3)</f>
        <v>1.8914832180063517</v>
      </c>
      <c r="FR39" s="107">
        <f t="shared" si="30"/>
        <v>1.0860716520188349</v>
      </c>
      <c r="FS39" s="141" t="str">
        <f t="shared" si="252"/>
        <v>-</v>
      </c>
      <c r="FT39" s="107">
        <f t="shared" si="23"/>
        <v>5.2073895843380358</v>
      </c>
      <c r="FU39" s="133">
        <f>IF(SeilBeregnet=0,FU37,(SeilBeregnet^0.5/(Depl^0.3333))^FU$3)</f>
        <v>3.0559806145616752</v>
      </c>
      <c r="FV39" s="133">
        <f>IF(SeilBeregnet=0,FV37,(Loa/Bredde)^FV$3)</f>
        <v>1.7039995474856575</v>
      </c>
      <c r="FW39" s="107">
        <f>IF(SeilBeregnet=0,FW37,Lwl^FW$3)</f>
        <v>1.8914832180063517</v>
      </c>
      <c r="FY39">
        <v>0.95</v>
      </c>
      <c r="FZ39" s="62">
        <f t="shared" si="48"/>
        <v>1.1493429303529779</v>
      </c>
      <c r="GA39" s="62">
        <f t="shared" si="49"/>
        <v>2.0790065719996424</v>
      </c>
      <c r="GB39" s="107">
        <f t="shared" si="50"/>
        <v>1.0295712937508765</v>
      </c>
      <c r="GC39" s="440"/>
      <c r="GD39" s="17"/>
      <c r="GE39" s="442"/>
      <c r="GF39" s="462"/>
      <c r="GG39" s="17"/>
      <c r="GH39" s="17"/>
      <c r="GI39" s="17"/>
      <c r="GJ39" s="17"/>
      <c r="GL39" s="17"/>
      <c r="GM39" s="442"/>
      <c r="GN39" s="8"/>
      <c r="GO39" s="8"/>
      <c r="GP39" s="8"/>
      <c r="GQ39" s="8"/>
      <c r="GS39" s="17"/>
      <c r="GT39" s="17"/>
      <c r="GU39" s="17"/>
      <c r="GV39" s="629"/>
      <c r="GW39" s="17"/>
      <c r="GX39" s="17"/>
      <c r="GY39" s="17"/>
      <c r="GZ39" s="17"/>
    </row>
    <row r="40" spans="1:208" ht="15.6" x14ac:dyDescent="0.3">
      <c r="A40" s="52" t="s">
        <v>920</v>
      </c>
      <c r="B40" s="218">
        <f t="shared" ref="B40" si="336">Loa/0.3048</f>
        <v>46.981627296587924</v>
      </c>
      <c r="C40" s="53" t="s">
        <v>19</v>
      </c>
      <c r="D40" s="53"/>
      <c r="E40" s="53"/>
      <c r="F40" s="53"/>
      <c r="G40" s="67" t="s">
        <v>20</v>
      </c>
      <c r="H40" s="112">
        <f>J41</f>
        <v>118.39999999999999</v>
      </c>
      <c r="I40" s="601">
        <f>H41/100</f>
        <v>1.095</v>
      </c>
      <c r="J40" s="651" t="str">
        <f>IF(DC41=0,"-",DC41)</f>
        <v>-</v>
      </c>
      <c r="K40" s="123" t="str">
        <f>A40</f>
        <v>RS kopi Concordia</v>
      </c>
      <c r="L40" s="116"/>
      <c r="M40" s="116"/>
      <c r="N40" s="92"/>
      <c r="O40" s="165"/>
      <c r="P40" s="165"/>
      <c r="Q40" s="165"/>
      <c r="R40" s="165">
        <v>23.2</v>
      </c>
      <c r="S40" s="165">
        <v>18</v>
      </c>
      <c r="T40" s="165"/>
      <c r="U40" s="165">
        <v>21.3</v>
      </c>
      <c r="V40" s="559"/>
      <c r="W40" s="559"/>
      <c r="X40" s="165">
        <v>46.6</v>
      </c>
      <c r="Y40" s="165"/>
      <c r="Z40" s="165"/>
      <c r="AA40" s="165">
        <v>14</v>
      </c>
      <c r="AB40" s="165"/>
      <c r="AC40" s="165">
        <v>13.3</v>
      </c>
      <c r="AD40" s="165"/>
      <c r="AE40" s="165"/>
      <c r="AF40" s="165"/>
      <c r="AG40" s="552"/>
      <c r="AH40" s="244">
        <v>7.5</v>
      </c>
      <c r="AI40" s="244">
        <v>11.7</v>
      </c>
      <c r="AJ40" s="554"/>
      <c r="AK40" s="339"/>
      <c r="AL40" s="268"/>
      <c r="AM40" s="339"/>
      <c r="AN40" s="268" t="s">
        <v>233</v>
      </c>
      <c r="AO40" s="45">
        <f>VLOOKUP(AN40,Skrogform!$1:$1048576,3,FALSE)</f>
        <v>0.97</v>
      </c>
      <c r="AP40" s="55">
        <v>14.32</v>
      </c>
      <c r="AQ40" s="55">
        <v>12.5</v>
      </c>
      <c r="AR40" s="55">
        <v>4.5999999999999996</v>
      </c>
      <c r="AS40" s="55">
        <v>2.56</v>
      </c>
      <c r="AT40" s="637"/>
      <c r="AU40" s="171">
        <v>32</v>
      </c>
      <c r="AV40" s="55">
        <v>5</v>
      </c>
      <c r="AW40" s="55">
        <v>7</v>
      </c>
      <c r="AX40" s="253">
        <v>100</v>
      </c>
      <c r="AY40" s="253">
        <v>127</v>
      </c>
      <c r="AZ40" s="254">
        <f>AY40*7</f>
        <v>889</v>
      </c>
      <c r="BA40" s="253">
        <v>200</v>
      </c>
      <c r="BB40" s="253">
        <v>300</v>
      </c>
      <c r="BC40" s="244">
        <f>Depl+Diesel/1000*0.84+Vann/1000</f>
        <v>32.452000000000005</v>
      </c>
      <c r="BD40" s="95">
        <f>Bredde/(Loa+Lwl)*2</f>
        <v>0.34302759134973898</v>
      </c>
      <c r="BE40" s="95">
        <f>(Kjøl+Ballast)/Depl</f>
        <v>0.375</v>
      </c>
      <c r="BF40" s="627">
        <f>BF$7*((Depl-Kjøl-Ballast-VektMotor/1000-VektAnnet/1000)/Lwl/Lwl/Bredde)</f>
        <v>0.99817509064775933</v>
      </c>
      <c r="BG40" s="95">
        <f>BG$7*(Depl/Loa/Lwl/Lwl)</f>
        <v>1.0524492656983238</v>
      </c>
      <c r="BH40" s="174">
        <f>BH$7*(Depl/Loa/Lwl/Bredde)</f>
        <v>1.0571233422394948</v>
      </c>
      <c r="BI40" s="95">
        <f>BI$7*Bredde/(Loa+Lwl)*2</f>
        <v>0.97855075252780377</v>
      </c>
      <c r="BJ40" s="95">
        <f>BJ$7*(Dypg/Lwl)</f>
        <v>1.1201669565217391</v>
      </c>
      <c r="BK40" s="68" t="s">
        <v>21</v>
      </c>
      <c r="BL40" s="266">
        <v>3</v>
      </c>
      <c r="BM40" s="266">
        <v>65</v>
      </c>
      <c r="BN40" s="45">
        <f t="shared" ref="BN40:BN43" si="337">IF((BK40="Fast"),(1.006248-(0.06415*((BM40/100*SQRT(BL40))/POWER(AU40,(1/3))))),1)</f>
        <v>1</v>
      </c>
      <c r="BO40" s="59"/>
      <c r="BP40" s="59"/>
      <c r="BR40" s="209"/>
      <c r="BS40" s="209"/>
      <c r="BT40" s="209" t="str">
        <f>$A40</f>
        <v>RS kopi Concordia</v>
      </c>
      <c r="BU40" s="10"/>
      <c r="BV40" s="10">
        <f t="shared" si="259"/>
        <v>18</v>
      </c>
      <c r="BW40" s="10"/>
      <c r="BX40" s="10"/>
      <c r="BY40" s="549"/>
      <c r="BZ40" s="10"/>
      <c r="CA40" s="10"/>
      <c r="CB40" s="209" t="str">
        <f>$A40</f>
        <v>RS kopi Concordia</v>
      </c>
      <c r="CC40" s="10"/>
      <c r="CD40" s="10"/>
      <c r="CE40" s="10"/>
      <c r="CF40" s="10"/>
      <c r="CG40" s="10"/>
      <c r="CH40" s="10"/>
      <c r="CI40" s="10"/>
      <c r="CJ40" s="10"/>
      <c r="CK40" s="10"/>
      <c r="CL40" s="209"/>
      <c r="CM40" s="10"/>
      <c r="CN40" s="209" t="str">
        <f>$A40</f>
        <v>RS kopi Concordia</v>
      </c>
      <c r="CO40" s="207"/>
      <c r="CP40" s="207"/>
      <c r="CQ40" s="116"/>
      <c r="CR40" s="207"/>
      <c r="CS40" s="203"/>
      <c r="CT40" s="203" t="s">
        <v>23</v>
      </c>
      <c r="CU40" s="107" t="str">
        <f t="shared" si="83"/>
        <v>-</v>
      </c>
      <c r="CV40" s="62" t="str">
        <f t="shared" si="13"/>
        <v>-</v>
      </c>
      <c r="CW40" s="62" t="str">
        <f t="shared" si="84"/>
        <v>-</v>
      </c>
      <c r="CX40" s="62" t="str">
        <f t="shared" si="15"/>
        <v>-</v>
      </c>
      <c r="CY40" s="107" t="str">
        <f t="shared" si="85"/>
        <v>-</v>
      </c>
      <c r="CZ40" s="168"/>
      <c r="DA40" s="158"/>
      <c r="DB40" s="168"/>
      <c r="DC40" s="160"/>
      <c r="DD40" s="190" t="s">
        <v>134</v>
      </c>
      <c r="DE40" s="29" t="s">
        <v>23</v>
      </c>
      <c r="DF40" s="29" t="s">
        <v>23</v>
      </c>
      <c r="DG40" s="29" t="s">
        <v>23</v>
      </c>
      <c r="DH40" s="149">
        <v>2022</v>
      </c>
      <c r="DI40" s="62" t="str">
        <f t="shared" si="88"/>
        <v>-</v>
      </c>
      <c r="DJ40" s="47">
        <f t="shared" si="89"/>
        <v>14.143646408839777</v>
      </c>
      <c r="DK40" s="48">
        <f t="shared" si="18"/>
        <v>0</v>
      </c>
      <c r="DM40" s="107" t="str">
        <f t="shared" si="25"/>
        <v>-</v>
      </c>
      <c r="DN40" s="141" t="str">
        <f t="shared" si="246"/>
        <v>-</v>
      </c>
      <c r="DO40" s="107" t="e">
        <f t="shared" ref="DO40:DO43" si="338">SUM(DP40:DS40)^DO$3+DO$7</f>
        <v>#REF!</v>
      </c>
      <c r="DP40" s="133" t="e">
        <f>IF(SeilBeregnet=0,#REF!,(SeilBeregnet^0.5/(Depl^0.3333))^DP$3*DP$7)</f>
        <v>#REF!</v>
      </c>
      <c r="DQ40" s="133" t="e">
        <f>IF(SeilBeregnet=0,#REF!,(SeilBeregnet^0.5/Lwl)^DQ$3*DQ$7)</f>
        <v>#REF!</v>
      </c>
      <c r="DR40" s="133" t="e">
        <f>IF(SeilBeregnet=0,#REF!,(0.1*Loa/Depl^0.3333)^DR$3*DR$7)</f>
        <v>#REF!</v>
      </c>
      <c r="DS40" s="133" t="e">
        <f>IF(SeilBeregnet=0,#REF!,((Loa)/Bredde)^DS$3*DS$7)</f>
        <v>#REF!</v>
      </c>
      <c r="DT40" s="107" t="e">
        <f>IF(SeilBeregnet=0,#REF!,(Lwl)^DT$3)</f>
        <v>#REF!</v>
      </c>
      <c r="DU40" s="133" t="e">
        <f>IF(SeilBeregnet=0,#REF!,(Dypg/Loa)^DU$3*5*DU$7)</f>
        <v>#REF!</v>
      </c>
      <c r="DW40" s="107" t="str">
        <f t="shared" si="125"/>
        <v>-</v>
      </c>
      <c r="DX40" s="107" t="str">
        <f t="shared" si="93"/>
        <v>-</v>
      </c>
      <c r="DZ40" s="107" t="str">
        <f t="shared" si="94"/>
        <v>-</v>
      </c>
      <c r="EB40" s="107" t="str">
        <f t="shared" si="42"/>
        <v>-</v>
      </c>
      <c r="ED40" s="107">
        <f>IF(SeilBeregnet=0,ED34,SeilBeregnet^0.5/Depl^0.33333)</f>
        <v>2.7133031284382056</v>
      </c>
      <c r="EE40" s="107">
        <f>IF(SeilBeregnet=0,EE34,Lwl^0.3333)</f>
        <v>2.317501078004538</v>
      </c>
      <c r="EF40" s="107">
        <f>IF(SeilBeregnet=0,EF34,((Loa+Lwl)/Bredde)^EF$3)</f>
        <v>1.5240266665582514</v>
      </c>
      <c r="EH40" s="107" t="str">
        <f t="shared" si="43"/>
        <v>-</v>
      </c>
      <c r="EJ40" s="107">
        <f>IF(SeilBeregnet=0,EJ34,SeilBeregnet^0.5/Depl^0.33333)</f>
        <v>2.7133031284382056</v>
      </c>
      <c r="EK40" s="107">
        <f>IF(SeilBeregnet=0,EK34,Lwl^EK$3)</f>
        <v>2.3176764073442899</v>
      </c>
      <c r="EL40" s="107">
        <f>IF(SeilBeregnet=0,EL34,((Loa+Lwl)/Bredde)^EL$3)</f>
        <v>1.7537419443002733</v>
      </c>
      <c r="EM40" s="107" t="str">
        <f t="shared" si="44"/>
        <v>-</v>
      </c>
      <c r="EO40" s="107">
        <f>IF(SeilBeregnet=0,EO34,(EP40*EQ40)^EO$3)</f>
        <v>4.1351463221957534</v>
      </c>
      <c r="EP40" s="107">
        <f>IF(SeilBeregnet=0,EP34,SeilBeregnet^0.5/Depl^0.33333)</f>
        <v>2.7133031284382056</v>
      </c>
      <c r="EQ40" s="107">
        <f>IF(SeilBeregnet=0,EQ34,((Loa+Lwl)/Bredde)^EQ$3)</f>
        <v>1.5240266665582514</v>
      </c>
      <c r="ER40" s="107">
        <f>IF(SeilBeregnet=0,ER34,Lwl^ER$3)</f>
        <v>1.878418417945126</v>
      </c>
      <c r="ES40" s="107" t="str">
        <f t="shared" si="26"/>
        <v>-</v>
      </c>
      <c r="EU40" s="107">
        <f>IF(SeilBeregnet=0,EU34,(EV:EV*EW:EW)^EU$3)</f>
        <v>1.6254609277421317</v>
      </c>
      <c r="EV40" s="107">
        <f>IF(SeilBeregnet=0,EV34,SeilBeregnet^0.5/Depl^0.33333)</f>
        <v>2.7133031284382056</v>
      </c>
      <c r="EW40" s="107">
        <f>IF(SeilBeregnet=0,EW34,((Loa+Lwl)/Bredde/6)^EW$3)</f>
        <v>0.97376632928482798</v>
      </c>
      <c r="EX40" s="107">
        <f>IF(SeilBeregnet=0,EX34,(Lwl*0.7+Loa*0.3)^EX$3)</f>
        <v>1.8979153645159141</v>
      </c>
      <c r="EY40" s="107" t="str">
        <f t="shared" si="27"/>
        <v>-</v>
      </c>
      <c r="FA40" s="107">
        <f t="shared" si="20"/>
        <v>1.6255474063442197</v>
      </c>
      <c r="FB40" s="107">
        <f>IF(SeilBeregnet=0,FB34,SeilBeregnet^0.5/Depl^0.3333)</f>
        <v>2.7135918451946317</v>
      </c>
      <c r="FC40" s="107">
        <f>IF(SeilBeregnet=0,FC34,((Loa+Lwl)/Bredde/6)^FC$3)</f>
        <v>0.97376632928482798</v>
      </c>
      <c r="FD40" s="107">
        <f>IF(SeilBeregnet=0,FD34,(Lwl*0.7+Loa*0.3)^FD$3)</f>
        <v>1.8979153645159141</v>
      </c>
      <c r="FE40" s="107" t="str">
        <f t="shared" si="28"/>
        <v>-</v>
      </c>
      <c r="FF40" s="141" t="str">
        <f t="shared" si="250"/>
        <v>-</v>
      </c>
      <c r="FG40" s="107">
        <f t="shared" si="21"/>
        <v>2.5730844041263614</v>
      </c>
      <c r="FH40" s="133">
        <f>IF(SeilBeregnet=0,FH34,(SeilBeregnet^0.5/(Depl^0.3333))^FH$3)</f>
        <v>2.7135918451946317</v>
      </c>
      <c r="FI40" s="133">
        <f>IF(SeilBeregnet=0,FI34,((Loa+Lwl)/Bredde/6)^FI$3)</f>
        <v>0.94822086404884798</v>
      </c>
      <c r="FJ40" s="107">
        <f>IF(SeilBeregnet=0,FJ34,(Lwl*0.07+Loa*0.03)^FJ$3)</f>
        <v>1.0672762411810035</v>
      </c>
      <c r="FK40" s="107" t="str">
        <f t="shared" si="29"/>
        <v>-</v>
      </c>
      <c r="FL40" s="141" t="str">
        <f t="shared" si="251"/>
        <v>-</v>
      </c>
      <c r="FM40" s="107">
        <f t="shared" si="22"/>
        <v>4.6198571302481986</v>
      </c>
      <c r="FN40" s="133">
        <f>IF(SeilBeregnet=0,FN34,(SeilBeregnet^0.5/(Depl^0.3333))^FN$3)</f>
        <v>2.7135918451946317</v>
      </c>
      <c r="FO40" s="133">
        <f>IF(SeilBeregnet=0,FO34,(SeilBeregnet^0.5/Lwl*FO$7)^FO$3)</f>
        <v>0.71083202858915961</v>
      </c>
      <c r="FP40" s="133">
        <f>IF(SeilBeregnet=0,FP34,((Loa)/Bredde)^FP$3*FP$7)</f>
        <v>1.6954332564644077</v>
      </c>
      <c r="FQ40" s="107">
        <f>IF(SeilBeregnet=0,FQ34,(Lwl)^FQ$3)</f>
        <v>1.878418417945126</v>
      </c>
      <c r="FR40" s="107" t="str">
        <f t="shared" si="30"/>
        <v>-</v>
      </c>
      <c r="FS40" s="141" t="str">
        <f t="shared" si="252"/>
        <v>-</v>
      </c>
      <c r="FT40" s="107">
        <f t="shared" si="23"/>
        <v>4.6007138588135952</v>
      </c>
      <c r="FU40" s="133">
        <f>IF(SeilBeregnet=0,FU34,(SeilBeregnet^0.5/(Depl^0.3333))^FU$3)</f>
        <v>2.7135918451946317</v>
      </c>
      <c r="FV40" s="133">
        <f>IF(SeilBeregnet=0,FV34,(Loa/Bredde)^FV$3)</f>
        <v>1.6954332564644077</v>
      </c>
      <c r="FW40" s="107">
        <f>IF(SeilBeregnet=0,FW34,Lwl^FW$3)</f>
        <v>1.878418417945126</v>
      </c>
      <c r="FY40">
        <v>0.95</v>
      </c>
      <c r="FZ40" s="62" t="str">
        <f t="shared" si="48"/>
        <v>-</v>
      </c>
      <c r="GA40" s="62">
        <f t="shared" si="49"/>
        <v>2.1140656903267598</v>
      </c>
      <c r="GB40" s="107" t="str">
        <f t="shared" si="50"/>
        <v>-</v>
      </c>
      <c r="GC40" s="441" t="s">
        <v>922</v>
      </c>
      <c r="GD40" s="57"/>
      <c r="GE40" s="436"/>
      <c r="GF40" s="75"/>
      <c r="GG40" s="57"/>
      <c r="GH40" s="57"/>
      <c r="GI40" s="57" t="s">
        <v>416</v>
      </c>
      <c r="GJ40" s="57"/>
      <c r="GL40" s="57" t="s">
        <v>478</v>
      </c>
      <c r="GM40" s="436" t="s">
        <v>478</v>
      </c>
      <c r="GN40" s="58" t="s">
        <v>478</v>
      </c>
      <c r="GO40" s="58" t="s">
        <v>478</v>
      </c>
      <c r="GP40" s="58" t="s">
        <v>478</v>
      </c>
      <c r="GQ40" s="58" t="s">
        <v>416</v>
      </c>
      <c r="GS40" s="57" t="s">
        <v>470</v>
      </c>
      <c r="GT40" s="57" t="s">
        <v>928</v>
      </c>
      <c r="GU40" s="57" t="s">
        <v>465</v>
      </c>
      <c r="GV40" s="632" t="s">
        <v>921</v>
      </c>
      <c r="GW40" s="57">
        <v>1986</v>
      </c>
      <c r="GX40" s="57" t="s">
        <v>431</v>
      </c>
      <c r="GY40" s="57" t="s">
        <v>438</v>
      </c>
      <c r="GZ40" s="57"/>
    </row>
    <row r="41" spans="1:208" ht="15.6" x14ac:dyDescent="0.3">
      <c r="A41" s="60" t="s">
        <v>24</v>
      </c>
      <c r="B41" s="218"/>
      <c r="C41" s="61" t="str">
        <f>C40</f>
        <v>Gaffel</v>
      </c>
      <c r="D41" s="61"/>
      <c r="E41" s="61"/>
      <c r="F41" s="61"/>
      <c r="G41" s="54"/>
      <c r="H41" s="204">
        <f>TBFavrundet</f>
        <v>109.5</v>
      </c>
      <c r="I41" s="63">
        <f>COUNTA(O41:AG41)</f>
        <v>5</v>
      </c>
      <c r="J41" s="222">
        <f>SUM(O41:AG41)</f>
        <v>118.39999999999999</v>
      </c>
      <c r="K41" s="116">
        <f>Seilareal/Depl^0.667/K$7</f>
        <v>1.0873572019904094</v>
      </c>
      <c r="L41" s="116">
        <f>Seilareal/Lwl/Lwl/L$7</f>
        <v>1.1497638510450623</v>
      </c>
      <c r="M41" s="92">
        <f>RiggF</f>
        <v>0.71545608108108105</v>
      </c>
      <c r="N41" s="242">
        <f>StHfaktor</f>
        <v>0.9917666062733933</v>
      </c>
      <c r="O41" s="143"/>
      <c r="P41" s="143"/>
      <c r="Q41" s="143"/>
      <c r="R41" s="165">
        <v>23.2</v>
      </c>
      <c r="S41" s="143"/>
      <c r="T41" s="143"/>
      <c r="U41" s="165">
        <v>21.3</v>
      </c>
      <c r="V41" s="559"/>
      <c r="W41" s="559"/>
      <c r="X41" s="165">
        <v>46.6</v>
      </c>
      <c r="Y41" s="143"/>
      <c r="Z41" s="143"/>
      <c r="AA41" s="165">
        <v>14</v>
      </c>
      <c r="AB41" s="143"/>
      <c r="AC41" s="165">
        <v>13.3</v>
      </c>
      <c r="AD41" s="143"/>
      <c r="AE41" s="143"/>
      <c r="AF41" s="143"/>
      <c r="AG41" s="551"/>
      <c r="AH41" s="557"/>
      <c r="AI41" s="557">
        <f t="shared" ref="AI41:AI43" si="339">AI40</f>
        <v>11.7</v>
      </c>
      <c r="AJ41" s="337">
        <f t="shared" ref="AJ41" si="340" xml:space="preserve"> AJ40</f>
        <v>0</v>
      </c>
      <c r="AK41" s="339"/>
      <c r="AL41" s="337">
        <f t="shared" ref="AL41" si="341" xml:space="preserve"> AL40</f>
        <v>0</v>
      </c>
      <c r="AM41" s="339"/>
      <c r="AN41" s="267" t="str">
        <f t="shared" ref="AN41:AN43" si="342" xml:space="preserve"> AN40</f>
        <v>RS</v>
      </c>
      <c r="AO41" s="45">
        <f>VLOOKUP(AN41,Skrogform!$1:$1048576,3,FALSE)</f>
        <v>0.97</v>
      </c>
      <c r="AP41" s="64">
        <f t="shared" ref="AP41:AS41" si="343">AP40</f>
        <v>14.32</v>
      </c>
      <c r="AQ41" s="64">
        <f t="shared" si="343"/>
        <v>12.5</v>
      </c>
      <c r="AR41" s="64">
        <f t="shared" si="343"/>
        <v>4.5999999999999996</v>
      </c>
      <c r="AS41" s="64">
        <f t="shared" si="343"/>
        <v>2.56</v>
      </c>
      <c r="AT41" s="64"/>
      <c r="AU41" s="64">
        <f t="shared" ref="AU41:AW41" si="344">AU40</f>
        <v>32</v>
      </c>
      <c r="AV41" s="64">
        <f t="shared" si="344"/>
        <v>5</v>
      </c>
      <c r="AW41" s="64">
        <f t="shared" si="344"/>
        <v>7</v>
      </c>
      <c r="AX41" s="256">
        <f>AX40</f>
        <v>100</v>
      </c>
      <c r="AY41" s="256">
        <f t="shared" ref="AY41:BB41" si="345">AY40</f>
        <v>127</v>
      </c>
      <c r="AZ41" s="256">
        <f t="shared" si="345"/>
        <v>889</v>
      </c>
      <c r="BA41" s="256">
        <f t="shared" si="345"/>
        <v>200</v>
      </c>
      <c r="BB41" s="256">
        <f t="shared" si="345"/>
        <v>300</v>
      </c>
      <c r="BC41" s="256"/>
      <c r="BD41" s="66"/>
      <c r="BE41" s="66"/>
      <c r="BF41" s="261"/>
      <c r="BG41" s="66"/>
      <c r="BH41" s="175"/>
      <c r="BI41" s="66"/>
      <c r="BJ41" s="66"/>
      <c r="BK41" s="65" t="str">
        <f t="shared" ref="BK41:BM41" si="346" xml:space="preserve"> BK40</f>
        <v>Seilrett</v>
      </c>
      <c r="BL41" s="267">
        <f t="shared" si="346"/>
        <v>3</v>
      </c>
      <c r="BM41" s="267">
        <f t="shared" si="346"/>
        <v>65</v>
      </c>
      <c r="BN41" s="45">
        <f t="shared" si="337"/>
        <v>1</v>
      </c>
      <c r="BO41" s="59"/>
      <c r="BP41" s="59"/>
      <c r="BR41" s="49">
        <f t="shared" ref="BR41:BR43" si="347">IF(O41=0,0,O41*BR$9)</f>
        <v>0</v>
      </c>
      <c r="BS41" s="49">
        <f t="shared" ref="BS41:BS43" si="348">IF(P41=0,0,P41*BS$9)</f>
        <v>0</v>
      </c>
      <c r="BT41" s="49">
        <f t="shared" ref="BT41:BT43" si="349">IF(Q41=0,0,Q41*BT$9)</f>
        <v>0</v>
      </c>
      <c r="BU41" s="49">
        <f t="shared" ref="BU41:BU43" si="350">IF(R41=0,0,R41*BU$9)</f>
        <v>23.2</v>
      </c>
      <c r="BV41" s="49">
        <f t="shared" ref="BV41:BV43" si="351">IF(S41=0,0,S41*BV$9)</f>
        <v>0</v>
      </c>
      <c r="BW41" s="49">
        <f t="shared" ref="BW41:BW43" si="352">IF(T41=0,0,T41*BW$9)</f>
        <v>0</v>
      </c>
      <c r="BX41" s="49">
        <f t="shared" ref="BX41:BX43" si="353">IF(U41=0,0,U41*BX$9)</f>
        <v>21.3</v>
      </c>
      <c r="BY41" s="549">
        <f>IF(COUNT(Q41:U41)&gt;1,MINA(Q41:U41)*BY$9,0)</f>
        <v>-10.65</v>
      </c>
      <c r="BZ41" s="85">
        <f t="shared" ref="BZ41:BZ43" si="354">IF(V41=0,0,V41*BZ$9)</f>
        <v>0</v>
      </c>
      <c r="CA41" s="85">
        <f t="shared" ref="CA41:CA43" si="355">IF(W41=0,0,W41*CA$9)</f>
        <v>0</v>
      </c>
      <c r="CB41" s="85">
        <f t="shared" ref="CB41:CB43" si="356">IF(X41=0,0,X41*CB$9)</f>
        <v>37.28</v>
      </c>
      <c r="CC41" s="85">
        <f t="shared" ref="CC41:CC43" si="357">IF(Y41=0,0,Y41*CC$9)</f>
        <v>0</v>
      </c>
      <c r="CD41" s="85">
        <f t="shared" ref="CD41:CD43" si="358">IF(Z41=0,0,Z41*CD$9)</f>
        <v>0</v>
      </c>
      <c r="CE41" s="85">
        <f>IF(AC41=0,0,AC41*CE$9)</f>
        <v>7.98</v>
      </c>
      <c r="CF41" s="85">
        <f t="shared" ref="CF41:CF43" si="359">IF(AA41=0,0,AA41*CF$9)</f>
        <v>5.6000000000000005</v>
      </c>
      <c r="CG41" s="85">
        <f t="shared" ref="CG41:CG43" si="360">IF(AB41=0,0,AB41*CG$9)</f>
        <v>0</v>
      </c>
      <c r="CH41" s="85">
        <f t="shared" ref="CH41:CH43" si="361">IF(AD41=0,0,AD41*CH$9)</f>
        <v>0</v>
      </c>
      <c r="CI41" s="85">
        <f t="shared" ref="CI41:CI43" si="362">IF(AE41=0,0,AE41*CI$9)</f>
        <v>0</v>
      </c>
      <c r="CJ41" s="85">
        <f t="shared" ref="CJ41:CJ43" si="363">IF(AF41=0,0,AF41*CJ$9)</f>
        <v>0</v>
      </c>
      <c r="CK41" s="85">
        <f t="shared" ref="CK41:CK43" si="364">IF(AG41=0,0,AG41*CK$9)</f>
        <v>0</v>
      </c>
      <c r="CL41" s="100">
        <f>SUM(BR41:CK41)</f>
        <v>84.71</v>
      </c>
      <c r="CM41" s="50"/>
      <c r="CN41" s="104">
        <f>J41</f>
        <v>118.39999999999999</v>
      </c>
      <c r="CO41" s="101">
        <f>CL41/CN41</f>
        <v>0.71545608108108105</v>
      </c>
      <c r="CP41" s="51">
        <f>Seilareal/Lwl/Lwl</f>
        <v>0.75775999999999999</v>
      </c>
      <c r="CQ41" s="116">
        <f>Seilareal/Depl^0.667/K$7</f>
        <v>1.0873572019904094</v>
      </c>
      <c r="CR41" s="51">
        <f>Seilareal/Lwl/Lwl/SApRS1</f>
        <v>1.1497638510450623</v>
      </c>
      <c r="CS41" s="204"/>
      <c r="CT41" s="204">
        <f>(ROUND(TBF/CT$6,3)*CT$6)*CT$4</f>
        <v>109.5</v>
      </c>
      <c r="CU41" s="107">
        <f t="shared" si="83"/>
        <v>1.0944661922766139</v>
      </c>
      <c r="CV41" s="62">
        <f t="shared" si="13"/>
        <v>2.8558817818537925</v>
      </c>
      <c r="CW41" s="62">
        <f t="shared" si="84"/>
        <v>1.7074007705586725</v>
      </c>
      <c r="CX41" s="62">
        <f t="shared" si="15"/>
        <v>1.8803015465431969</v>
      </c>
      <c r="CY41" s="107">
        <f t="shared" si="85"/>
        <v>0.9917666062733933</v>
      </c>
      <c r="CZ41" s="168" t="str">
        <f>IF(DA41=0,"-",IF(CP41="TBF","-",CZ$7*DA41))</f>
        <v>-</v>
      </c>
      <c r="DA41" s="159"/>
      <c r="DB41" s="168" t="str">
        <f>IF(DC41=0,"-",IF(CT41="TBF","-",DB$7*DC41))</f>
        <v>-</v>
      </c>
      <c r="DC41" s="159">
        <f>DC40</f>
        <v>0</v>
      </c>
      <c r="DD41" s="190" t="s">
        <v>134</v>
      </c>
      <c r="DE41" s="62">
        <v>0.88</v>
      </c>
      <c r="DF41" s="62">
        <v>0.87</v>
      </c>
      <c r="DG41" s="62">
        <v>0.88</v>
      </c>
      <c r="DH41" s="150">
        <v>0.91</v>
      </c>
      <c r="DI41" s="62">
        <f t="shared" si="88"/>
        <v>2.1690048048173995</v>
      </c>
      <c r="DJ41" s="47">
        <f t="shared" si="89"/>
        <v>14.143646408839777</v>
      </c>
      <c r="DK41" s="48">
        <f t="shared" si="18"/>
        <v>0</v>
      </c>
      <c r="DM41" s="107">
        <f t="shared" si="25"/>
        <v>1.087383888737349</v>
      </c>
      <c r="DN41" s="141">
        <f t="shared" si="246"/>
        <v>-0.89480330765936422</v>
      </c>
      <c r="DO41" s="107">
        <f t="shared" si="338"/>
        <v>4.663733285383814</v>
      </c>
      <c r="DP41" s="133">
        <f>IF(SeilBeregnet=0,DP40,(SeilBeregnet^0.5/(Depl^0.3333))^DP$3*DP$7)</f>
        <v>2.8993513884406181</v>
      </c>
      <c r="DQ41" s="133">
        <f>IF(SeilBeregnet=0,DQ40,(SeilBeregnet^0.5/Lwl)^DQ$3*DQ$7)</f>
        <v>0</v>
      </c>
      <c r="DR41" s="133">
        <f>IF(SeilBeregnet=0,DR40,(0.1*Loa/Depl^0.3333)^DR$3*DR$7)</f>
        <v>0</v>
      </c>
      <c r="DS41" s="133">
        <f>IF(SeilBeregnet=0,DS40,((Loa)/Bredde)^DS$3*DS$7)</f>
        <v>1.7643818969431957</v>
      </c>
      <c r="DT41" s="107">
        <f>IF(SeilBeregnet=0,DT40,(Lwl)^DT$3)</f>
        <v>1.8803015465431969</v>
      </c>
      <c r="DU41" s="133">
        <f>IF(SeilBeregnet=0,DU40,(Dypg/Loa)^DU$3*5*DU$7)</f>
        <v>2.1140656903267598</v>
      </c>
      <c r="DW41" s="107">
        <f t="shared" si="125"/>
        <v>1.0963319218139427</v>
      </c>
      <c r="DX41" s="107">
        <f t="shared" si="93"/>
        <v>1.1097172487185312</v>
      </c>
      <c r="DY41" s="122">
        <f>DX41-DW41</f>
        <v>1.338532690458849E-2</v>
      </c>
      <c r="DZ41" s="107">
        <f t="shared" si="94"/>
        <v>1.1007050962600426</v>
      </c>
      <c r="EA41" s="122">
        <f>IF($DY41=0,"-",DZ41-$DW41)</f>
        <v>4.37317444609997E-3</v>
      </c>
      <c r="EB41" s="107">
        <f t="shared" si="42"/>
        <v>1.0926417550615442</v>
      </c>
      <c r="EC41" s="122">
        <f>IF($DY41=0,"-",EB41-$DW41)</f>
        <v>-3.6901667523985271E-3</v>
      </c>
      <c r="ED41" s="107">
        <f>IF(SeilBeregnet=0,ED40,SeilBeregnet^0.5/Depl^0.33333)</f>
        <v>2.8990499525252957</v>
      </c>
      <c r="EE41" s="107">
        <f>IF(SeilBeregnet=0,EE40,Lwl^0.3333)</f>
        <v>2.3205990351333203</v>
      </c>
      <c r="EF41" s="107">
        <f>IF(SeilBeregnet=0,EF40,((Loa+Lwl)/Bredde)^EF$3)</f>
        <v>1.5539077598526714</v>
      </c>
      <c r="EH41" s="107">
        <f t="shared" si="43"/>
        <v>1.0905495082963039</v>
      </c>
      <c r="EJ41" s="107">
        <f>IF(SeilBeregnet=0,EJ40,SeilBeregnet^0.5/Depl^0.33333)</f>
        <v>2.8990499525252957</v>
      </c>
      <c r="EK41" s="107">
        <f>IF(SeilBeregnet=0,EK40,Lwl^EK$3)</f>
        <v>2.3207748778988528</v>
      </c>
      <c r="EL41" s="107">
        <f>IF(SeilBeregnet=0,EL40,((Loa+Lwl)/Bredde)^EL$3)</f>
        <v>1.7997331820742701</v>
      </c>
      <c r="EM41" s="107">
        <f t="shared" si="44"/>
        <v>1.0901715469961093</v>
      </c>
      <c r="EO41" s="107">
        <f>IF(SeilBeregnet=0,EO40,(EP41*EQ41)^EO$3)</f>
        <v>4.5048562174295759</v>
      </c>
      <c r="EP41" s="107">
        <f>IF(SeilBeregnet=0,EP40,SeilBeregnet^0.5/Depl^0.33333)</f>
        <v>2.8990499525252957</v>
      </c>
      <c r="EQ41" s="107">
        <f>IF(SeilBeregnet=0,EQ40,((Loa+Lwl)/Bredde)^EQ$3)</f>
        <v>1.5539077598526714</v>
      </c>
      <c r="ER41" s="107">
        <f>IF(SeilBeregnet=0,ER40,Lwl^ER$3)</f>
        <v>1.8803015465431969</v>
      </c>
      <c r="ES41" s="107">
        <f t="shared" si="26"/>
        <v>1.0942087717701507</v>
      </c>
      <c r="EU41" s="107">
        <f>IF(SeilBeregnet=0,EU40,(EV:EV*EW:EW)^EU$3)</f>
        <v>1.6965691308483644</v>
      </c>
      <c r="EV41" s="107">
        <f>IF(SeilBeregnet=0,EV40,SeilBeregnet^0.5/Depl^0.33333)</f>
        <v>2.8990499525252957</v>
      </c>
      <c r="EW41" s="107">
        <f>IF(SeilBeregnet=0,EW40,((Loa+Lwl)/Bredde/6)^EW$3)</f>
        <v>0.99285864779263722</v>
      </c>
      <c r="EX41" s="107">
        <f>IF(SeilBeregnet=0,EX40,(Lwl*0.7+Loa*0.3)^EX$3)</f>
        <v>1.9005064311058175</v>
      </c>
      <c r="EY41" s="107">
        <f t="shared" si="27"/>
        <v>1.0842456821052429</v>
      </c>
      <c r="FA41" s="107">
        <f t="shared" si="20"/>
        <v>1.6966573310491595</v>
      </c>
      <c r="FB41" s="107">
        <f>IF(SeilBeregnet=0,FB40,SeilBeregnet^0.5/Depl^0.3333)</f>
        <v>2.8993513884406181</v>
      </c>
      <c r="FC41" s="107">
        <f>IF(SeilBeregnet=0,FC40,((Loa+Lwl)/Bredde/6)^FC$3)</f>
        <v>0.99285864779263722</v>
      </c>
      <c r="FD41" s="107">
        <f>IF(SeilBeregnet=0,FD40,(Lwl*0.7+Loa*0.3)^FD$3)</f>
        <v>1.9005064311058175</v>
      </c>
      <c r="FE41" s="107">
        <f t="shared" si="28"/>
        <v>1.0903202444052542</v>
      </c>
      <c r="FF41" s="141">
        <f t="shared" si="250"/>
        <v>-0.6011677408688465</v>
      </c>
      <c r="FG41" s="107">
        <f t="shared" si="21"/>
        <v>2.8580886733295268</v>
      </c>
      <c r="FH41" s="133">
        <f>IF(SeilBeregnet=0,FH40,(SeilBeregnet^0.5/(Depl^0.3333))^FH$3)</f>
        <v>2.8993513884406181</v>
      </c>
      <c r="FI41" s="133">
        <f>IF(SeilBeregnet=0,FI40,((Loa+Lwl)/Bredde/6)^FI$3)</f>
        <v>0.98576829449662395</v>
      </c>
      <c r="FJ41" s="107">
        <f>IF(SeilBeregnet=0,FJ40,(Lwl*0.07+Loa*0.03)^FJ$3)</f>
        <v>1.0687333050008263</v>
      </c>
      <c r="FK41" s="107">
        <f t="shared" si="29"/>
        <v>1.0964122383671651</v>
      </c>
      <c r="FL41" s="141">
        <f t="shared" si="251"/>
        <v>8.0316553222381515E-3</v>
      </c>
      <c r="FM41" s="107">
        <f t="shared" si="22"/>
        <v>4.90003757030955</v>
      </c>
      <c r="FN41" s="133">
        <f>IF(SeilBeregnet=0,FN40,(SeilBeregnet^0.5/(Depl^0.3333))^FN$3)</f>
        <v>2.8993513884406181</v>
      </c>
      <c r="FO41" s="133">
        <f>IF(SeilBeregnet=0,FO40,(SeilBeregnet^0.5/Lwl*FO$7)^FO$3)</f>
        <v>0.73630428492573641</v>
      </c>
      <c r="FP41" s="133">
        <f>IF(SeilBeregnet=0,FP40,((Loa)/Bredde)^FP$3*FP$7)</f>
        <v>1.7643818969431957</v>
      </c>
      <c r="FQ41" s="107">
        <f>IF(SeilBeregnet=0,FQ40,(Lwl)^FQ$3)</f>
        <v>1.8803015465431969</v>
      </c>
      <c r="FR41" s="107">
        <f t="shared" si="30"/>
        <v>1.0969604735686</v>
      </c>
      <c r="FS41" s="141">
        <f t="shared" si="252"/>
        <v>6.2855175465736934E-2</v>
      </c>
      <c r="FT41" s="107">
        <f t="shared" si="23"/>
        <v>5.1155631026417456</v>
      </c>
      <c r="FU41" s="133">
        <f>IF(SeilBeregnet=0,FU40,(SeilBeregnet^0.5/(Depl^0.3333))^FU$3)</f>
        <v>2.8993513884406181</v>
      </c>
      <c r="FV41" s="133">
        <f>IF(SeilBeregnet=0,FV40,(Loa/Bredde)^FV$3)</f>
        <v>1.7643818969431957</v>
      </c>
      <c r="FW41" s="107">
        <f>IF(SeilBeregnet=0,FW40,Lwl^FW$3)</f>
        <v>1.8803015465431969</v>
      </c>
      <c r="FY41">
        <v>0.95</v>
      </c>
      <c r="FZ41" s="62">
        <f t="shared" si="48"/>
        <v>1.1323292297496024</v>
      </c>
      <c r="GA41" s="62">
        <f t="shared" si="49"/>
        <v>2.1140656903267598</v>
      </c>
      <c r="GB41" s="107">
        <f t="shared" si="50"/>
        <v>1.0737086868745107</v>
      </c>
      <c r="GC41" s="440"/>
      <c r="GD41" s="17"/>
      <c r="GE41" s="442"/>
      <c r="GF41" s="462"/>
      <c r="GG41" s="17"/>
      <c r="GH41" s="17"/>
      <c r="GI41" s="17"/>
      <c r="GJ41" s="17"/>
      <c r="GL41" s="17"/>
      <c r="GM41" s="442"/>
      <c r="GN41" s="8"/>
      <c r="GO41" s="8"/>
      <c r="GP41" s="8"/>
      <c r="GQ41" s="8"/>
      <c r="GS41" s="17"/>
      <c r="GT41" s="17"/>
      <c r="GU41" s="17"/>
      <c r="GV41" s="629"/>
      <c r="GW41" s="17"/>
      <c r="GX41" s="17"/>
      <c r="GY41" s="17"/>
      <c r="GZ41" s="17"/>
    </row>
    <row r="42" spans="1:208" ht="15.6" x14ac:dyDescent="0.3">
      <c r="A42" s="60" t="s">
        <v>25</v>
      </c>
      <c r="B42" s="218"/>
      <c r="C42" s="14" t="str">
        <f>C40</f>
        <v>Gaffel</v>
      </c>
      <c r="G42" s="54"/>
      <c r="H42" s="204">
        <f>TBFavrundet</f>
        <v>107</v>
      </c>
      <c r="I42" s="63">
        <f>COUNTA(O42:AG42)</f>
        <v>4</v>
      </c>
      <c r="J42" s="222">
        <f>SUM(O42:AG42)</f>
        <v>104.39999999999999</v>
      </c>
      <c r="K42" s="116">
        <f>Seilareal/Depl^0.667/K$7</f>
        <v>0.95878455986316513</v>
      </c>
      <c r="L42" s="116">
        <f>Seilareal/Lwl/Lwl/L$7</f>
        <v>1.0138120443336527</v>
      </c>
      <c r="M42" s="92">
        <f>RiggF</f>
        <v>0.75775862068965527</v>
      </c>
      <c r="N42" s="242">
        <f>StHfaktor</f>
        <v>0.9917666062733933</v>
      </c>
      <c r="O42" s="143"/>
      <c r="P42" s="143"/>
      <c r="Q42" s="143"/>
      <c r="R42" s="165">
        <v>23.2</v>
      </c>
      <c r="S42" s="143"/>
      <c r="T42" s="143"/>
      <c r="U42" s="165">
        <v>21.3</v>
      </c>
      <c r="V42" s="559"/>
      <c r="W42" s="559"/>
      <c r="X42" s="165">
        <v>46.6</v>
      </c>
      <c r="Y42" s="143"/>
      <c r="Z42" s="143"/>
      <c r="AA42" s="143"/>
      <c r="AB42" s="143"/>
      <c r="AC42" s="165">
        <v>13.3</v>
      </c>
      <c r="AD42" s="143"/>
      <c r="AE42" s="143"/>
      <c r="AF42" s="143"/>
      <c r="AG42" s="551"/>
      <c r="AH42" s="557"/>
      <c r="AI42" s="557">
        <f t="shared" si="339"/>
        <v>11.7</v>
      </c>
      <c r="AJ42" s="337">
        <f t="shared" ref="AJ42" si="365" xml:space="preserve"> AJ41</f>
        <v>0</v>
      </c>
      <c r="AK42" s="339"/>
      <c r="AL42" s="337">
        <f t="shared" ref="AL42" si="366" xml:space="preserve"> AL41</f>
        <v>0</v>
      </c>
      <c r="AM42" s="339"/>
      <c r="AN42" s="267" t="str">
        <f t="shared" si="342"/>
        <v>RS</v>
      </c>
      <c r="AO42" s="45">
        <f>VLOOKUP(AN42,Skrogform!$1:$1048576,3,FALSE)</f>
        <v>0.97</v>
      </c>
      <c r="AP42" s="64">
        <f t="shared" ref="AP42:AS42" si="367">AP41</f>
        <v>14.32</v>
      </c>
      <c r="AQ42" s="64">
        <f t="shared" si="367"/>
        <v>12.5</v>
      </c>
      <c r="AR42" s="64">
        <f t="shared" si="367"/>
        <v>4.5999999999999996</v>
      </c>
      <c r="AS42" s="64">
        <f t="shared" si="367"/>
        <v>2.56</v>
      </c>
      <c r="AT42" s="64"/>
      <c r="AU42" s="64">
        <f t="shared" ref="AU42:AW42" si="368">AU41</f>
        <v>32</v>
      </c>
      <c r="AV42" s="64">
        <f t="shared" si="368"/>
        <v>5</v>
      </c>
      <c r="AW42" s="64">
        <f t="shared" si="368"/>
        <v>7</v>
      </c>
      <c r="AX42" s="256">
        <f>AX41</f>
        <v>100</v>
      </c>
      <c r="AY42" s="256">
        <f t="shared" ref="AY42:BB42" si="369">AY41</f>
        <v>127</v>
      </c>
      <c r="AZ42" s="256">
        <f t="shared" si="369"/>
        <v>889</v>
      </c>
      <c r="BA42" s="256">
        <f t="shared" si="369"/>
        <v>200</v>
      </c>
      <c r="BB42" s="256">
        <f t="shared" si="369"/>
        <v>300</v>
      </c>
      <c r="BC42" s="256"/>
      <c r="BD42" s="66"/>
      <c r="BE42" s="66"/>
      <c r="BF42" s="261"/>
      <c r="BG42" s="66"/>
      <c r="BH42" s="175"/>
      <c r="BI42" s="66"/>
      <c r="BJ42" s="66"/>
      <c r="BK42" s="65" t="str">
        <f t="shared" ref="BK42:BM42" si="370" xml:space="preserve"> BK41</f>
        <v>Seilrett</v>
      </c>
      <c r="BL42" s="267">
        <f t="shared" si="370"/>
        <v>3</v>
      </c>
      <c r="BM42" s="267">
        <f t="shared" si="370"/>
        <v>65</v>
      </c>
      <c r="BN42" s="45">
        <f t="shared" si="337"/>
        <v>1</v>
      </c>
      <c r="BO42" s="59"/>
      <c r="BP42" s="59"/>
      <c r="BR42" s="49">
        <f t="shared" si="347"/>
        <v>0</v>
      </c>
      <c r="BS42" s="49">
        <f t="shared" si="348"/>
        <v>0</v>
      </c>
      <c r="BT42" s="49">
        <f t="shared" si="349"/>
        <v>0</v>
      </c>
      <c r="BU42" s="49">
        <f t="shared" si="350"/>
        <v>23.2</v>
      </c>
      <c r="BV42" s="49">
        <f t="shared" si="351"/>
        <v>0</v>
      </c>
      <c r="BW42" s="49">
        <f t="shared" si="352"/>
        <v>0</v>
      </c>
      <c r="BX42" s="49">
        <f t="shared" si="353"/>
        <v>21.3</v>
      </c>
      <c r="BY42" s="549">
        <f>IF(COUNT(Q42:U42)&gt;1,MINA(Q42:U42)*BY$9,0)</f>
        <v>-10.65</v>
      </c>
      <c r="BZ42" s="85">
        <f t="shared" si="354"/>
        <v>0</v>
      </c>
      <c r="CA42" s="85">
        <f t="shared" si="355"/>
        <v>0</v>
      </c>
      <c r="CB42" s="85">
        <f t="shared" si="356"/>
        <v>37.28</v>
      </c>
      <c r="CC42" s="85">
        <f t="shared" si="357"/>
        <v>0</v>
      </c>
      <c r="CD42" s="85">
        <f t="shared" si="358"/>
        <v>0</v>
      </c>
      <c r="CE42" s="85">
        <f>IF(AC42=0,0,AC42*CE$9)</f>
        <v>7.98</v>
      </c>
      <c r="CF42" s="85">
        <f t="shared" si="359"/>
        <v>0</v>
      </c>
      <c r="CG42" s="85">
        <f t="shared" si="360"/>
        <v>0</v>
      </c>
      <c r="CH42" s="85">
        <f t="shared" si="361"/>
        <v>0</v>
      </c>
      <c r="CI42" s="85">
        <f t="shared" si="362"/>
        <v>0</v>
      </c>
      <c r="CJ42" s="85">
        <f t="shared" si="363"/>
        <v>0</v>
      </c>
      <c r="CK42" s="85">
        <f t="shared" si="364"/>
        <v>0</v>
      </c>
      <c r="CL42" s="100">
        <f>SUM(BR42:CK42)</f>
        <v>79.11</v>
      </c>
      <c r="CM42" s="50"/>
      <c r="CN42" s="104">
        <f>J42</f>
        <v>104.39999999999999</v>
      </c>
      <c r="CO42" s="101">
        <f>CL42/CN42</f>
        <v>0.75775862068965527</v>
      </c>
      <c r="CP42" s="51">
        <f>Seilareal/Lwl/Lwl</f>
        <v>0.66815999999999987</v>
      </c>
      <c r="CQ42" s="116">
        <f>Seilareal/Depl^0.667/K$7</f>
        <v>0.95878455986316513</v>
      </c>
      <c r="CR42" s="51">
        <f>Seilareal/Lwl/Lwl/SApRS1</f>
        <v>1.0138120443336527</v>
      </c>
      <c r="CS42" s="204"/>
      <c r="CT42" s="204">
        <f>(ROUND(TBF/CT$6,3)*CT$6)*CT$4</f>
        <v>107</v>
      </c>
      <c r="CU42" s="107">
        <f t="shared" si="83"/>
        <v>1.0714384739904312</v>
      </c>
      <c r="CV42" s="62">
        <f t="shared" si="13"/>
        <v>2.7598696932038691</v>
      </c>
      <c r="CW42" s="62">
        <f t="shared" si="84"/>
        <v>1.7074007705586725</v>
      </c>
      <c r="CX42" s="62">
        <f t="shared" si="15"/>
        <v>1.8803015465431969</v>
      </c>
      <c r="CY42" s="107">
        <f t="shared" si="85"/>
        <v>0.9917666062733933</v>
      </c>
      <c r="CZ42" s="168" t="str">
        <f>IF(DA42=0,"-",IF(CP42="TBF","-",CZ$7*DA42))</f>
        <v>-</v>
      </c>
      <c r="DA42" s="158"/>
      <c r="DB42" s="168" t="str">
        <f>IF(DC42=0,"-",IF(CT42="TBF","-",DB$7*DC42))</f>
        <v>-</v>
      </c>
      <c r="DC42" s="160"/>
      <c r="DD42" s="190" t="s">
        <v>134</v>
      </c>
      <c r="DE42" s="62">
        <v>0.86</v>
      </c>
      <c r="DF42" s="62">
        <v>0.86</v>
      </c>
      <c r="DG42" s="62">
        <v>0.86</v>
      </c>
      <c r="DH42" s="150">
        <v>0.88</v>
      </c>
      <c r="DI42" s="62">
        <f t="shared" si="88"/>
        <v>2.1690048048173995</v>
      </c>
      <c r="DJ42" s="47">
        <f t="shared" si="89"/>
        <v>14.143646408839777</v>
      </c>
      <c r="DK42" s="48">
        <f t="shared" si="18"/>
        <v>0</v>
      </c>
      <c r="DM42" s="107">
        <f t="shared" si="25"/>
        <v>1.064657222553818</v>
      </c>
      <c r="DN42" s="141" t="str">
        <f t="shared" si="246"/>
        <v>-</v>
      </c>
      <c r="DO42" s="107">
        <f t="shared" si="338"/>
        <v>4.56625978900066</v>
      </c>
      <c r="DP42" s="133">
        <f>IF(SeilBeregnet=0,DP41,(SeilBeregnet^0.5/(Depl^0.3333))^DP$3*DP$7)</f>
        <v>2.8018778920574645</v>
      </c>
      <c r="DQ42" s="133">
        <f>IF(SeilBeregnet=0,DQ41,(SeilBeregnet^0.5/Lwl)^DQ$3*DQ$7)</f>
        <v>0</v>
      </c>
      <c r="DR42" s="133">
        <f>IF(SeilBeregnet=0,DR41,(0.1*Loa/Depl^0.3333)^DR$3*DR$7)</f>
        <v>0</v>
      </c>
      <c r="DS42" s="133">
        <f>IF(SeilBeregnet=0,DS41,((Loa)/Bredde)^DS$3*DS$7)</f>
        <v>1.7643818969431957</v>
      </c>
      <c r="DT42" s="107">
        <f>IF(SeilBeregnet=0,DT41,(Lwl)^DT$3)</f>
        <v>1.8803015465431969</v>
      </c>
      <c r="DU42" s="133">
        <f>IF(SeilBeregnet=0,DU41,(Dypg/Loa)^DU$3*5*DU$7)</f>
        <v>2.1140656903267598</v>
      </c>
      <c r="DW42" s="107">
        <f t="shared" si="125"/>
        <v>1.0718672809966996</v>
      </c>
      <c r="DX42" s="107">
        <f t="shared" si="93"/>
        <v>1.0806214722933214</v>
      </c>
      <c r="DZ42" s="107">
        <f t="shared" si="94"/>
        <v>1.077603025134549</v>
      </c>
      <c r="EA42" s="122" t="str">
        <f>IF($DY42=0,"-",DZ42-$DW42)</f>
        <v>-</v>
      </c>
      <c r="EB42" s="107">
        <f t="shared" si="42"/>
        <v>1.0653176681277092</v>
      </c>
      <c r="EC42" s="122" t="str">
        <f>IF($DY42=0,"-",EB42-$DW42)</f>
        <v>-</v>
      </c>
      <c r="ED42" s="107">
        <f>IF(SeilBeregnet=0,ED41,SeilBeregnet^0.5/Depl^0.33333)</f>
        <v>2.8015865901371866</v>
      </c>
      <c r="EE42" s="107">
        <f>IF(SeilBeregnet=0,EE41,Lwl^0.3333)</f>
        <v>2.3205990351333203</v>
      </c>
      <c r="EF42" s="107">
        <f>IF(SeilBeregnet=0,EF41,((Loa+Lwl)/Bredde)^EF$3)</f>
        <v>1.5539077598526714</v>
      </c>
      <c r="EH42" s="107">
        <f t="shared" si="43"/>
        <v>1.0660339889988724</v>
      </c>
      <c r="EJ42" s="107">
        <f>IF(SeilBeregnet=0,EJ41,SeilBeregnet^0.5/Depl^0.33333)</f>
        <v>2.8015865901371866</v>
      </c>
      <c r="EK42" s="107">
        <f>IF(SeilBeregnet=0,EK41,Lwl^EK$3)</f>
        <v>2.3207748778988528</v>
      </c>
      <c r="EL42" s="107">
        <f>IF(SeilBeregnet=0,EL41,((Loa+Lwl)/Bredde)^EL$3)</f>
        <v>1.7997331820742701</v>
      </c>
      <c r="EM42" s="107">
        <f t="shared" si="44"/>
        <v>1.0647896681364075</v>
      </c>
      <c r="EO42" s="107">
        <f>IF(SeilBeregnet=0,EO41,(EP42*EQ42)^EO$3)</f>
        <v>4.35340714231336</v>
      </c>
      <c r="EP42" s="107">
        <f>IF(SeilBeregnet=0,EP41,SeilBeregnet^0.5/Depl^0.33333)</f>
        <v>2.8015865901371866</v>
      </c>
      <c r="EQ42" s="107">
        <f>IF(SeilBeregnet=0,EQ41,((Loa+Lwl)/Bredde)^EQ$3)</f>
        <v>1.5539077598526714</v>
      </c>
      <c r="ER42" s="107">
        <f>IF(SeilBeregnet=0,ER41,Lwl^ER$3)</f>
        <v>1.8803015465431969</v>
      </c>
      <c r="ES42" s="107">
        <f t="shared" si="26"/>
        <v>1.0679068976603825</v>
      </c>
      <c r="EU42" s="107">
        <f>IF(SeilBeregnet=0,EU41,(EV:EV*EW:EW)^EU$3)</f>
        <v>1.6678067854393663</v>
      </c>
      <c r="EV42" s="107">
        <f>IF(SeilBeregnet=0,EV41,SeilBeregnet^0.5/Depl^0.33333)</f>
        <v>2.8015865901371866</v>
      </c>
      <c r="EW42" s="107">
        <f>IF(SeilBeregnet=0,EW41,((Loa+Lwl)/Bredde/6)^EW$3)</f>
        <v>0.99285864779263722</v>
      </c>
      <c r="EX42" s="107">
        <f>IF(SeilBeregnet=0,EX41,(Lwl*0.7+Loa*0.3)^EX$3)</f>
        <v>1.9005064311058175</v>
      </c>
      <c r="EY42" s="107">
        <f t="shared" si="27"/>
        <v>1.0658642037145973</v>
      </c>
      <c r="FA42" s="107">
        <f t="shared" ref="FA42:FA73" si="371">(FB:FB*FC:FC)^FA$3</f>
        <v>1.667893490360898</v>
      </c>
      <c r="FB42" s="107">
        <f>IF(SeilBeregnet=0,FB41,SeilBeregnet^0.5/Depl^0.3333)</f>
        <v>2.8018778920574645</v>
      </c>
      <c r="FC42" s="107">
        <f>IF(SeilBeregnet=0,FC41,((Loa+Lwl)/Bredde/6)^FC$3)</f>
        <v>0.99285864779263722</v>
      </c>
      <c r="FD42" s="107">
        <f>IF(SeilBeregnet=0,FD41,(Lwl*0.7+Loa*0.3)^FD$3)</f>
        <v>1.9005064311058175</v>
      </c>
      <c r="FE42" s="107">
        <f t="shared" si="28"/>
        <v>1.0687552162978715</v>
      </c>
      <c r="FF42" s="141" t="str">
        <f t="shared" si="250"/>
        <v>-</v>
      </c>
      <c r="FG42" s="107">
        <f t="shared" ref="FG42:FG73" si="372">(FH:FH*FI:FI)^FG$3</f>
        <v>2.7620023910412828</v>
      </c>
      <c r="FH42" s="133">
        <f>IF(SeilBeregnet=0,FH41,(SeilBeregnet^0.5/(Depl^0.3333))^FH$3)</f>
        <v>2.8018778920574645</v>
      </c>
      <c r="FI42" s="133">
        <f>IF(SeilBeregnet=0,FI41,((Loa+Lwl)/Bredde/6)^FI$3)</f>
        <v>0.98576829449662395</v>
      </c>
      <c r="FJ42" s="107">
        <f>IF(SeilBeregnet=0,FJ41,(Lwl*0.07+Loa*0.03)^FJ$3)</f>
        <v>1.0687333050008263</v>
      </c>
      <c r="FK42" s="107">
        <f t="shared" si="29"/>
        <v>1.0690631470519956</v>
      </c>
      <c r="FL42" s="141" t="str">
        <f t="shared" si="251"/>
        <v>-</v>
      </c>
      <c r="FM42" s="107">
        <f t="shared" ref="FM42:FM73" si="373">(FN:FN+FO:FO+FP:FP)^FM$3+FM$7</f>
        <v>4.7778102088585923</v>
      </c>
      <c r="FN42" s="133">
        <f>IF(SeilBeregnet=0,FN41,(SeilBeregnet^0.5/(Depl^0.3333))^FN$3)</f>
        <v>2.8018778920574645</v>
      </c>
      <c r="FO42" s="133">
        <f>IF(SeilBeregnet=0,FO41,(SeilBeregnet^0.5/Lwl*FO$7)^FO$3)</f>
        <v>0.71155041985793244</v>
      </c>
      <c r="FP42" s="133">
        <f>IF(SeilBeregnet=0,FP41,((Loa)/Bredde)^FP$3*FP$7)</f>
        <v>1.7643818969431957</v>
      </c>
      <c r="FQ42" s="107">
        <f>IF(SeilBeregnet=0,FQ41,(Lwl)^FQ$3)</f>
        <v>1.8803015465431969</v>
      </c>
      <c r="FR42" s="107">
        <f t="shared" si="30"/>
        <v>1.0762644640759071</v>
      </c>
      <c r="FS42" s="141" t="str">
        <f t="shared" si="252"/>
        <v>-</v>
      </c>
      <c r="FT42" s="107">
        <f t="shared" ref="FT42:FT73" si="374">(FU:FU*FV:FV)^FT$3</f>
        <v>4.9435826301915515</v>
      </c>
      <c r="FU42" s="133">
        <f>IF(SeilBeregnet=0,FU41,(SeilBeregnet^0.5/(Depl^0.3333))^FU$3)</f>
        <v>2.8018778920574645</v>
      </c>
      <c r="FV42" s="133">
        <f>IF(SeilBeregnet=0,FV41,(Loa/Bredde)^FV$3)</f>
        <v>1.7643818969431957</v>
      </c>
      <c r="FW42" s="107">
        <f>IF(SeilBeregnet=0,FW41,Lwl^FW$3)</f>
        <v>1.8803015465431969</v>
      </c>
      <c r="FY42">
        <v>0.95</v>
      </c>
      <c r="FZ42" s="62">
        <f t="shared" si="48"/>
        <v>1.1160459505853237</v>
      </c>
      <c r="GA42" s="62">
        <f t="shared" si="49"/>
        <v>2.1140656903267598</v>
      </c>
      <c r="GB42" s="107">
        <f t="shared" si="50"/>
        <v>1.0615389092452889</v>
      </c>
      <c r="GC42" s="440"/>
      <c r="GD42" s="17"/>
      <c r="GE42" s="442"/>
      <c r="GF42" s="462"/>
      <c r="GG42" s="17"/>
      <c r="GH42" s="17"/>
      <c r="GI42" s="17"/>
      <c r="GJ42" s="17"/>
      <c r="GL42" s="17"/>
      <c r="GM42" s="442"/>
      <c r="GN42" s="8"/>
      <c r="GO42" s="8"/>
      <c r="GP42" s="8"/>
      <c r="GQ42" s="8"/>
      <c r="GS42" s="17"/>
      <c r="GT42" s="17"/>
      <c r="GU42" s="17"/>
      <c r="GV42" s="629"/>
      <c r="GW42" s="17"/>
      <c r="GX42" s="17"/>
      <c r="GY42" s="17"/>
      <c r="GZ42" s="17"/>
    </row>
    <row r="43" spans="1:208" ht="15.6" x14ac:dyDescent="0.3">
      <c r="A43" s="60" t="s">
        <v>148</v>
      </c>
      <c r="B43" s="218"/>
      <c r="C43" s="14" t="str">
        <f>C41</f>
        <v>Gaffel</v>
      </c>
      <c r="G43" s="54"/>
      <c r="H43" s="204">
        <f>TBFavrundet</f>
        <v>105.5</v>
      </c>
      <c r="I43" s="63">
        <f>COUNTA(O43:AG43)</f>
        <v>4</v>
      </c>
      <c r="J43" s="222">
        <f>SUM(O43:AG43)</f>
        <v>99.2</v>
      </c>
      <c r="K43" s="116">
        <f>Seilareal/Depl^0.667/K$7</f>
        <v>0.91102900707304579</v>
      </c>
      <c r="L43" s="116">
        <f>Seilareal/Lwl/Lwl/L$7</f>
        <v>0.96331565898370075</v>
      </c>
      <c r="M43" s="92">
        <f>RiggF</f>
        <v>0.7616935483870968</v>
      </c>
      <c r="N43" s="242">
        <f>StHfaktor</f>
        <v>0.9917666062733933</v>
      </c>
      <c r="O43" s="143"/>
      <c r="P43" s="143"/>
      <c r="Q43" s="143"/>
      <c r="R43" s="143"/>
      <c r="S43" s="165">
        <v>18</v>
      </c>
      <c r="T43" s="143"/>
      <c r="U43" s="165">
        <v>21.3</v>
      </c>
      <c r="V43" s="559"/>
      <c r="W43" s="559"/>
      <c r="X43" s="165">
        <v>46.6</v>
      </c>
      <c r="Y43" s="143"/>
      <c r="Z43" s="143"/>
      <c r="AA43" s="143"/>
      <c r="AB43" s="143"/>
      <c r="AC43" s="165">
        <v>13.3</v>
      </c>
      <c r="AD43" s="143"/>
      <c r="AE43" s="143"/>
      <c r="AF43" s="143"/>
      <c r="AG43" s="551"/>
      <c r="AH43" s="557"/>
      <c r="AI43" s="557">
        <f t="shared" si="339"/>
        <v>11.7</v>
      </c>
      <c r="AJ43" s="337">
        <f t="shared" ref="AJ43" si="375" xml:space="preserve"> AJ42</f>
        <v>0</v>
      </c>
      <c r="AK43" s="339"/>
      <c r="AL43" s="337">
        <f t="shared" ref="AL43" si="376" xml:space="preserve"> AL42</f>
        <v>0</v>
      </c>
      <c r="AM43" s="339"/>
      <c r="AN43" s="267" t="str">
        <f t="shared" si="342"/>
        <v>RS</v>
      </c>
      <c r="AO43" s="45">
        <f>VLOOKUP(AN43,Skrogform!$1:$1048576,3,FALSE)</f>
        <v>0.97</v>
      </c>
      <c r="AP43" s="64">
        <f t="shared" ref="AP43:AS43" si="377">AP42</f>
        <v>14.32</v>
      </c>
      <c r="AQ43" s="64">
        <f t="shared" si="377"/>
        <v>12.5</v>
      </c>
      <c r="AR43" s="64">
        <f t="shared" si="377"/>
        <v>4.5999999999999996</v>
      </c>
      <c r="AS43" s="64">
        <f t="shared" si="377"/>
        <v>2.56</v>
      </c>
      <c r="AT43" s="64"/>
      <c r="AU43" s="64">
        <f t="shared" ref="AU43:AW43" si="378">AU42</f>
        <v>32</v>
      </c>
      <c r="AV43" s="64">
        <f t="shared" si="378"/>
        <v>5</v>
      </c>
      <c r="AW43" s="64">
        <f t="shared" si="378"/>
        <v>7</v>
      </c>
      <c r="AX43" s="256">
        <f>AX42</f>
        <v>100</v>
      </c>
      <c r="AY43" s="256">
        <f t="shared" ref="AY43:BB43" si="379">AY42</f>
        <v>127</v>
      </c>
      <c r="AZ43" s="256">
        <f t="shared" si="379"/>
        <v>889</v>
      </c>
      <c r="BA43" s="256">
        <f t="shared" si="379"/>
        <v>200</v>
      </c>
      <c r="BB43" s="256">
        <f t="shared" si="379"/>
        <v>300</v>
      </c>
      <c r="BC43" s="256"/>
      <c r="BD43" s="66"/>
      <c r="BE43" s="66"/>
      <c r="BF43" s="261"/>
      <c r="BG43" s="66"/>
      <c r="BH43" s="175"/>
      <c r="BI43" s="66"/>
      <c r="BJ43" s="66"/>
      <c r="BK43" s="65" t="str">
        <f t="shared" ref="BK43:BM43" si="380" xml:space="preserve"> BK42</f>
        <v>Seilrett</v>
      </c>
      <c r="BL43" s="267">
        <f t="shared" si="380"/>
        <v>3</v>
      </c>
      <c r="BM43" s="267">
        <f t="shared" si="380"/>
        <v>65</v>
      </c>
      <c r="BN43" s="45">
        <f t="shared" si="337"/>
        <v>1</v>
      </c>
      <c r="BO43" s="59"/>
      <c r="BP43" s="59"/>
      <c r="BR43" s="49">
        <f t="shared" si="347"/>
        <v>0</v>
      </c>
      <c r="BS43" s="49">
        <f t="shared" si="348"/>
        <v>0</v>
      </c>
      <c r="BT43" s="49">
        <f t="shared" si="349"/>
        <v>0</v>
      </c>
      <c r="BU43" s="49">
        <f t="shared" si="350"/>
        <v>0</v>
      </c>
      <c r="BV43" s="49">
        <f t="shared" si="351"/>
        <v>18</v>
      </c>
      <c r="BW43" s="49">
        <f t="shared" si="352"/>
        <v>0</v>
      </c>
      <c r="BX43" s="49">
        <f t="shared" si="353"/>
        <v>21.3</v>
      </c>
      <c r="BY43" s="549">
        <f>IF(COUNT(Q43:U43)&gt;1,MINA(Q43:U43)*BY$9,0)</f>
        <v>-9</v>
      </c>
      <c r="BZ43" s="85">
        <f t="shared" si="354"/>
        <v>0</v>
      </c>
      <c r="CA43" s="85">
        <f t="shared" si="355"/>
        <v>0</v>
      </c>
      <c r="CB43" s="85">
        <f t="shared" si="356"/>
        <v>37.28</v>
      </c>
      <c r="CC43" s="85">
        <f t="shared" si="357"/>
        <v>0</v>
      </c>
      <c r="CD43" s="85">
        <f t="shared" si="358"/>
        <v>0</v>
      </c>
      <c r="CE43" s="85">
        <f>IF(AC43=0,0,AC43*CE$9)</f>
        <v>7.98</v>
      </c>
      <c r="CF43" s="85">
        <f t="shared" si="359"/>
        <v>0</v>
      </c>
      <c r="CG43" s="85">
        <f t="shared" si="360"/>
        <v>0</v>
      </c>
      <c r="CH43" s="85">
        <f t="shared" si="361"/>
        <v>0</v>
      </c>
      <c r="CI43" s="85">
        <f t="shared" si="362"/>
        <v>0</v>
      </c>
      <c r="CJ43" s="85">
        <f t="shared" si="363"/>
        <v>0</v>
      </c>
      <c r="CK43" s="85">
        <f t="shared" si="364"/>
        <v>0</v>
      </c>
      <c r="CL43" s="100">
        <f>SUM(BR43:CK43)</f>
        <v>75.56</v>
      </c>
      <c r="CM43" s="50"/>
      <c r="CN43" s="104">
        <f>J43</f>
        <v>99.2</v>
      </c>
      <c r="CO43" s="101">
        <f>CL43/CN43</f>
        <v>0.7616935483870968</v>
      </c>
      <c r="CP43" s="51">
        <f>Seilareal/Lwl/Lwl</f>
        <v>0.63488</v>
      </c>
      <c r="CQ43" s="116">
        <f>Seilareal/Depl^0.667/K$7</f>
        <v>0.91102900707304579</v>
      </c>
      <c r="CR43" s="51">
        <f>Seilareal/Lwl/Lwl/SApRS1</f>
        <v>0.96331565898370075</v>
      </c>
      <c r="CS43" s="204"/>
      <c r="CT43" s="204">
        <f>(ROUND(TBF/CT$6,3)*CT$6)*CT$4</f>
        <v>105.5</v>
      </c>
      <c r="CU43" s="107">
        <f t="shared" si="83"/>
        <v>1.0564161615003638</v>
      </c>
      <c r="CV43" s="62">
        <f t="shared" si="13"/>
        <v>2.697235454735325</v>
      </c>
      <c r="CW43" s="62">
        <f t="shared" si="84"/>
        <v>1.7074007705586725</v>
      </c>
      <c r="CX43" s="62">
        <f t="shared" si="15"/>
        <v>1.8803015465431969</v>
      </c>
      <c r="CY43" s="107">
        <f t="shared" si="85"/>
        <v>0.9917666062733933</v>
      </c>
      <c r="CZ43" s="168" t="str">
        <f>IF(DA43=0,"-",IF(CP43="TBF","-",CZ$7*DA43))</f>
        <v>-</v>
      </c>
      <c r="DA43" s="158"/>
      <c r="DB43" s="168" t="str">
        <f>IF(DC43=0,"-",IF(CT43="TBF","-",DB$7*DC43))</f>
        <v>-</v>
      </c>
      <c r="DC43" s="160"/>
      <c r="DD43" s="190" t="s">
        <v>134</v>
      </c>
      <c r="DE43" s="62">
        <v>0.83</v>
      </c>
      <c r="DF43" s="62">
        <v>0.84</v>
      </c>
      <c r="DG43" s="62">
        <v>0.83</v>
      </c>
      <c r="DH43" s="150">
        <v>0.84</v>
      </c>
      <c r="DI43" s="62">
        <f t="shared" si="88"/>
        <v>2.1690048048173995</v>
      </c>
      <c r="DJ43" s="47">
        <f t="shared" si="89"/>
        <v>14.143646408839777</v>
      </c>
      <c r="DK43" s="48">
        <f t="shared" si="18"/>
        <v>0</v>
      </c>
      <c r="DM43" s="107">
        <f t="shared" ref="DM43:DM74" si="381">IF(SeilBeregnet=0,"-",DM$7*(DO:DO+DM$6)*DT:DT*PropF+ErfaringsF+Dyp_F)</f>
        <v>1.0498313037622331</v>
      </c>
      <c r="DN43" s="141" t="str">
        <f t="shared" si="246"/>
        <v>-</v>
      </c>
      <c r="DO43" s="107">
        <f t="shared" si="338"/>
        <v>4.5026721897444286</v>
      </c>
      <c r="DP43" s="133">
        <f>IF(SeilBeregnet=0,DP42,(SeilBeregnet^0.5/(Depl^0.3333))^DP$3*DP$7)</f>
        <v>2.7382902928012327</v>
      </c>
      <c r="DQ43" s="133">
        <f>IF(SeilBeregnet=0,DQ42,(SeilBeregnet^0.5/Lwl)^DQ$3*DQ$7)</f>
        <v>0</v>
      </c>
      <c r="DR43" s="133">
        <f>IF(SeilBeregnet=0,DR42,(0.1*Loa/Depl^0.3333)^DR$3*DR$7)</f>
        <v>0</v>
      </c>
      <c r="DS43" s="133">
        <f>IF(SeilBeregnet=0,DS42,((Loa)/Bredde)^DS$3*DS$7)</f>
        <v>1.7643818969431957</v>
      </c>
      <c r="DT43" s="107">
        <f>IF(SeilBeregnet=0,DT42,(Lwl)^DT$3)</f>
        <v>1.8803015465431969</v>
      </c>
      <c r="DU43" s="133">
        <f>IF(SeilBeregnet=0,DU42,(Dypg/Loa)^DU$3*5*DU$7)</f>
        <v>2.1140656903267598</v>
      </c>
      <c r="DW43" s="107">
        <f t="shared" si="125"/>
        <v>1.0559075808324676</v>
      </c>
      <c r="DX43" s="107">
        <f t="shared" si="93"/>
        <v>1.0616406145214552</v>
      </c>
      <c r="DZ43" s="107">
        <f t="shared" si="94"/>
        <v>1.0625322079870605</v>
      </c>
      <c r="EA43" s="122" t="str">
        <f>IF($DY43=0,"-",DZ43-$DW43)</f>
        <v>-</v>
      </c>
      <c r="EB43" s="107">
        <f t="shared" si="42"/>
        <v>1.0474925858801063</v>
      </c>
      <c r="EC43" s="122" t="str">
        <f>IF($DY43=0,"-",EB43-$DW43)</f>
        <v>-</v>
      </c>
      <c r="ED43" s="107">
        <f>IF(SeilBeregnet=0,ED42,SeilBeregnet^0.5/Depl^0.33333)</f>
        <v>2.7380056018720409</v>
      </c>
      <c r="EE43" s="107">
        <f>IF(SeilBeregnet=0,EE42,Lwl^0.3333)</f>
        <v>2.3205990351333203</v>
      </c>
      <c r="EF43" s="107">
        <f>IF(SeilBeregnet=0,EF42,((Loa+Lwl)/Bredde)^EF$3)</f>
        <v>1.5539077598526714</v>
      </c>
      <c r="EH43" s="107">
        <f t="shared" si="43"/>
        <v>1.0500410978593591</v>
      </c>
      <c r="EJ43" s="107">
        <f>IF(SeilBeregnet=0,EJ42,SeilBeregnet^0.5/Depl^0.33333)</f>
        <v>2.7380056018720409</v>
      </c>
      <c r="EK43" s="107">
        <f>IF(SeilBeregnet=0,EK42,Lwl^EK$3)</f>
        <v>2.3207748778988528</v>
      </c>
      <c r="EL43" s="107">
        <f>IF(SeilBeregnet=0,EL42,((Loa+Lwl)/Bredde)^EL$3)</f>
        <v>1.7997331820742701</v>
      </c>
      <c r="EM43" s="107">
        <f t="shared" si="44"/>
        <v>1.0482316005468684</v>
      </c>
      <c r="EO43" s="107">
        <f>IF(SeilBeregnet=0,EO42,(EP43*EQ43)^EO$3)</f>
        <v>4.2546081512690481</v>
      </c>
      <c r="EP43" s="107">
        <f>IF(SeilBeregnet=0,EP42,SeilBeregnet^0.5/Depl^0.33333)</f>
        <v>2.7380056018720409</v>
      </c>
      <c r="EQ43" s="107">
        <f>IF(SeilBeregnet=0,EQ42,((Loa+Lwl)/Bredde)^EQ$3)</f>
        <v>1.5539077598526714</v>
      </c>
      <c r="ER43" s="107">
        <f>IF(SeilBeregnet=0,ER42,Lwl^ER$3)</f>
        <v>1.8803015465431969</v>
      </c>
      <c r="ES43" s="107">
        <f t="shared" ref="ES43:ES74" si="382">IF(SeilBeregnet=0,"-",ES$7*(ES$4*EU:EU+ES$6)*EX:EX*PropF+ErfaringsF+Dyp_F)</f>
        <v>1.0505013922130835</v>
      </c>
      <c r="EU43" s="107">
        <f>IF(SeilBeregnet=0,EU42,(EV:EV*EW:EW)^EU$3)</f>
        <v>1.6487730406345624</v>
      </c>
      <c r="EV43" s="107">
        <f>IF(SeilBeregnet=0,EV42,SeilBeregnet^0.5/Depl^0.33333)</f>
        <v>2.7380056018720409</v>
      </c>
      <c r="EW43" s="107">
        <f>IF(SeilBeregnet=0,EW42,((Loa+Lwl)/Bredde/6)^EW$3)</f>
        <v>0.99285864779263722</v>
      </c>
      <c r="EX43" s="107">
        <f>IF(SeilBeregnet=0,EX42,(Lwl*0.7+Loa*0.3)^EX$3)</f>
        <v>1.9005064311058175</v>
      </c>
      <c r="EY43" s="107">
        <f t="shared" ref="EY43:EY74" si="383">IF(SeilBeregnet=0,"-",EY$7*(FA:FA+EY$6)*FD:FD*PropF+ErfaringsF+Dyp_F)</f>
        <v>1.0537000924834903</v>
      </c>
      <c r="FA43" s="107">
        <f t="shared" si="371"/>
        <v>1.6488587560413828</v>
      </c>
      <c r="FB43" s="107">
        <f>IF(SeilBeregnet=0,FB42,SeilBeregnet^0.5/Depl^0.3333)</f>
        <v>2.7382902928012327</v>
      </c>
      <c r="FC43" s="107">
        <f>IF(SeilBeregnet=0,FC42,((Loa+Lwl)/Bredde/6)^FC$3)</f>
        <v>0.99285864779263722</v>
      </c>
      <c r="FD43" s="107">
        <f>IF(SeilBeregnet=0,FD42,(Lwl*0.7+Loa*0.3)^FD$3)</f>
        <v>1.9005064311058175</v>
      </c>
      <c r="FE43" s="107">
        <f t="shared" ref="FE43:FE74" si="384">IF(SeilBeregnet=0,"-",FE$7*(FG:FG+FE$6)*FJ:FJ*PropF+ErfaringsF+Dyp_F)</f>
        <v>1.0546871012089101</v>
      </c>
      <c r="FF43" s="141" t="str">
        <f t="shared" si="250"/>
        <v>-</v>
      </c>
      <c r="FG43" s="107">
        <f t="shared" si="372"/>
        <v>2.6993197517713323</v>
      </c>
      <c r="FH43" s="133">
        <f>IF(SeilBeregnet=0,FH42,(SeilBeregnet^0.5/(Depl^0.3333))^FH$3)</f>
        <v>2.7382902928012327</v>
      </c>
      <c r="FI43" s="133">
        <f>IF(SeilBeregnet=0,FI42,((Loa+Lwl)/Bredde/6)^FI$3)</f>
        <v>0.98576829449662395</v>
      </c>
      <c r="FJ43" s="107">
        <f>IF(SeilBeregnet=0,FJ42,(Lwl*0.07+Loa*0.03)^FJ$3)</f>
        <v>1.0687333050008263</v>
      </c>
      <c r="FK43" s="107">
        <f t="shared" ref="FK43:FK74" si="385">IF(SeilBeregnet=0,"-",FK$7*(FM:FM+FK$6)*FQ:FQ*PropF+ErfaringsF+Dyp_F)</f>
        <v>1.0512217530002723</v>
      </c>
      <c r="FL43" s="141" t="str">
        <f t="shared" si="251"/>
        <v>-</v>
      </c>
      <c r="FM43" s="107">
        <f t="shared" si="373"/>
        <v>4.6980742317316517</v>
      </c>
      <c r="FN43" s="133">
        <f>IF(SeilBeregnet=0,FN42,(SeilBeregnet^0.5/(Depl^0.3333))^FN$3)</f>
        <v>2.7382902928012327</v>
      </c>
      <c r="FO43" s="133">
        <f>IF(SeilBeregnet=0,FO42,(SeilBeregnet^0.5/Lwl*FO$7)^FO$3)</f>
        <v>0.69540204198722333</v>
      </c>
      <c r="FP43" s="133">
        <f>IF(SeilBeregnet=0,FP42,((Loa)/Bredde)^FP$3*FP$7)</f>
        <v>1.7643818969431957</v>
      </c>
      <c r="FQ43" s="107">
        <f>IF(SeilBeregnet=0,FQ42,(Lwl)^FQ$3)</f>
        <v>1.8803015465431969</v>
      </c>
      <c r="FR43" s="107">
        <f t="shared" ref="FR43:FR74" si="386">IF(SeilBeregnet=0,"-",FR$7*(FT:FT+FR$6)*FW:FW*PropF+ErfaringsF+Dyp_F)</f>
        <v>1.0627632600906565</v>
      </c>
      <c r="FS43" s="141" t="str">
        <f t="shared" si="252"/>
        <v>-</v>
      </c>
      <c r="FT43" s="107">
        <f t="shared" si="374"/>
        <v>4.8313898211937776</v>
      </c>
      <c r="FU43" s="133">
        <f>IF(SeilBeregnet=0,FU42,(SeilBeregnet^0.5/(Depl^0.3333))^FU$3)</f>
        <v>2.7382902928012327</v>
      </c>
      <c r="FV43" s="133">
        <f>IF(SeilBeregnet=0,FV42,(Loa/Bredde)^FV$3)</f>
        <v>1.7643818969431957</v>
      </c>
      <c r="FW43" s="107">
        <f>IF(SeilBeregnet=0,FW42,Lwl^FW$3)</f>
        <v>1.8803015465431969</v>
      </c>
      <c r="FY43">
        <v>0.95</v>
      </c>
      <c r="FZ43" s="62">
        <f t="shared" si="48"/>
        <v>1.1054234258119695</v>
      </c>
      <c r="GA43" s="62">
        <f t="shared" si="49"/>
        <v>2.1140656903267598</v>
      </c>
      <c r="GB43" s="107">
        <f t="shared" si="50"/>
        <v>1.0534469693305499</v>
      </c>
      <c r="GC43" s="440"/>
      <c r="GD43" s="17"/>
      <c r="GE43" s="442"/>
      <c r="GF43" s="462"/>
      <c r="GG43" s="17"/>
      <c r="GH43" s="17"/>
      <c r="GI43" s="17"/>
      <c r="GJ43" s="17"/>
      <c r="GL43" s="17"/>
      <c r="GM43" s="442"/>
      <c r="GN43" s="8"/>
      <c r="GO43" s="8"/>
      <c r="GP43" s="8"/>
      <c r="GQ43" s="8"/>
      <c r="GS43" s="17"/>
      <c r="GT43" s="17"/>
      <c r="GU43" s="17"/>
      <c r="GV43" s="629"/>
      <c r="GW43" s="17"/>
      <c r="GX43" s="17"/>
      <c r="GY43" s="17"/>
      <c r="GZ43" s="17"/>
    </row>
    <row r="44" spans="1:208" ht="15.6" x14ac:dyDescent="0.3">
      <c r="A44" s="52" t="s">
        <v>902</v>
      </c>
      <c r="B44" s="218">
        <f t="shared" ref="B44" si="387">Loa/0.3048</f>
        <v>47.342519685039363</v>
      </c>
      <c r="C44" s="53" t="s">
        <v>19</v>
      </c>
      <c r="D44" s="53"/>
      <c r="E44" s="53"/>
      <c r="F44" s="53"/>
      <c r="G44" s="54" t="s">
        <v>20</v>
      </c>
      <c r="H44" s="112">
        <f>J45</f>
        <v>124.69999999999999</v>
      </c>
      <c r="I44" s="601">
        <f>H45/100</f>
        <v>1.1100000000000001</v>
      </c>
      <c r="J44" s="651">
        <f>IF(DC45=0,"-",DC45)</f>
        <v>1.2</v>
      </c>
      <c r="K44" s="123" t="str">
        <f>A44</f>
        <v>RS kopi Fayance</v>
      </c>
      <c r="L44" s="116"/>
      <c r="M44" s="116"/>
      <c r="N44" s="92"/>
      <c r="O44" s="165"/>
      <c r="P44" s="165"/>
      <c r="Q44" s="165"/>
      <c r="R44" s="165">
        <v>25.4</v>
      </c>
      <c r="S44" s="165">
        <v>18</v>
      </c>
      <c r="T44" s="165"/>
      <c r="U44" s="165">
        <v>24</v>
      </c>
      <c r="V44" s="559"/>
      <c r="W44" s="559"/>
      <c r="X44" s="165">
        <v>48.3</v>
      </c>
      <c r="Y44" s="165"/>
      <c r="Z44" s="165"/>
      <c r="AA44" s="165">
        <v>13</v>
      </c>
      <c r="AB44" s="165"/>
      <c r="AC44" s="165">
        <v>14</v>
      </c>
      <c r="AD44" s="165"/>
      <c r="AE44" s="165"/>
      <c r="AF44" s="165"/>
      <c r="AG44" s="552"/>
      <c r="AH44" s="244">
        <v>7.57</v>
      </c>
      <c r="AI44" s="241">
        <f>11.7+0.3</f>
        <v>12</v>
      </c>
      <c r="AJ44" s="554" t="s">
        <v>650</v>
      </c>
      <c r="AK44" s="339"/>
      <c r="AL44" s="268"/>
      <c r="AM44" s="339"/>
      <c r="AN44" s="268" t="s">
        <v>233</v>
      </c>
      <c r="AO44" s="45">
        <f>VLOOKUP(AN44,Skrogform!$1:$1048576,3,FALSE)</f>
        <v>0.97</v>
      </c>
      <c r="AP44" s="55">
        <v>14.43</v>
      </c>
      <c r="AQ44" s="55">
        <v>12.65</v>
      </c>
      <c r="AR44" s="55">
        <v>4.7300000000000004</v>
      </c>
      <c r="AS44" s="55">
        <v>2.5</v>
      </c>
      <c r="AT44" s="637">
        <v>34</v>
      </c>
      <c r="AU44" s="55">
        <v>33</v>
      </c>
      <c r="AV44" s="55">
        <v>10</v>
      </c>
      <c r="AW44" s="55">
        <v>2.2000000000000002</v>
      </c>
      <c r="AX44" s="253">
        <v>1200</v>
      </c>
      <c r="AY44" s="253">
        <v>100</v>
      </c>
      <c r="AZ44" s="253">
        <v>500</v>
      </c>
      <c r="BA44" s="253">
        <v>200</v>
      </c>
      <c r="BB44" s="253">
        <v>150</v>
      </c>
      <c r="BC44" s="244">
        <f>Depl+Diesel/1000*0.84+Vann/1000</f>
        <v>33.326000000000001</v>
      </c>
      <c r="BD44" s="95">
        <f>Bredde/(Loa+Lwl)*2</f>
        <v>0.34933530280649933</v>
      </c>
      <c r="BE44" s="95">
        <f>(Kjøl+Ballast)/Depl</f>
        <v>0.36969696969696969</v>
      </c>
      <c r="BF44" s="627">
        <f>BF$7*((Depl-Kjøl-Ballast-VektMotor/1000-VektAnnet/1000)/Lwl/Lwl/Bredde)</f>
        <v>0.95229345444365343</v>
      </c>
      <c r="BG44" s="95">
        <f>BG$7*(Depl/Loa/Lwl/Lwl)</f>
        <v>1.0516731661533172</v>
      </c>
      <c r="BH44" s="174">
        <f>BH$7*(Depl/Loa/Lwl/Bredde)</f>
        <v>1.0396388242697645</v>
      </c>
      <c r="BI44" s="95">
        <f>BI$7*Bredde/(Loa+Lwl)*2</f>
        <v>0.99654468639316407</v>
      </c>
      <c r="BJ44" s="95">
        <f>BJ$7*(Dypg/Lwl)</f>
        <v>1.0809417425674515</v>
      </c>
      <c r="BK44" s="56" t="s">
        <v>21</v>
      </c>
      <c r="BL44" s="268">
        <v>3</v>
      </c>
      <c r="BM44" s="268">
        <v>70</v>
      </c>
      <c r="BN44" s="45">
        <f t="shared" si="11"/>
        <v>1</v>
      </c>
      <c r="BO44" s="59"/>
      <c r="BP44" s="59"/>
      <c r="BR44" s="209"/>
      <c r="BS44" s="209"/>
      <c r="BT44" s="209" t="str">
        <f>$A44</f>
        <v>RS kopi Fayance</v>
      </c>
      <c r="BU44" s="10"/>
      <c r="BV44" s="10"/>
      <c r="BW44" s="10"/>
      <c r="BX44" s="10"/>
      <c r="BY44" s="549"/>
      <c r="BZ44" s="10"/>
      <c r="CA44" s="10"/>
      <c r="CB44" s="209" t="str">
        <f>$A44</f>
        <v>RS kopi Fayance</v>
      </c>
      <c r="CC44" s="10"/>
      <c r="CD44" s="10"/>
      <c r="CE44" s="10"/>
      <c r="CF44" s="10"/>
      <c r="CG44" s="10"/>
      <c r="CH44" s="10"/>
      <c r="CI44" s="10"/>
      <c r="CJ44" s="10"/>
      <c r="CK44" s="10"/>
      <c r="CL44" s="209"/>
      <c r="CM44" s="10"/>
      <c r="CN44" s="209" t="str">
        <f>$A44</f>
        <v>RS kopi Fayance</v>
      </c>
      <c r="CO44" s="207"/>
      <c r="CP44" s="207"/>
      <c r="CQ44" s="116"/>
      <c r="CR44" s="207"/>
      <c r="CS44" s="203"/>
      <c r="CT44" s="203" t="s">
        <v>23</v>
      </c>
      <c r="CU44" s="107" t="str">
        <f t="shared" si="36"/>
        <v>-</v>
      </c>
      <c r="CV44" s="62" t="str">
        <f t="shared" si="13"/>
        <v>-</v>
      </c>
      <c r="CW44" s="62" t="str">
        <f t="shared" si="14"/>
        <v>-</v>
      </c>
      <c r="CX44" s="62" t="str">
        <f t="shared" si="15"/>
        <v>-</v>
      </c>
      <c r="CY44" s="107" t="str">
        <f t="shared" si="16"/>
        <v>-</v>
      </c>
      <c r="CZ44" s="168">
        <f t="shared" si="37"/>
        <v>1.1223529411764706</v>
      </c>
      <c r="DA44" s="158">
        <v>0.9</v>
      </c>
      <c r="DB44" s="168" t="str">
        <f t="shared" si="38"/>
        <v>-</v>
      </c>
      <c r="DC44" s="160">
        <v>1.2</v>
      </c>
      <c r="DD44" s="190" t="s">
        <v>134</v>
      </c>
      <c r="DE44" s="29" t="s">
        <v>23</v>
      </c>
      <c r="DF44" s="29" t="s">
        <v>23</v>
      </c>
      <c r="DG44" s="29" t="s">
        <v>23</v>
      </c>
      <c r="DH44" s="149">
        <v>2022</v>
      </c>
      <c r="DI44" s="62" t="str">
        <f t="shared" si="39"/>
        <v>-</v>
      </c>
      <c r="DJ44" s="47">
        <f t="shared" si="17"/>
        <v>13.601741022850922</v>
      </c>
      <c r="DK44" s="48">
        <f t="shared" si="18"/>
        <v>0</v>
      </c>
      <c r="DM44" s="107" t="str">
        <f t="shared" si="381"/>
        <v>-</v>
      </c>
      <c r="DN44" s="141" t="str">
        <f t="shared" si="246"/>
        <v>-</v>
      </c>
      <c r="DO44" s="107">
        <f t="shared" si="19"/>
        <v>4.7599801620473325</v>
      </c>
      <c r="DP44" s="133">
        <f>IF(SeilBeregnet=0,DP39,(SeilBeregnet^0.5/(Depl^0.3333))^DP$3*DP$7)</f>
        <v>3.0559806145616752</v>
      </c>
      <c r="DQ44" s="133">
        <f>IF(SeilBeregnet=0,DQ39,(SeilBeregnet^0.5/Lwl)^DQ$3*DQ$7)</f>
        <v>0</v>
      </c>
      <c r="DR44" s="133">
        <f>IF(SeilBeregnet=0,DR39,(0.1*Loa/Depl^0.3333)^DR$3*DR$7)</f>
        <v>0</v>
      </c>
      <c r="DS44" s="133">
        <f>IF(SeilBeregnet=0,DS39,((Loa)/Bredde)^DS$3*DS$7)</f>
        <v>1.7039995474856575</v>
      </c>
      <c r="DT44" s="107">
        <f>IF(SeilBeregnet=0,DT39,(Lwl)^DT$3)</f>
        <v>1.8914832180063517</v>
      </c>
      <c r="DU44" s="133">
        <f>IF(SeilBeregnet=0,DU39,(Dypg/Loa)^DU$3*5*DU$7)</f>
        <v>2.0790065719996424</v>
      </c>
      <c r="DW44" s="107" t="str">
        <f t="shared" si="247"/>
        <v>-</v>
      </c>
      <c r="DX44" s="107" t="str">
        <f t="shared" si="40"/>
        <v>-</v>
      </c>
      <c r="DZ44" s="107" t="str">
        <f t="shared" si="41"/>
        <v>-</v>
      </c>
      <c r="EA44" s="122" t="str">
        <f t="shared" si="248"/>
        <v>-</v>
      </c>
      <c r="EB44" s="107" t="str">
        <f t="shared" si="42"/>
        <v>-</v>
      </c>
      <c r="EC44" s="122" t="str">
        <f t="shared" si="249"/>
        <v>-</v>
      </c>
      <c r="ED44" s="107">
        <f>IF(SeilBeregnet=0,ED39,SeilBeregnet^0.5/Depl^0.33333)</f>
        <v>3.0556600735937818</v>
      </c>
      <c r="EE44" s="107">
        <f>IF(SeilBeregnet=0,EE39,Lwl^0.3333)</f>
        <v>2.3390154090727244</v>
      </c>
      <c r="EF44" s="107">
        <f>IF(SeilBeregnet=0,EF39,((Loa+Lwl)/Bredde)^EF$3)</f>
        <v>1.5295868003629796</v>
      </c>
      <c r="EH44" s="107" t="str">
        <f t="shared" si="43"/>
        <v>-</v>
      </c>
      <c r="EJ44" s="107">
        <f>IF(SeilBeregnet=0,EJ39,SeilBeregnet^0.5/Depl^0.33333)</f>
        <v>3.0556600735937818</v>
      </c>
      <c r="EK44" s="107">
        <f>IF(SeilBeregnet=0,EK39,Lwl^EK$3)</f>
        <v>2.3391943116603535</v>
      </c>
      <c r="EL44" s="107">
        <f>IF(SeilBeregnet=0,EL39,((Loa+Lwl)/Bredde)^EL$3)</f>
        <v>1.762277215907347</v>
      </c>
      <c r="EM44" s="107" t="str">
        <f t="shared" si="44"/>
        <v>-</v>
      </c>
      <c r="EO44" s="107">
        <f>IF(SeilBeregnet=0,EO39,(EP44*EQ44)^EO$3)</f>
        <v>4.6738973149652194</v>
      </c>
      <c r="EP44" s="107">
        <f>IF(SeilBeregnet=0,EP39,SeilBeregnet^0.5/Depl^0.33333)</f>
        <v>3.0556600735937818</v>
      </c>
      <c r="EQ44" s="107">
        <f>IF(SeilBeregnet=0,EQ39,((Loa+Lwl)/Bredde)^EQ$3)</f>
        <v>1.5295868003629796</v>
      </c>
      <c r="ER44" s="107">
        <f>IF(SeilBeregnet=0,ER39,Lwl^ER$3)</f>
        <v>1.8914832180063517</v>
      </c>
      <c r="ES44" s="107" t="str">
        <f t="shared" si="382"/>
        <v>-</v>
      </c>
      <c r="EU44" s="107">
        <f>IF(SeilBeregnet=0,EU39,(EV:EV*EW:EW)^EU$3)</f>
        <v>1.7281071897750426</v>
      </c>
      <c r="EV44" s="107">
        <f>IF(SeilBeregnet=0,EV39,SeilBeregnet^0.5/Depl^0.33333)</f>
        <v>3.0556600735937818</v>
      </c>
      <c r="EW44" s="107">
        <f>IF(SeilBeregnet=0,EW39,((Loa+Lwl)/Bredde/6)^EW$3)</f>
        <v>0.97731893843804551</v>
      </c>
      <c r="EX44" s="107">
        <f>IF(SeilBeregnet=0,EX39,(Lwl*0.7+Loa*0.3)^EX$3)</f>
        <v>1.9096183627113388</v>
      </c>
      <c r="EY44" s="107" t="str">
        <f t="shared" si="383"/>
        <v>-</v>
      </c>
      <c r="FA44" s="107">
        <f t="shared" si="371"/>
        <v>1.7281978272497227</v>
      </c>
      <c r="FB44" s="107">
        <f>IF(SeilBeregnet=0,FB39,SeilBeregnet^0.5/Depl^0.3333)</f>
        <v>3.0559806145616752</v>
      </c>
      <c r="FC44" s="107">
        <f>IF(SeilBeregnet=0,FC39,((Loa+Lwl)/Bredde/6)^FC$3)</f>
        <v>0.97731893843804551</v>
      </c>
      <c r="FD44" s="107">
        <f>IF(SeilBeregnet=0,FD39,(Lwl*0.7+Loa*0.3)^FD$3)</f>
        <v>1.9096183627113388</v>
      </c>
      <c r="FE44" s="107" t="str">
        <f t="shared" si="384"/>
        <v>-</v>
      </c>
      <c r="FF44" s="141" t="str">
        <f t="shared" si="250"/>
        <v>-</v>
      </c>
      <c r="FG44" s="107">
        <f t="shared" si="372"/>
        <v>2.91892693545892</v>
      </c>
      <c r="FH44" s="133">
        <f>IF(SeilBeregnet=0,FH39,(SeilBeregnet^0.5/(Depl^0.3333))^FH$3)</f>
        <v>3.0559806145616752</v>
      </c>
      <c r="FI44" s="133">
        <f>IF(SeilBeregnet=0,FI39,((Loa+Lwl)/Bredde/6)^FI$3)</f>
        <v>0.95515230742966828</v>
      </c>
      <c r="FJ44" s="107">
        <f>IF(SeilBeregnet=0,FJ39,(Lwl*0.07+Loa*0.03)^FJ$3)</f>
        <v>1.0738573206949191</v>
      </c>
      <c r="FK44" s="107" t="str">
        <f t="shared" si="385"/>
        <v>-</v>
      </c>
      <c r="FL44" s="141" t="str">
        <f t="shared" si="251"/>
        <v>-</v>
      </c>
      <c r="FM44" s="107">
        <f t="shared" si="373"/>
        <v>5.0256848772851974</v>
      </c>
      <c r="FN44" s="133">
        <f>IF(SeilBeregnet=0,FN39,(SeilBeregnet^0.5/(Depl^0.3333))^FN$3)</f>
        <v>3.0559806145616752</v>
      </c>
      <c r="FO44" s="133">
        <f>IF(SeilBeregnet=0,FO39,(SeilBeregnet^0.5/Lwl*FO$7)^FO$3)</f>
        <v>0.76570471523786499</v>
      </c>
      <c r="FP44" s="133">
        <f>IF(SeilBeregnet=0,FP39,((Loa)/Bredde)^FP$3*FP$7)</f>
        <v>1.7039995474856575</v>
      </c>
      <c r="FQ44" s="107">
        <f>IF(SeilBeregnet=0,FQ39,(Lwl)^FQ$3)</f>
        <v>1.8914832180063517</v>
      </c>
      <c r="FR44" s="107" t="str">
        <f t="shared" si="386"/>
        <v>-</v>
      </c>
      <c r="FS44" s="141" t="str">
        <f t="shared" si="252"/>
        <v>-</v>
      </c>
      <c r="FT44" s="107">
        <f t="shared" si="374"/>
        <v>5.2073895843380358</v>
      </c>
      <c r="FU44" s="133">
        <f>IF(SeilBeregnet=0,FU39,(SeilBeregnet^0.5/(Depl^0.3333))^FU$3)</f>
        <v>3.0559806145616752</v>
      </c>
      <c r="FV44" s="133">
        <f>IF(SeilBeregnet=0,FV39,(Loa/Bredde)^FV$3)</f>
        <v>1.7039995474856575</v>
      </c>
      <c r="FW44" s="107">
        <f>IF(SeilBeregnet=0,FW39,Lwl^FW$3)</f>
        <v>1.8914832180063517</v>
      </c>
      <c r="FY44">
        <v>0.95</v>
      </c>
      <c r="FZ44" s="62" t="str">
        <f t="shared" si="48"/>
        <v>-</v>
      </c>
      <c r="GA44" s="62">
        <f t="shared" si="49"/>
        <v>2.0811665794102909</v>
      </c>
      <c r="GB44" s="107" t="str">
        <f t="shared" si="50"/>
        <v>-</v>
      </c>
      <c r="GC44" s="441" t="s">
        <v>446</v>
      </c>
      <c r="GD44" s="57" t="s">
        <v>126</v>
      </c>
      <c r="GE44" s="436" t="s">
        <v>742</v>
      </c>
      <c r="GF44" s="464" t="s">
        <v>460</v>
      </c>
      <c r="GG44" s="57" t="s">
        <v>758</v>
      </c>
      <c r="GH44" s="57" t="s">
        <v>461</v>
      </c>
      <c r="GI44" s="57" t="s">
        <v>416</v>
      </c>
      <c r="GJ44" s="57" t="s">
        <v>462</v>
      </c>
      <c r="GL44" s="57" t="s">
        <v>888</v>
      </c>
      <c r="GM44" s="436" t="s">
        <v>478</v>
      </c>
      <c r="GN44" s="58" t="s">
        <v>478</v>
      </c>
      <c r="GO44" s="58" t="s">
        <v>889</v>
      </c>
      <c r="GP44" s="58" t="s">
        <v>478</v>
      </c>
      <c r="GQ44" s="58" t="s">
        <v>696</v>
      </c>
      <c r="GS44" s="57" t="s">
        <v>470</v>
      </c>
      <c r="GT44" s="57" t="s">
        <v>929</v>
      </c>
      <c r="GU44" s="57" t="s">
        <v>584</v>
      </c>
      <c r="GV44" s="599" t="s">
        <v>757</v>
      </c>
      <c r="GW44" s="57">
        <v>2005</v>
      </c>
      <c r="GX44" s="57" t="s">
        <v>431</v>
      </c>
      <c r="GY44" s="57" t="s">
        <v>525</v>
      </c>
      <c r="GZ44" s="57" t="s">
        <v>478</v>
      </c>
    </row>
    <row r="45" spans="1:208" ht="15.6" x14ac:dyDescent="0.3">
      <c r="A45" s="60" t="s">
        <v>24</v>
      </c>
      <c r="B45" s="218"/>
      <c r="C45" s="61" t="str">
        <f>C44</f>
        <v>Gaffel</v>
      </c>
      <c r="D45" s="61"/>
      <c r="E45" s="61"/>
      <c r="F45" s="61"/>
      <c r="G45" s="54"/>
      <c r="H45" s="204">
        <f>TBFavrundet</f>
        <v>111.00000000000001</v>
      </c>
      <c r="I45" s="63">
        <f>COUNTA(O45:AG45)</f>
        <v>5</v>
      </c>
      <c r="J45" s="222">
        <f>SUM(O45:AG45)</f>
        <v>124.69999999999999</v>
      </c>
      <c r="K45" s="116">
        <f>Seilareal/Depl^0.667/K$7</f>
        <v>1.121949279620936</v>
      </c>
      <c r="L45" s="116">
        <f>Seilareal/Lwl/Lwl/L$7</f>
        <v>1.1823944328777949</v>
      </c>
      <c r="M45" s="92">
        <f>RiggF</f>
        <v>0.71884522854851651</v>
      </c>
      <c r="N45" s="242">
        <f>StHfaktor</f>
        <v>0.99342787085946571</v>
      </c>
      <c r="O45" s="143"/>
      <c r="P45" s="143"/>
      <c r="Q45" s="143"/>
      <c r="R45" s="165">
        <v>25.4</v>
      </c>
      <c r="S45" s="143"/>
      <c r="T45" s="143"/>
      <c r="U45" s="165">
        <v>24</v>
      </c>
      <c r="V45" s="559"/>
      <c r="W45" s="559"/>
      <c r="X45" s="165">
        <v>48.3</v>
      </c>
      <c r="Y45" s="143"/>
      <c r="Z45" s="143"/>
      <c r="AA45" s="165">
        <v>13</v>
      </c>
      <c r="AB45" s="143"/>
      <c r="AC45" s="165">
        <v>14</v>
      </c>
      <c r="AD45" s="143"/>
      <c r="AE45" s="143"/>
      <c r="AF45" s="143"/>
      <c r="AG45" s="551"/>
      <c r="AH45" s="557"/>
      <c r="AI45" s="557">
        <f t="shared" ref="AI45" si="388">AI44</f>
        <v>12</v>
      </c>
      <c r="AJ45" s="337" t="str">
        <f t="shared" ref="AJ45:AL45" si="389" xml:space="preserve"> AJ44</f>
        <v>Clipper</v>
      </c>
      <c r="AK45" s="339"/>
      <c r="AL45" s="337">
        <f t="shared" si="389"/>
        <v>0</v>
      </c>
      <c r="AM45" s="339"/>
      <c r="AN45" s="267" t="str">
        <f t="shared" ref="AN45" si="390" xml:space="preserve"> AN44</f>
        <v>RS</v>
      </c>
      <c r="AO45" s="45">
        <f>VLOOKUP(AN45,Skrogform!$1:$1048576,3,FALSE)</f>
        <v>0.97</v>
      </c>
      <c r="AP45" s="64">
        <f t="shared" ref="AP45:AZ45" si="391">AP44</f>
        <v>14.43</v>
      </c>
      <c r="AQ45" s="64">
        <f t="shared" si="391"/>
        <v>12.65</v>
      </c>
      <c r="AR45" s="64">
        <f t="shared" si="391"/>
        <v>4.7300000000000004</v>
      </c>
      <c r="AS45" s="64">
        <f t="shared" si="391"/>
        <v>2.5</v>
      </c>
      <c r="AT45" s="64"/>
      <c r="AU45" s="64">
        <f t="shared" si="391"/>
        <v>33</v>
      </c>
      <c r="AV45" s="64">
        <f t="shared" si="391"/>
        <v>10</v>
      </c>
      <c r="AW45" s="64">
        <f t="shared" si="391"/>
        <v>2.2000000000000002</v>
      </c>
      <c r="AX45" s="256">
        <f>AX44</f>
        <v>1200</v>
      </c>
      <c r="AY45" s="256">
        <f t="shared" si="391"/>
        <v>100</v>
      </c>
      <c r="AZ45" s="256">
        <f t="shared" si="391"/>
        <v>500</v>
      </c>
      <c r="BA45" s="256">
        <f t="shared" ref="BA45:BB45" si="392">BA44</f>
        <v>200</v>
      </c>
      <c r="BB45" s="256">
        <f t="shared" si="392"/>
        <v>150</v>
      </c>
      <c r="BC45" s="256"/>
      <c r="BD45" s="66"/>
      <c r="BE45" s="66"/>
      <c r="BF45" s="261"/>
      <c r="BG45" s="66"/>
      <c r="BH45" s="175"/>
      <c r="BI45" s="66"/>
      <c r="BJ45" s="66"/>
      <c r="BK45" s="65" t="str">
        <f t="shared" ref="BK45:BM45" si="393" xml:space="preserve"> BK44</f>
        <v>Seilrett</v>
      </c>
      <c r="BL45" s="267">
        <f t="shared" si="393"/>
        <v>3</v>
      </c>
      <c r="BM45" s="267">
        <f t="shared" si="393"/>
        <v>70</v>
      </c>
      <c r="BN45" s="45">
        <f t="shared" si="11"/>
        <v>1</v>
      </c>
      <c r="BO45" s="59"/>
      <c r="BP45" s="59"/>
      <c r="BR45" s="49">
        <f t="shared" ref="BR45:BX47" si="394">IF(O45=0,0,O45*BR$9)</f>
        <v>0</v>
      </c>
      <c r="BS45" s="49">
        <f t="shared" si="394"/>
        <v>0</v>
      </c>
      <c r="BT45" s="49">
        <f t="shared" si="394"/>
        <v>0</v>
      </c>
      <c r="BU45" s="49">
        <f t="shared" si="394"/>
        <v>25.4</v>
      </c>
      <c r="BV45" s="49">
        <f t="shared" si="394"/>
        <v>0</v>
      </c>
      <c r="BW45" s="49">
        <f t="shared" si="394"/>
        <v>0</v>
      </c>
      <c r="BX45" s="49">
        <f t="shared" si="394"/>
        <v>24</v>
      </c>
      <c r="BY45" s="549">
        <f>IF(COUNT(Q45:U45)&gt;1,MINA(Q45:U45)*BY$9,0)</f>
        <v>-12</v>
      </c>
      <c r="BZ45" s="85">
        <f t="shared" ref="BZ45:CD47" si="395">IF(V45=0,0,V45*BZ$9)</f>
        <v>0</v>
      </c>
      <c r="CA45" s="85">
        <f t="shared" si="395"/>
        <v>0</v>
      </c>
      <c r="CB45" s="85">
        <f t="shared" si="395"/>
        <v>38.64</v>
      </c>
      <c r="CC45" s="85">
        <f t="shared" si="395"/>
        <v>0</v>
      </c>
      <c r="CD45" s="85">
        <f t="shared" si="395"/>
        <v>0</v>
      </c>
      <c r="CE45" s="85">
        <f>IF(AC45=0,0,AC45*CE$9)</f>
        <v>8.4</v>
      </c>
      <c r="CF45" s="85">
        <f t="shared" ref="CF45:CG47" si="396">IF(AA45=0,0,AA45*CF$9)</f>
        <v>5.2</v>
      </c>
      <c r="CG45" s="85">
        <f t="shared" si="396"/>
        <v>0</v>
      </c>
      <c r="CH45" s="85">
        <f t="shared" ref="CH45:CK47" si="397">IF(AD45=0,0,AD45*CH$9)</f>
        <v>0</v>
      </c>
      <c r="CI45" s="85">
        <f t="shared" si="397"/>
        <v>0</v>
      </c>
      <c r="CJ45" s="85">
        <f t="shared" si="397"/>
        <v>0</v>
      </c>
      <c r="CK45" s="85">
        <f t="shared" si="397"/>
        <v>0</v>
      </c>
      <c r="CL45" s="100">
        <f>SUM(BR45:CK45)</f>
        <v>89.64</v>
      </c>
      <c r="CM45" s="50"/>
      <c r="CN45" s="104">
        <f>J45</f>
        <v>124.69999999999999</v>
      </c>
      <c r="CO45" s="101">
        <f>CL45/CN45</f>
        <v>0.71884522854851651</v>
      </c>
      <c r="CP45" s="51">
        <f>Seilareal/Lwl/Lwl</f>
        <v>0.77926541580090292</v>
      </c>
      <c r="CQ45" s="116">
        <f>Seilareal/Depl^0.667/K$7</f>
        <v>1.121949279620936</v>
      </c>
      <c r="CR45" s="51">
        <f>Seilareal/Lwl/Lwl/SApRS1</f>
        <v>1.1823944328777949</v>
      </c>
      <c r="CS45" s="204"/>
      <c r="CT45" s="204">
        <f>(ROUND(TBF/CT$6,3)*CT$6)*CT$4</f>
        <v>111.00000000000001</v>
      </c>
      <c r="CU45" s="107">
        <f t="shared" si="36"/>
        <v>1.1086966377605207</v>
      </c>
      <c r="CV45" s="62">
        <f t="shared" si="13"/>
        <v>2.9169345447261934</v>
      </c>
      <c r="CW45" s="62">
        <f t="shared" si="14"/>
        <v>1.6919158611420166</v>
      </c>
      <c r="CX45" s="62">
        <f t="shared" si="15"/>
        <v>1.8859172433475835</v>
      </c>
      <c r="CY45" s="107">
        <f t="shared" si="16"/>
        <v>0.99342787085946571</v>
      </c>
      <c r="CZ45" s="168">
        <f t="shared" si="37"/>
        <v>1.1223529411764706</v>
      </c>
      <c r="DA45" s="159">
        <f>DA44</f>
        <v>0.9</v>
      </c>
      <c r="DB45" s="168">
        <f t="shared" si="38"/>
        <v>1.1157894736842107</v>
      </c>
      <c r="DC45" s="159">
        <f>DC44</f>
        <v>1.2</v>
      </c>
      <c r="DD45" s="190" t="s">
        <v>134</v>
      </c>
      <c r="DE45" s="62">
        <v>0.89</v>
      </c>
      <c r="DF45" s="62">
        <v>0.88</v>
      </c>
      <c r="DG45" s="62">
        <v>0.88</v>
      </c>
      <c r="DH45" s="150">
        <v>0.93</v>
      </c>
      <c r="DI45" s="62">
        <f t="shared" si="39"/>
        <v>2.1330847628435965</v>
      </c>
      <c r="DJ45" s="47">
        <f t="shared" si="17"/>
        <v>13.601741022850922</v>
      </c>
      <c r="DK45" s="48">
        <f t="shared" si="18"/>
        <v>0</v>
      </c>
      <c r="DM45" s="107">
        <f t="shared" si="381"/>
        <v>1.0988158246012478</v>
      </c>
      <c r="DN45" s="141">
        <f t="shared" si="246"/>
        <v>-4.4170399894134516</v>
      </c>
      <c r="DO45" s="107">
        <f t="shared" si="19"/>
        <v>4.6987310665887163</v>
      </c>
      <c r="DP45" s="133">
        <f t="shared" si="263"/>
        <v>2.9520943105009767</v>
      </c>
      <c r="DQ45" s="133">
        <f t="shared" si="264"/>
        <v>0</v>
      </c>
      <c r="DR45" s="133">
        <f t="shared" si="265"/>
        <v>0</v>
      </c>
      <c r="DS45" s="133">
        <f t="shared" si="266"/>
        <v>1.7466367560877394</v>
      </c>
      <c r="DT45" s="107">
        <f t="shared" si="267"/>
        <v>1.8859172433475835</v>
      </c>
      <c r="DU45" s="133">
        <f t="shared" si="268"/>
        <v>2.0811665794102909</v>
      </c>
      <c r="DW45" s="72">
        <f t="shared" si="247"/>
        <v>1.1429862244953823</v>
      </c>
      <c r="DX45" s="107">
        <f t="shared" si="40"/>
        <v>1.1228612243114493</v>
      </c>
      <c r="DY45" s="122">
        <f>DX45-DW45</f>
        <v>-2.0125000183933039E-2</v>
      </c>
      <c r="DZ45" s="107">
        <f t="shared" si="41"/>
        <v>1.1083204833417135</v>
      </c>
      <c r="EA45" s="122">
        <f t="shared" si="248"/>
        <v>-3.4665741153668828E-2</v>
      </c>
      <c r="EB45" s="107">
        <f t="shared" si="42"/>
        <v>1.1069466051064403</v>
      </c>
      <c r="EC45" s="122">
        <f t="shared" si="249"/>
        <v>-3.6039619388942068E-2</v>
      </c>
      <c r="ED45" s="107">
        <f t="shared" si="269"/>
        <v>2.951784666139003</v>
      </c>
      <c r="EE45" s="107">
        <f t="shared" si="270"/>
        <v>2.3298436208665341</v>
      </c>
      <c r="EF45" s="107">
        <f t="shared" si="271"/>
        <v>1.5468452919478386</v>
      </c>
      <c r="EH45" s="107">
        <f t="shared" si="43"/>
        <v>1.1022588122256343</v>
      </c>
      <c r="EJ45" s="107">
        <f t="shared" si="272"/>
        <v>2.951784666139003</v>
      </c>
      <c r="EK45" s="107">
        <f t="shared" si="273"/>
        <v>2.3300209979525235</v>
      </c>
      <c r="EL45" s="107">
        <f t="shared" si="274"/>
        <v>1.7888362215273397</v>
      </c>
      <c r="EM45" s="107">
        <f t="shared" si="44"/>
        <v>1.1036976544451078</v>
      </c>
      <c r="EO45" s="107">
        <f t="shared" si="275"/>
        <v>4.5659542136609392</v>
      </c>
      <c r="EP45" s="107">
        <f t="shared" si="276"/>
        <v>2.951784666139003</v>
      </c>
      <c r="EQ45" s="107">
        <f t="shared" si="277"/>
        <v>1.5468452919478386</v>
      </c>
      <c r="ER45" s="107">
        <f t="shared" si="278"/>
        <v>1.8859172433475835</v>
      </c>
      <c r="ES45" s="107">
        <f t="shared" si="382"/>
        <v>1.1076040028120264</v>
      </c>
      <c r="EU45" s="107">
        <f>IF(SeilBeregnet=0,EU44,(EV:EV*EW:EW)^EU$3)</f>
        <v>1.7080354092122532</v>
      </c>
      <c r="EV45" s="107">
        <f t="shared" si="279"/>
        <v>2.951784666139003</v>
      </c>
      <c r="EW45" s="107">
        <f t="shared" si="280"/>
        <v>0.98834613262588367</v>
      </c>
      <c r="EX45" s="107">
        <f t="shared" si="281"/>
        <v>1.9055124848006821</v>
      </c>
      <c r="EY45" s="107">
        <f t="shared" si="383"/>
        <v>1.094449345432202</v>
      </c>
      <c r="FA45" s="107">
        <f t="shared" si="371"/>
        <v>1.7081249939423386</v>
      </c>
      <c r="FB45" s="107">
        <f t="shared" si="282"/>
        <v>2.9520943105009767</v>
      </c>
      <c r="FC45" s="107">
        <f t="shared" si="283"/>
        <v>0.98834613262588367</v>
      </c>
      <c r="FD45" s="107">
        <f t="shared" si="284"/>
        <v>1.9055124848006821</v>
      </c>
      <c r="FE45" s="107">
        <f t="shared" si="384"/>
        <v>1.0989528468989485</v>
      </c>
      <c r="FF45" s="141">
        <f t="shared" si="250"/>
        <v>-4.4033377596433887</v>
      </c>
      <c r="FG45" s="107">
        <f t="shared" si="372"/>
        <v>2.8836886110369413</v>
      </c>
      <c r="FH45" s="133">
        <f t="shared" si="285"/>
        <v>2.9520943105009767</v>
      </c>
      <c r="FI45" s="133">
        <f t="shared" si="286"/>
        <v>0.9768280778765408</v>
      </c>
      <c r="FJ45" s="107">
        <f t="shared" si="287"/>
        <v>1.0715484158695705</v>
      </c>
      <c r="FK45" s="107">
        <f t="shared" si="385"/>
        <v>1.1102659894216764</v>
      </c>
      <c r="FL45" s="141">
        <f t="shared" si="251"/>
        <v>-3.2720235073705917</v>
      </c>
      <c r="FM45" s="107">
        <f t="shared" si="373"/>
        <v>4.9471769403306691</v>
      </c>
      <c r="FN45" s="133">
        <f t="shared" si="288"/>
        <v>2.9520943105009767</v>
      </c>
      <c r="FO45" s="133">
        <f t="shared" si="289"/>
        <v>0.74844587374195259</v>
      </c>
      <c r="FP45" s="133">
        <f t="shared" si="290"/>
        <v>1.7466367560877394</v>
      </c>
      <c r="FQ45" s="107">
        <f t="shared" si="291"/>
        <v>1.8859172433475835</v>
      </c>
      <c r="FR45" s="107">
        <f t="shared" si="386"/>
        <v>1.1051458667394067</v>
      </c>
      <c r="FS45" s="141">
        <f t="shared" si="252"/>
        <v>-3.7840357755975607</v>
      </c>
      <c r="FT45" s="107">
        <f t="shared" si="374"/>
        <v>5.156236430158498</v>
      </c>
      <c r="FU45" s="133">
        <f t="shared" si="292"/>
        <v>2.9520943105009767</v>
      </c>
      <c r="FV45" s="133">
        <f t="shared" si="293"/>
        <v>1.7466367560877394</v>
      </c>
      <c r="FW45" s="107">
        <f t="shared" si="294"/>
        <v>1.8859172433475835</v>
      </c>
      <c r="FY45">
        <v>0.95</v>
      </c>
      <c r="FZ45" s="62">
        <f t="shared" si="48"/>
        <v>1.1360611865054375</v>
      </c>
      <c r="GA45" s="62">
        <f t="shared" si="49"/>
        <v>2.0811665794102909</v>
      </c>
      <c r="GB45" s="107">
        <f t="shared" si="50"/>
        <v>1.0676615904866498</v>
      </c>
      <c r="GC45" s="440"/>
      <c r="GD45" s="17"/>
      <c r="GE45" s="442"/>
      <c r="GF45" s="462"/>
      <c r="GG45" s="17"/>
      <c r="GH45" s="17"/>
      <c r="GI45" s="17"/>
      <c r="GJ45" s="17"/>
      <c r="GL45" s="17"/>
      <c r="GM45" s="442"/>
      <c r="GN45" s="8"/>
      <c r="GO45" s="8"/>
      <c r="GP45" s="8"/>
      <c r="GQ45" s="8"/>
      <c r="GS45" s="17"/>
      <c r="GT45" s="17"/>
      <c r="GU45" s="17"/>
      <c r="GV45" s="629"/>
      <c r="GW45" s="17"/>
      <c r="GX45" s="17"/>
      <c r="GY45" s="17"/>
      <c r="GZ45" s="17"/>
    </row>
    <row r="46" spans="1:208" ht="15.6" x14ac:dyDescent="0.3">
      <c r="A46" s="60" t="s">
        <v>25</v>
      </c>
      <c r="B46" s="218"/>
      <c r="C46" s="14" t="str">
        <f>C44</f>
        <v>Gaffel</v>
      </c>
      <c r="G46" s="54"/>
      <c r="H46" s="204">
        <f>TBFavrundet</f>
        <v>109.00000000000001</v>
      </c>
      <c r="I46" s="63">
        <f>COUNTA(O46:AG46)</f>
        <v>4</v>
      </c>
      <c r="J46" s="222">
        <f>SUM(O46:AG46)</f>
        <v>111.69999999999999</v>
      </c>
      <c r="K46" s="116">
        <f>Seilareal/Depl^0.667/K$7</f>
        <v>1.0049858422907663</v>
      </c>
      <c r="L46" s="116">
        <f>Seilareal/Lwl/Lwl/L$7</f>
        <v>1.0591295762024835</v>
      </c>
      <c r="M46" s="92">
        <f>RiggF</f>
        <v>0.75595344673231879</v>
      </c>
      <c r="N46" s="242">
        <f>StHfaktor</f>
        <v>0.99342787085946571</v>
      </c>
      <c r="O46" s="143"/>
      <c r="P46" s="143"/>
      <c r="Q46" s="143"/>
      <c r="R46" s="165">
        <v>25.4</v>
      </c>
      <c r="S46" s="143"/>
      <c r="T46" s="143"/>
      <c r="U46" s="165">
        <v>24</v>
      </c>
      <c r="V46" s="559"/>
      <c r="W46" s="559"/>
      <c r="X46" s="165">
        <v>48.3</v>
      </c>
      <c r="Y46" s="143"/>
      <c r="Z46" s="143"/>
      <c r="AA46" s="143"/>
      <c r="AB46" s="143"/>
      <c r="AC46" s="165">
        <v>14</v>
      </c>
      <c r="AD46" s="143"/>
      <c r="AE46" s="143"/>
      <c r="AF46" s="143"/>
      <c r="AG46" s="551"/>
      <c r="AH46" s="557"/>
      <c r="AI46" s="557">
        <f t="shared" ref="AI46" si="398">AI45</f>
        <v>12</v>
      </c>
      <c r="AJ46" s="337" t="str">
        <f t="shared" ref="AJ46:AL46" si="399" xml:space="preserve"> AJ45</f>
        <v>Clipper</v>
      </c>
      <c r="AK46" s="339"/>
      <c r="AL46" s="337">
        <f t="shared" si="399"/>
        <v>0</v>
      </c>
      <c r="AM46" s="339"/>
      <c r="AN46" s="267" t="str">
        <f t="shared" ref="AN46" si="400" xml:space="preserve"> AN45</f>
        <v>RS</v>
      </c>
      <c r="AO46" s="45">
        <f>VLOOKUP(AN46,Skrogform!$1:$1048576,3,FALSE)</f>
        <v>0.97</v>
      </c>
      <c r="AP46" s="64">
        <f t="shared" ref="AP46:AZ46" si="401">AP45</f>
        <v>14.43</v>
      </c>
      <c r="AQ46" s="64">
        <f t="shared" si="401"/>
        <v>12.65</v>
      </c>
      <c r="AR46" s="64">
        <f t="shared" si="401"/>
        <v>4.7300000000000004</v>
      </c>
      <c r="AS46" s="64">
        <f t="shared" si="401"/>
        <v>2.5</v>
      </c>
      <c r="AT46" s="64"/>
      <c r="AU46" s="64">
        <f t="shared" si="401"/>
        <v>33</v>
      </c>
      <c r="AV46" s="64">
        <f t="shared" si="401"/>
        <v>10</v>
      </c>
      <c r="AW46" s="64">
        <f t="shared" si="401"/>
        <v>2.2000000000000002</v>
      </c>
      <c r="AX46" s="256">
        <f>AX45</f>
        <v>1200</v>
      </c>
      <c r="AY46" s="256">
        <f t="shared" si="401"/>
        <v>100</v>
      </c>
      <c r="AZ46" s="256">
        <f t="shared" si="401"/>
        <v>500</v>
      </c>
      <c r="BA46" s="256">
        <f t="shared" ref="BA46:BB46" si="402">BA45</f>
        <v>200</v>
      </c>
      <c r="BB46" s="256">
        <f t="shared" si="402"/>
        <v>150</v>
      </c>
      <c r="BC46" s="256"/>
      <c r="BD46" s="66"/>
      <c r="BE46" s="66"/>
      <c r="BF46" s="261"/>
      <c r="BG46" s="66"/>
      <c r="BH46" s="175"/>
      <c r="BI46" s="66"/>
      <c r="BJ46" s="66"/>
      <c r="BK46" s="65" t="str">
        <f t="shared" ref="BK46:BM46" si="403" xml:space="preserve"> BK45</f>
        <v>Seilrett</v>
      </c>
      <c r="BL46" s="267">
        <f t="shared" si="403"/>
        <v>3</v>
      </c>
      <c r="BM46" s="267">
        <f t="shared" si="403"/>
        <v>70</v>
      </c>
      <c r="BN46" s="45">
        <f t="shared" si="11"/>
        <v>1</v>
      </c>
      <c r="BO46" s="59"/>
      <c r="BP46" s="59"/>
      <c r="BR46" s="49">
        <f t="shared" si="394"/>
        <v>0</v>
      </c>
      <c r="BS46" s="49">
        <f t="shared" si="394"/>
        <v>0</v>
      </c>
      <c r="BT46" s="49">
        <f t="shared" si="394"/>
        <v>0</v>
      </c>
      <c r="BU46" s="49">
        <f t="shared" si="394"/>
        <v>25.4</v>
      </c>
      <c r="BV46" s="49">
        <f t="shared" si="394"/>
        <v>0</v>
      </c>
      <c r="BW46" s="49">
        <f t="shared" si="394"/>
        <v>0</v>
      </c>
      <c r="BX46" s="49">
        <f t="shared" si="394"/>
        <v>24</v>
      </c>
      <c r="BY46" s="549">
        <f>IF(COUNT(Q46:U46)&gt;1,MINA(Q46:U46)*BY$9,0)</f>
        <v>-12</v>
      </c>
      <c r="BZ46" s="85">
        <f t="shared" si="395"/>
        <v>0</v>
      </c>
      <c r="CA46" s="85">
        <f t="shared" si="395"/>
        <v>0</v>
      </c>
      <c r="CB46" s="85">
        <f t="shared" si="395"/>
        <v>38.64</v>
      </c>
      <c r="CC46" s="85">
        <f t="shared" si="395"/>
        <v>0</v>
      </c>
      <c r="CD46" s="85">
        <f t="shared" si="395"/>
        <v>0</v>
      </c>
      <c r="CE46" s="85">
        <f>IF(AC46=0,0,AC46*CE$9)</f>
        <v>8.4</v>
      </c>
      <c r="CF46" s="85">
        <f t="shared" si="396"/>
        <v>0</v>
      </c>
      <c r="CG46" s="85">
        <f t="shared" si="396"/>
        <v>0</v>
      </c>
      <c r="CH46" s="85">
        <f t="shared" si="397"/>
        <v>0</v>
      </c>
      <c r="CI46" s="85">
        <f t="shared" si="397"/>
        <v>0</v>
      </c>
      <c r="CJ46" s="85">
        <f t="shared" si="397"/>
        <v>0</v>
      </c>
      <c r="CK46" s="85">
        <f t="shared" si="397"/>
        <v>0</v>
      </c>
      <c r="CL46" s="100">
        <f>SUM(BR46:CK46)</f>
        <v>84.44</v>
      </c>
      <c r="CM46" s="50"/>
      <c r="CN46" s="104">
        <f>J46</f>
        <v>111.69999999999999</v>
      </c>
      <c r="CO46" s="101">
        <f>CL46/CN46</f>
        <v>0.75595344673231879</v>
      </c>
      <c r="CP46" s="51">
        <f>Seilareal/Lwl/Lwl</f>
        <v>0.69802683997562842</v>
      </c>
      <c r="CQ46" s="116">
        <f>Seilareal/Depl^0.667/K$7</f>
        <v>1.0049858422907663</v>
      </c>
      <c r="CR46" s="51">
        <f>Seilareal/Lwl/Lwl/SApRS1</f>
        <v>1.0591295762024835</v>
      </c>
      <c r="CS46" s="204"/>
      <c r="CT46" s="204">
        <f>(ROUND(TBF/CT$6,3)*CT$6)*CT$4</f>
        <v>109.00000000000001</v>
      </c>
      <c r="CU46" s="107">
        <f t="shared" si="36"/>
        <v>1.0880400662309255</v>
      </c>
      <c r="CV46" s="62">
        <f t="shared" si="13"/>
        <v>2.8310652051471332</v>
      </c>
      <c r="CW46" s="62">
        <f t="shared" si="14"/>
        <v>1.6919158611420166</v>
      </c>
      <c r="CX46" s="62">
        <f t="shared" si="15"/>
        <v>1.8859172433475835</v>
      </c>
      <c r="CY46" s="107">
        <f t="shared" si="16"/>
        <v>0.99342787085946571</v>
      </c>
      <c r="CZ46" s="168" t="str">
        <f t="shared" si="37"/>
        <v>-</v>
      </c>
      <c r="DA46" s="158"/>
      <c r="DB46" s="168" t="str">
        <f t="shared" si="38"/>
        <v>-</v>
      </c>
      <c r="DC46" s="160"/>
      <c r="DD46" s="190" t="s">
        <v>134</v>
      </c>
      <c r="DE46" s="62">
        <v>0.87</v>
      </c>
      <c r="DF46" s="62">
        <v>0.87</v>
      </c>
      <c r="DG46" s="62">
        <v>0.86</v>
      </c>
      <c r="DH46" s="150">
        <v>0.91</v>
      </c>
      <c r="DI46" s="62">
        <f t="shared" si="39"/>
        <v>2.1330847628435965</v>
      </c>
      <c r="DJ46" s="47">
        <f t="shared" si="17"/>
        <v>13.601741022850922</v>
      </c>
      <c r="DK46" s="48">
        <f t="shared" si="18"/>
        <v>0</v>
      </c>
      <c r="DM46" s="107">
        <f t="shared" si="381"/>
        <v>1.0784929104177126</v>
      </c>
      <c r="DN46" s="141" t="str">
        <f t="shared" si="246"/>
        <v>-</v>
      </c>
      <c r="DO46" s="107">
        <f t="shared" si="19"/>
        <v>4.6118266863460615</v>
      </c>
      <c r="DP46" s="133">
        <f t="shared" si="263"/>
        <v>2.8651899302583219</v>
      </c>
      <c r="DQ46" s="133">
        <f t="shared" si="264"/>
        <v>0</v>
      </c>
      <c r="DR46" s="133">
        <f t="shared" si="265"/>
        <v>0</v>
      </c>
      <c r="DS46" s="133">
        <f t="shared" si="266"/>
        <v>1.7466367560877394</v>
      </c>
      <c r="DT46" s="107">
        <f t="shared" si="267"/>
        <v>1.8859172433475835</v>
      </c>
      <c r="DU46" s="133">
        <f t="shared" si="268"/>
        <v>2.0811665794102909</v>
      </c>
      <c r="DW46" s="107">
        <f t="shared" si="247"/>
        <v>1.1216907899287893</v>
      </c>
      <c r="DX46" s="107">
        <f t="shared" si="40"/>
        <v>1.0969968543855517</v>
      </c>
      <c r="DZ46" s="107">
        <f t="shared" si="41"/>
        <v>1.087867195165181</v>
      </c>
      <c r="EA46" s="122" t="str">
        <f t="shared" si="248"/>
        <v>-</v>
      </c>
      <c r="EB46" s="107">
        <f t="shared" si="42"/>
        <v>1.0825994238523042</v>
      </c>
      <c r="EC46" s="122" t="str">
        <f t="shared" si="249"/>
        <v>-</v>
      </c>
      <c r="ED46" s="107">
        <f t="shared" si="269"/>
        <v>2.8648894012729391</v>
      </c>
      <c r="EE46" s="107">
        <f t="shared" si="270"/>
        <v>2.3298436208665341</v>
      </c>
      <c r="EF46" s="107">
        <f t="shared" si="271"/>
        <v>1.5468452919478386</v>
      </c>
      <c r="EH46" s="107">
        <f t="shared" si="43"/>
        <v>1.0804473342544214</v>
      </c>
      <c r="EJ46" s="107">
        <f t="shared" si="272"/>
        <v>2.8648894012729391</v>
      </c>
      <c r="EK46" s="107">
        <f t="shared" si="273"/>
        <v>2.3300209979525235</v>
      </c>
      <c r="EL46" s="107">
        <f t="shared" si="274"/>
        <v>1.7888362215273397</v>
      </c>
      <c r="EM46" s="107">
        <f t="shared" si="44"/>
        <v>1.0811035432999647</v>
      </c>
      <c r="EO46" s="107">
        <f t="shared" si="275"/>
        <v>4.4315406823103078</v>
      </c>
      <c r="EP46" s="107">
        <f t="shared" si="276"/>
        <v>2.8648894012729391</v>
      </c>
      <c r="EQ46" s="107">
        <f t="shared" si="277"/>
        <v>1.5468452919478386</v>
      </c>
      <c r="ER46" s="107">
        <f t="shared" si="278"/>
        <v>1.8859172433475835</v>
      </c>
      <c r="ES46" s="107">
        <f t="shared" si="382"/>
        <v>1.0843811670216181</v>
      </c>
      <c r="EU46" s="107">
        <f>IF(SeilBeregnet=0,EU45,(EV:EV*EW:EW)^EU$3)</f>
        <v>1.6827068550846855</v>
      </c>
      <c r="EV46" s="107">
        <f t="shared" si="279"/>
        <v>2.8648894012729391</v>
      </c>
      <c r="EW46" s="107">
        <f t="shared" si="280"/>
        <v>0.98834613262588367</v>
      </c>
      <c r="EX46" s="107">
        <f t="shared" si="281"/>
        <v>1.9055124848006821</v>
      </c>
      <c r="EY46" s="107">
        <f t="shared" si="383"/>
        <v>1.0782196939061572</v>
      </c>
      <c r="FA46" s="107">
        <f t="shared" si="371"/>
        <v>1.6827951113577191</v>
      </c>
      <c r="FB46" s="107">
        <f t="shared" si="282"/>
        <v>2.8651899302583219</v>
      </c>
      <c r="FC46" s="107">
        <f t="shared" si="283"/>
        <v>0.98834613262588367</v>
      </c>
      <c r="FD46" s="107">
        <f t="shared" si="284"/>
        <v>1.9055124848006821</v>
      </c>
      <c r="FE46" s="107">
        <f t="shared" si="384"/>
        <v>1.0798503167179243</v>
      </c>
      <c r="FF46" s="141" t="str">
        <f t="shared" si="250"/>
        <v>-</v>
      </c>
      <c r="FG46" s="107">
        <f t="shared" si="372"/>
        <v>2.7987979723254566</v>
      </c>
      <c r="FH46" s="133">
        <f t="shared" si="285"/>
        <v>2.8651899302583219</v>
      </c>
      <c r="FI46" s="133">
        <f t="shared" si="286"/>
        <v>0.9768280778765408</v>
      </c>
      <c r="FJ46" s="107">
        <f t="shared" si="287"/>
        <v>1.0715484158695705</v>
      </c>
      <c r="FK46" s="107">
        <f t="shared" si="385"/>
        <v>1.0858178307047595</v>
      </c>
      <c r="FL46" s="141" t="str">
        <f t="shared" si="251"/>
        <v>-</v>
      </c>
      <c r="FM46" s="107">
        <f t="shared" si="373"/>
        <v>4.8382396512573749</v>
      </c>
      <c r="FN46" s="133">
        <f t="shared" si="288"/>
        <v>2.8651899302583219</v>
      </c>
      <c r="FO46" s="133">
        <f t="shared" si="289"/>
        <v>0.72641296491131335</v>
      </c>
      <c r="FP46" s="133">
        <f t="shared" si="290"/>
        <v>1.7466367560877394</v>
      </c>
      <c r="FQ46" s="107">
        <f t="shared" si="291"/>
        <v>1.8859172433475835</v>
      </c>
      <c r="FR46" s="107">
        <f t="shared" si="386"/>
        <v>1.0868249640793919</v>
      </c>
      <c r="FS46" s="141" t="str">
        <f t="shared" si="252"/>
        <v>-</v>
      </c>
      <c r="FT46" s="107">
        <f t="shared" si="374"/>
        <v>5.0044460453616519</v>
      </c>
      <c r="FU46" s="133">
        <f t="shared" si="292"/>
        <v>2.8651899302583219</v>
      </c>
      <c r="FV46" s="133">
        <f t="shared" si="293"/>
        <v>1.7466367560877394</v>
      </c>
      <c r="FW46" s="107">
        <f t="shared" si="294"/>
        <v>1.8859172433475835</v>
      </c>
      <c r="FY46">
        <v>0.95</v>
      </c>
      <c r="FZ46" s="62">
        <f t="shared" si="48"/>
        <v>1.121500170693692</v>
      </c>
      <c r="GA46" s="62">
        <f t="shared" si="49"/>
        <v>2.0811665794102909</v>
      </c>
      <c r="GB46" s="107">
        <f t="shared" si="50"/>
        <v>1.0570803874901677</v>
      </c>
      <c r="GC46" s="440"/>
      <c r="GD46" s="17"/>
      <c r="GE46" s="442"/>
      <c r="GF46" s="462"/>
      <c r="GG46" s="17"/>
      <c r="GH46" s="17"/>
      <c r="GI46" s="17"/>
      <c r="GJ46" s="17"/>
      <c r="GL46" s="17"/>
      <c r="GM46" s="442"/>
      <c r="GN46" s="8"/>
      <c r="GO46" s="8"/>
      <c r="GP46" s="8"/>
      <c r="GQ46" s="8"/>
      <c r="GS46" s="17"/>
      <c r="GT46" s="17"/>
      <c r="GU46" s="17"/>
      <c r="GV46" s="629"/>
      <c r="GW46" s="17"/>
      <c r="GX46" s="17"/>
      <c r="GY46" s="17"/>
      <c r="GZ46" s="17"/>
    </row>
    <row r="47" spans="1:208" ht="15.6" x14ac:dyDescent="0.3">
      <c r="A47" s="60" t="s">
        <v>148</v>
      </c>
      <c r="B47" s="218"/>
      <c r="C47" s="14" t="str">
        <f>C45</f>
        <v>Gaffel</v>
      </c>
      <c r="G47" s="54"/>
      <c r="H47" s="204">
        <f>TBFavrundet</f>
        <v>107</v>
      </c>
      <c r="I47" s="63">
        <f>COUNTA(O47:AG47)</f>
        <v>4</v>
      </c>
      <c r="J47" s="222">
        <f>SUM(O47:AG47)</f>
        <v>104.3</v>
      </c>
      <c r="K47" s="116">
        <f>Seilareal/Depl^0.667/K$7</f>
        <v>0.93840665488743902</v>
      </c>
      <c r="L47" s="116">
        <f>Seilareal/Lwl/Lwl/L$7</f>
        <v>0.98896342701807538</v>
      </c>
      <c r="M47" s="92">
        <f>RiggF</f>
        <v>0.76740172579098764</v>
      </c>
      <c r="N47" s="242">
        <f>StHfaktor</f>
        <v>0.99342787085946571</v>
      </c>
      <c r="O47" s="143"/>
      <c r="P47" s="143"/>
      <c r="Q47" s="143"/>
      <c r="R47" s="143"/>
      <c r="S47" s="165">
        <v>18</v>
      </c>
      <c r="T47" s="143"/>
      <c r="U47" s="165">
        <v>24</v>
      </c>
      <c r="V47" s="559"/>
      <c r="W47" s="559"/>
      <c r="X47" s="165">
        <v>48.3</v>
      </c>
      <c r="Y47" s="143"/>
      <c r="Z47" s="143"/>
      <c r="AA47" s="143"/>
      <c r="AB47" s="143"/>
      <c r="AC47" s="165">
        <v>14</v>
      </c>
      <c r="AD47" s="143"/>
      <c r="AE47" s="143"/>
      <c r="AF47" s="143"/>
      <c r="AG47" s="551"/>
      <c r="AH47" s="557"/>
      <c r="AI47" s="557">
        <f t="shared" ref="AI47" si="404">AI46</f>
        <v>12</v>
      </c>
      <c r="AJ47" s="337" t="str">
        <f t="shared" ref="AJ47:AL47" si="405" xml:space="preserve"> AJ46</f>
        <v>Clipper</v>
      </c>
      <c r="AK47" s="339"/>
      <c r="AL47" s="337">
        <f t="shared" si="405"/>
        <v>0</v>
      </c>
      <c r="AM47" s="339"/>
      <c r="AN47" s="267" t="str">
        <f t="shared" ref="AN47" si="406" xml:space="preserve"> AN46</f>
        <v>RS</v>
      </c>
      <c r="AO47" s="45">
        <f>VLOOKUP(AN47,Skrogform!$1:$1048576,3,FALSE)</f>
        <v>0.97</v>
      </c>
      <c r="AP47" s="64">
        <f t="shared" ref="AP47:AZ47" si="407">AP46</f>
        <v>14.43</v>
      </c>
      <c r="AQ47" s="64">
        <f t="shared" si="407"/>
        <v>12.65</v>
      </c>
      <c r="AR47" s="64">
        <f t="shared" si="407"/>
        <v>4.7300000000000004</v>
      </c>
      <c r="AS47" s="64">
        <f t="shared" si="407"/>
        <v>2.5</v>
      </c>
      <c r="AT47" s="64"/>
      <c r="AU47" s="64">
        <f t="shared" si="407"/>
        <v>33</v>
      </c>
      <c r="AV47" s="64">
        <f t="shared" si="407"/>
        <v>10</v>
      </c>
      <c r="AW47" s="64">
        <f t="shared" si="407"/>
        <v>2.2000000000000002</v>
      </c>
      <c r="AX47" s="256">
        <f>AX46</f>
        <v>1200</v>
      </c>
      <c r="AY47" s="256">
        <f t="shared" si="407"/>
        <v>100</v>
      </c>
      <c r="AZ47" s="256">
        <f t="shared" si="407"/>
        <v>500</v>
      </c>
      <c r="BA47" s="256">
        <f t="shared" ref="BA47:BB47" si="408">BA46</f>
        <v>200</v>
      </c>
      <c r="BB47" s="256">
        <f t="shared" si="408"/>
        <v>150</v>
      </c>
      <c r="BC47" s="256"/>
      <c r="BD47" s="66"/>
      <c r="BE47" s="66"/>
      <c r="BF47" s="261"/>
      <c r="BG47" s="66"/>
      <c r="BH47" s="175"/>
      <c r="BI47" s="66"/>
      <c r="BJ47" s="66"/>
      <c r="BK47" s="65" t="str">
        <f t="shared" ref="BK47:BM47" si="409" xml:space="preserve"> BK46</f>
        <v>Seilrett</v>
      </c>
      <c r="BL47" s="267">
        <f t="shared" si="409"/>
        <v>3</v>
      </c>
      <c r="BM47" s="267">
        <f t="shared" si="409"/>
        <v>70</v>
      </c>
      <c r="BN47" s="45">
        <f t="shared" ref="BN47:BN84" si="410">IF((BK47="Fast"),(1.006248-(0.06415*((BM47/100*SQRT(BL47))/POWER(AU47,(1/3))))),1)</f>
        <v>1</v>
      </c>
      <c r="BO47" s="59"/>
      <c r="BP47" s="59"/>
      <c r="BR47" s="49">
        <f t="shared" si="394"/>
        <v>0</v>
      </c>
      <c r="BS47" s="49">
        <f t="shared" si="394"/>
        <v>0</v>
      </c>
      <c r="BT47" s="49">
        <f t="shared" si="394"/>
        <v>0</v>
      </c>
      <c r="BU47" s="49">
        <f t="shared" si="394"/>
        <v>0</v>
      </c>
      <c r="BV47" s="49">
        <f t="shared" si="394"/>
        <v>18</v>
      </c>
      <c r="BW47" s="49">
        <f t="shared" si="394"/>
        <v>0</v>
      </c>
      <c r="BX47" s="49">
        <f t="shared" si="394"/>
        <v>24</v>
      </c>
      <c r="BY47" s="549">
        <f>IF(COUNT(Q47:U47)&gt;1,MINA(Q47:U47)*BY$9,0)</f>
        <v>-9</v>
      </c>
      <c r="BZ47" s="85">
        <f t="shared" si="395"/>
        <v>0</v>
      </c>
      <c r="CA47" s="85">
        <f t="shared" si="395"/>
        <v>0</v>
      </c>
      <c r="CB47" s="85">
        <f t="shared" si="395"/>
        <v>38.64</v>
      </c>
      <c r="CC47" s="85">
        <f t="shared" si="395"/>
        <v>0</v>
      </c>
      <c r="CD47" s="85">
        <f t="shared" si="395"/>
        <v>0</v>
      </c>
      <c r="CE47" s="85">
        <f>IF(AC47=0,0,AC47*CE$9)</f>
        <v>8.4</v>
      </c>
      <c r="CF47" s="85">
        <f t="shared" si="396"/>
        <v>0</v>
      </c>
      <c r="CG47" s="85">
        <f t="shared" si="396"/>
        <v>0</v>
      </c>
      <c r="CH47" s="85">
        <f t="shared" si="397"/>
        <v>0</v>
      </c>
      <c r="CI47" s="85">
        <f t="shared" si="397"/>
        <v>0</v>
      </c>
      <c r="CJ47" s="85">
        <f t="shared" si="397"/>
        <v>0</v>
      </c>
      <c r="CK47" s="85">
        <f t="shared" si="397"/>
        <v>0</v>
      </c>
      <c r="CL47" s="100">
        <f>SUM(BR47:CK47)</f>
        <v>80.040000000000006</v>
      </c>
      <c r="CM47" s="50"/>
      <c r="CN47" s="104">
        <f>J47</f>
        <v>104.3</v>
      </c>
      <c r="CO47" s="101">
        <f>CL47/CN47</f>
        <v>0.76740172579098764</v>
      </c>
      <c r="CP47" s="51">
        <f>Seilareal/Lwl/Lwl</f>
        <v>0.65178334296739515</v>
      </c>
      <c r="CQ47" s="116">
        <f>Seilareal/Depl^0.667/K$7</f>
        <v>0.93840665488743902</v>
      </c>
      <c r="CR47" s="51">
        <f>Seilareal/Lwl/Lwl/SApRS1</f>
        <v>0.98896342701807538</v>
      </c>
      <c r="CS47" s="204"/>
      <c r="CT47" s="204">
        <f>(ROUND(TBF/CT$6,3)*CT$6)*CT$4</f>
        <v>107</v>
      </c>
      <c r="CU47" s="107">
        <f t="shared" si="36"/>
        <v>1.0700589823431792</v>
      </c>
      <c r="CV47" s="62">
        <f t="shared" si="13"/>
        <v>2.7563178640337105</v>
      </c>
      <c r="CW47" s="62">
        <f t="shared" si="14"/>
        <v>1.6919158611420166</v>
      </c>
      <c r="CX47" s="62">
        <f t="shared" si="15"/>
        <v>1.8859172433475835</v>
      </c>
      <c r="CY47" s="107">
        <f t="shared" si="16"/>
        <v>0.99342787085946571</v>
      </c>
      <c r="CZ47" s="168" t="str">
        <f t="shared" si="37"/>
        <v>-</v>
      </c>
      <c r="DA47" s="158"/>
      <c r="DB47" s="168" t="str">
        <f t="shared" si="38"/>
        <v>-</v>
      </c>
      <c r="DC47" s="160"/>
      <c r="DD47" s="190" t="s">
        <v>134</v>
      </c>
      <c r="DE47" s="62">
        <v>0.85</v>
      </c>
      <c r="DF47" s="62">
        <v>0.85</v>
      </c>
      <c r="DG47" s="62">
        <v>0.84</v>
      </c>
      <c r="DH47" s="150">
        <v>0.89</v>
      </c>
      <c r="DI47" s="62">
        <f t="shared" si="39"/>
        <v>2.1330847628435965</v>
      </c>
      <c r="DJ47" s="47">
        <f t="shared" si="17"/>
        <v>13.601741022850922</v>
      </c>
      <c r="DK47" s="48">
        <f t="shared" si="18"/>
        <v>0</v>
      </c>
      <c r="DM47" s="107">
        <f t="shared" si="381"/>
        <v>1.0608022677932065</v>
      </c>
      <c r="DN47" s="141" t="str">
        <f t="shared" si="246"/>
        <v>-</v>
      </c>
      <c r="DO47" s="107">
        <f t="shared" si="19"/>
        <v>4.5361783654658536</v>
      </c>
      <c r="DP47" s="133">
        <f t="shared" si="263"/>
        <v>2.789541609378114</v>
      </c>
      <c r="DQ47" s="133">
        <f t="shared" si="264"/>
        <v>0</v>
      </c>
      <c r="DR47" s="133">
        <f t="shared" si="265"/>
        <v>0</v>
      </c>
      <c r="DS47" s="133">
        <f t="shared" si="266"/>
        <v>1.7466367560877394</v>
      </c>
      <c r="DT47" s="107">
        <f t="shared" si="267"/>
        <v>1.8859172433475835</v>
      </c>
      <c r="DU47" s="133">
        <f t="shared" si="268"/>
        <v>2.0811665794102909</v>
      </c>
      <c r="DW47" s="107">
        <f t="shared" si="247"/>
        <v>1.1031535900445146</v>
      </c>
      <c r="DX47" s="107">
        <f t="shared" si="40"/>
        <v>1.0744824983766197</v>
      </c>
      <c r="DZ47" s="107">
        <f t="shared" si="41"/>
        <v>1.0700630648933416</v>
      </c>
      <c r="EA47" s="122" t="str">
        <f t="shared" si="248"/>
        <v>-</v>
      </c>
      <c r="EB47" s="107">
        <f t="shared" si="42"/>
        <v>1.0614057466763243</v>
      </c>
      <c r="EC47" s="122" t="str">
        <f t="shared" si="249"/>
        <v>-</v>
      </c>
      <c r="ED47" s="107">
        <f t="shared" si="269"/>
        <v>2.7892490151243452</v>
      </c>
      <c r="EE47" s="107">
        <f t="shared" si="270"/>
        <v>2.3298436208665341</v>
      </c>
      <c r="EF47" s="107">
        <f t="shared" si="271"/>
        <v>1.5468452919478386</v>
      </c>
      <c r="EH47" s="107">
        <f t="shared" si="43"/>
        <v>1.0614609301188556</v>
      </c>
      <c r="EJ47" s="107">
        <f t="shared" si="272"/>
        <v>2.7892490151243452</v>
      </c>
      <c r="EK47" s="107">
        <f t="shared" si="273"/>
        <v>2.3300209979525235</v>
      </c>
      <c r="EL47" s="107">
        <f t="shared" si="274"/>
        <v>1.7888362215273397</v>
      </c>
      <c r="EM47" s="107">
        <f t="shared" si="44"/>
        <v>1.0614358744766166</v>
      </c>
      <c r="EO47" s="107">
        <f t="shared" si="275"/>
        <v>4.3145367071152387</v>
      </c>
      <c r="EP47" s="107">
        <f t="shared" si="276"/>
        <v>2.7892490151243452</v>
      </c>
      <c r="EQ47" s="107">
        <f t="shared" si="277"/>
        <v>1.5468452919478386</v>
      </c>
      <c r="ER47" s="107">
        <f t="shared" si="278"/>
        <v>1.8859172433475835</v>
      </c>
      <c r="ES47" s="107">
        <f t="shared" si="382"/>
        <v>1.0638778265452213</v>
      </c>
      <c r="EU47" s="107">
        <f>IF(SeilBeregnet=0,EU46,(EV:EV*EW:EW)^EU$3)</f>
        <v>1.6603443850685622</v>
      </c>
      <c r="EV47" s="107">
        <f t="shared" si="279"/>
        <v>2.7892490151243452</v>
      </c>
      <c r="EW47" s="107">
        <f t="shared" si="280"/>
        <v>0.98834613262588367</v>
      </c>
      <c r="EX47" s="107">
        <f t="shared" si="281"/>
        <v>1.9055124848006821</v>
      </c>
      <c r="EY47" s="107">
        <f t="shared" si="383"/>
        <v>1.063890605329076</v>
      </c>
      <c r="FA47" s="107">
        <f t="shared" si="371"/>
        <v>1.6604314684526558</v>
      </c>
      <c r="FB47" s="107">
        <f t="shared" si="282"/>
        <v>2.789541609378114</v>
      </c>
      <c r="FC47" s="107">
        <f t="shared" si="283"/>
        <v>0.98834613262588367</v>
      </c>
      <c r="FD47" s="107">
        <f t="shared" si="284"/>
        <v>1.9055124848006821</v>
      </c>
      <c r="FE47" s="107">
        <f t="shared" si="384"/>
        <v>1.0632219910947165</v>
      </c>
      <c r="FF47" s="141" t="str">
        <f t="shared" si="250"/>
        <v>-</v>
      </c>
      <c r="FG47" s="107">
        <f t="shared" si="372"/>
        <v>2.7249025684454553</v>
      </c>
      <c r="FH47" s="133">
        <f t="shared" si="285"/>
        <v>2.789541609378114</v>
      </c>
      <c r="FI47" s="133">
        <f t="shared" si="286"/>
        <v>0.9768280778765408</v>
      </c>
      <c r="FJ47" s="107">
        <f t="shared" si="287"/>
        <v>1.0715484158695705</v>
      </c>
      <c r="FK47" s="107">
        <f t="shared" si="385"/>
        <v>1.0645362549040518</v>
      </c>
      <c r="FL47" s="141" t="str">
        <f t="shared" si="251"/>
        <v>-</v>
      </c>
      <c r="FM47" s="107">
        <f t="shared" si="373"/>
        <v>4.7434121756269612</v>
      </c>
      <c r="FN47" s="133">
        <f t="shared" si="288"/>
        <v>2.789541609378114</v>
      </c>
      <c r="FO47" s="133">
        <f t="shared" si="289"/>
        <v>0.70723381016110809</v>
      </c>
      <c r="FP47" s="133">
        <f t="shared" si="290"/>
        <v>1.7466367560877394</v>
      </c>
      <c r="FQ47" s="107">
        <f t="shared" si="291"/>
        <v>1.8859172433475835</v>
      </c>
      <c r="FR47" s="107">
        <f t="shared" si="386"/>
        <v>1.0708770277455721</v>
      </c>
      <c r="FS47" s="141" t="str">
        <f t="shared" si="252"/>
        <v>-</v>
      </c>
      <c r="FT47" s="107">
        <f t="shared" si="374"/>
        <v>4.8723159075759606</v>
      </c>
      <c r="FU47" s="133">
        <f t="shared" si="292"/>
        <v>2.789541609378114</v>
      </c>
      <c r="FV47" s="133">
        <f t="shared" si="293"/>
        <v>1.7466367560877394</v>
      </c>
      <c r="FW47" s="107">
        <f t="shared" si="294"/>
        <v>1.8859172433475835</v>
      </c>
      <c r="FY47">
        <v>0.95</v>
      </c>
      <c r="FZ47" s="62">
        <f t="shared" si="48"/>
        <v>1.1088251318361213</v>
      </c>
      <c r="GA47" s="62">
        <f t="shared" si="49"/>
        <v>2.0811665794102909</v>
      </c>
      <c r="GB47" s="107">
        <f t="shared" si="50"/>
        <v>1.0476940828583856</v>
      </c>
      <c r="GC47" s="440"/>
      <c r="GD47" s="17"/>
      <c r="GE47" s="442"/>
      <c r="GF47" s="462"/>
      <c r="GG47" s="17"/>
      <c r="GH47" s="17"/>
      <c r="GI47" s="17"/>
      <c r="GJ47" s="17"/>
      <c r="GL47" s="17"/>
      <c r="GM47" s="442"/>
      <c r="GN47" s="8"/>
      <c r="GO47" s="8"/>
      <c r="GP47" s="8"/>
      <c r="GQ47" s="8"/>
      <c r="GS47" s="17"/>
      <c r="GT47" s="17"/>
      <c r="GU47" s="17"/>
      <c r="GV47" s="629"/>
      <c r="GW47" s="17"/>
      <c r="GX47" s="17"/>
      <c r="GY47" s="17"/>
      <c r="GZ47" s="17"/>
    </row>
    <row r="48" spans="1:208" ht="15.6" x14ac:dyDescent="0.3">
      <c r="A48" s="52" t="s">
        <v>826</v>
      </c>
      <c r="B48" s="218">
        <f t="shared" ref="B48" si="411">Loa/0.3048</f>
        <v>41.830708661417319</v>
      </c>
      <c r="C48" s="53" t="s">
        <v>19</v>
      </c>
      <c r="D48" s="53"/>
      <c r="E48" s="53"/>
      <c r="F48" s="53"/>
      <c r="G48" s="54"/>
      <c r="H48" s="112">
        <f>J49</f>
        <v>122.2</v>
      </c>
      <c r="I48" s="601">
        <f>H49/100</f>
        <v>1.1700000000000002</v>
      </c>
      <c r="J48" s="651">
        <f>IF(DC49=0,"-",DC49)</f>
        <v>1.23</v>
      </c>
      <c r="K48" s="123" t="str">
        <f>A48</f>
        <v>Los Frithjof II</v>
      </c>
      <c r="L48" s="116"/>
      <c r="M48" s="116"/>
      <c r="N48" s="92"/>
      <c r="O48" s="165"/>
      <c r="P48" s="165"/>
      <c r="Q48" s="165"/>
      <c r="R48" s="165">
        <v>26.7</v>
      </c>
      <c r="S48" s="165">
        <v>15.2</v>
      </c>
      <c r="T48" s="165"/>
      <c r="U48" s="165">
        <v>24.5</v>
      </c>
      <c r="V48" s="559"/>
      <c r="W48" s="559"/>
      <c r="X48" s="165">
        <v>56</v>
      </c>
      <c r="Y48" s="177">
        <f>StorS-StorS/6</f>
        <v>46.666666666666664</v>
      </c>
      <c r="Z48" s="177">
        <f>StorS-StorS/6*1.9</f>
        <v>38.266666666666666</v>
      </c>
      <c r="AA48" s="165">
        <v>15</v>
      </c>
      <c r="AB48" s="165"/>
      <c r="AC48" s="165"/>
      <c r="AD48" s="165"/>
      <c r="AE48" s="165"/>
      <c r="AF48" s="165"/>
      <c r="AG48" s="552"/>
      <c r="AH48" s="244"/>
      <c r="AI48" s="244">
        <v>11.65</v>
      </c>
      <c r="AJ48" s="554"/>
      <c r="AK48" s="339"/>
      <c r="AL48" s="268"/>
      <c r="AM48" s="339"/>
      <c r="AN48" s="268" t="s">
        <v>203</v>
      </c>
      <c r="AO48" s="45">
        <f>VLOOKUP(AN48,Skrogform!$1:$1048576,3,FALSE)</f>
        <v>0.97</v>
      </c>
      <c r="AP48" s="55">
        <v>12.75</v>
      </c>
      <c r="AQ48" s="55">
        <v>11.4</v>
      </c>
      <c r="AR48" s="55">
        <v>4.5999999999999996</v>
      </c>
      <c r="AS48" s="55">
        <v>2.1</v>
      </c>
      <c r="AT48" s="637">
        <v>22</v>
      </c>
      <c r="AU48" s="55">
        <v>22</v>
      </c>
      <c r="AV48" s="55"/>
      <c r="AW48" s="55">
        <v>5</v>
      </c>
      <c r="AX48" s="253"/>
      <c r="AY48" s="253">
        <v>120</v>
      </c>
      <c r="AZ48" s="254">
        <f>AY48*7</f>
        <v>840</v>
      </c>
      <c r="BA48" s="253"/>
      <c r="BB48" s="253"/>
      <c r="BC48" s="244">
        <f>Depl+Diesel/1000*0.84+Vann/1000</f>
        <v>22</v>
      </c>
      <c r="BD48" s="95">
        <f>Bredde/(Loa+Lwl)*2</f>
        <v>0.38095238095238093</v>
      </c>
      <c r="BE48" s="95">
        <f>(Kjøl+Ballast)/Depl</f>
        <v>0.22727272727272727</v>
      </c>
      <c r="BF48" s="260">
        <f>BF$7*((Depl-Kjøl-Ballast-VektMotor/1000-VektAnnet/1000)/Lwl/Lwl/Bredde)</f>
        <v>1.0201251291109896</v>
      </c>
      <c r="BG48" s="95">
        <f>BG$7*(Depl/Loa/Lwl/Lwl)</f>
        <v>0.97705053862726998</v>
      </c>
      <c r="BH48" s="174">
        <f>BH$7*(Depl/Loa/Lwl/Bredde)</f>
        <v>0.89502745995423372</v>
      </c>
      <c r="BI48" s="95">
        <f>BI$7*Bredde/(Loa+Lwl)*2</f>
        <v>1.0867383512544802</v>
      </c>
      <c r="BJ48" s="95">
        <f>BJ$7*(Dypg/Lwl)</f>
        <v>1.0075514874141875</v>
      </c>
      <c r="BK48" s="56" t="s">
        <v>21</v>
      </c>
      <c r="BL48" s="268">
        <v>3</v>
      </c>
      <c r="BM48" s="268">
        <v>66</v>
      </c>
      <c r="BN48" s="45">
        <f t="shared" si="410"/>
        <v>1</v>
      </c>
      <c r="BO48" s="59"/>
      <c r="BP48" s="59"/>
      <c r="BR48" s="209"/>
      <c r="BS48" s="209"/>
      <c r="BT48" s="209" t="str">
        <f>$A48</f>
        <v>Los Frithjof II</v>
      </c>
      <c r="BU48" s="10"/>
      <c r="BV48" s="10"/>
      <c r="BW48" s="10"/>
      <c r="BX48" s="10"/>
      <c r="BY48" s="549"/>
      <c r="BZ48" s="10"/>
      <c r="CA48" s="10"/>
      <c r="CB48" s="209" t="str">
        <f>$A48</f>
        <v>Los Frithjof II</v>
      </c>
      <c r="CC48" s="10"/>
      <c r="CD48" s="10"/>
      <c r="CE48" s="10"/>
      <c r="CF48" s="10"/>
      <c r="CG48" s="10"/>
      <c r="CH48" s="10"/>
      <c r="CI48" s="10"/>
      <c r="CJ48" s="10"/>
      <c r="CK48" s="10"/>
      <c r="CL48" s="209"/>
      <c r="CM48" s="10"/>
      <c r="CN48" s="209" t="str">
        <f>$A48</f>
        <v>Los Frithjof II</v>
      </c>
      <c r="CO48" s="207"/>
      <c r="CP48" s="207"/>
      <c r="CQ48" s="116"/>
      <c r="CR48" s="207"/>
      <c r="CS48" s="203"/>
      <c r="CT48" s="203" t="s">
        <v>23</v>
      </c>
      <c r="CU48" s="107" t="str">
        <f t="shared" si="83"/>
        <v>-</v>
      </c>
      <c r="CV48" s="62" t="str">
        <f t="shared" si="13"/>
        <v>-</v>
      </c>
      <c r="CW48" s="62" t="str">
        <f t="shared" si="84"/>
        <v>-</v>
      </c>
      <c r="CX48" s="62" t="str">
        <f t="shared" si="15"/>
        <v>-</v>
      </c>
      <c r="CY48" s="107" t="str">
        <f t="shared" si="85"/>
        <v>-</v>
      </c>
      <c r="CZ48" s="168">
        <f t="shared" ref="CZ48:CZ70" si="412">IF(DA48=0,"-",IF(CP48="TBF","-",CZ$7*DA48))</f>
        <v>1.1472941176470588</v>
      </c>
      <c r="DA48" s="158">
        <v>0.92</v>
      </c>
      <c r="DB48" s="168" t="str">
        <f t="shared" ref="DB48:DB70" si="413">IF(DC48=0,"-",IF(CT48="TBF","-",DB$7*DC48))</f>
        <v>-</v>
      </c>
      <c r="DC48" s="160">
        <v>1.23</v>
      </c>
      <c r="DD48" s="190" t="s">
        <v>134</v>
      </c>
      <c r="DE48" s="29" t="s">
        <v>23</v>
      </c>
      <c r="DF48" s="29" t="s">
        <v>23</v>
      </c>
      <c r="DG48" s="29" t="s">
        <v>23</v>
      </c>
      <c r="DH48" s="149">
        <v>2022</v>
      </c>
      <c r="DI48" s="62" t="str">
        <f t="shared" si="88"/>
        <v>-</v>
      </c>
      <c r="DJ48" s="47">
        <f t="shared" si="89"/>
        <v>12.352941176470589</v>
      </c>
      <c r="DK48" s="48">
        <f t="shared" ref="DK48:DK70" si="414">DJ$7*IF(DJ48&lt;DJ$5,-0.04,IF(DJ48&lt;DJ$5*1.1,-0.03,IF(DJ48&lt;DJ$5*1.2,-0.02,IF(DJ48&lt;DJ$5*1.3,-0.01,0))))</f>
        <v>0</v>
      </c>
      <c r="DM48" s="107" t="str">
        <f t="shared" si="381"/>
        <v>-</v>
      </c>
      <c r="DN48" s="141" t="str">
        <f t="shared" ref="DN48:DN70" si="415">IF($DY48=0,"-",(DM48-$DW48)*100)</f>
        <v>-</v>
      </c>
      <c r="DO48" s="107">
        <f t="shared" ref="DO48:DO70" si="416">SUM(DP48:DS48)^DO$3+DO$7</f>
        <v>4.5361783654658536</v>
      </c>
      <c r="DP48" s="133">
        <f>IF(SeilBeregnet=0,DP47,(SeilBeregnet^0.5/(Depl^0.3333))^DP$3*DP$7)</f>
        <v>2.789541609378114</v>
      </c>
      <c r="DQ48" s="133">
        <f>IF(SeilBeregnet=0,DQ47,(SeilBeregnet^0.5/Lwl)^DQ$3*DQ$7)</f>
        <v>0</v>
      </c>
      <c r="DR48" s="133">
        <f>IF(SeilBeregnet=0,DR47,(0.1*Loa/Depl^0.3333)^DR$3*DR$7)</f>
        <v>0</v>
      </c>
      <c r="DS48" s="133">
        <f>IF(SeilBeregnet=0,DS47,((Loa)/Bredde)^DS$3*DS$7)</f>
        <v>1.7466367560877394</v>
      </c>
      <c r="DT48" s="107">
        <f>IF(SeilBeregnet=0,DT47,(Lwl)^DT$3)</f>
        <v>1.8859172433475835</v>
      </c>
      <c r="DU48" s="133">
        <f>IF(SeilBeregnet=0,DU47,(Dypg/Loa)^DU$3*5*DU$7)</f>
        <v>2.0811665794102909</v>
      </c>
      <c r="DW48" s="107" t="str">
        <f t="shared" ref="DW48:DW272" si="417">IF(SeilBeregnet=0,"-",Skaleringsfaktor*(1*(LBf+SaDeplf)*Lf*PropF+Strikkf2)+ErfaringsF+Dyp_F)</f>
        <v>-</v>
      </c>
      <c r="DX48" s="107" t="str">
        <f t="shared" si="93"/>
        <v>-</v>
      </c>
      <c r="DZ48" s="107" t="str">
        <f t="shared" si="94"/>
        <v>-</v>
      </c>
      <c r="EA48" s="122" t="str">
        <f t="shared" ref="EA48:EA70" si="418">IF($DY48=0,"-",DZ48-$DW48)</f>
        <v>-</v>
      </c>
      <c r="EB48" s="107" t="str">
        <f t="shared" ref="EB48:EB70" si="419">IF(SeilBeregnet=0,"-",EB$7*(EB$4*ED48*EE48*EF48*PropF+EB$6)+ErfaringsF+Dyp_F)</f>
        <v>-</v>
      </c>
      <c r="EC48" s="122" t="str">
        <f t="shared" ref="EC48:EC70" si="420">IF($DY48=0,"-",EB48-$DW48)</f>
        <v>-</v>
      </c>
      <c r="ED48" s="107">
        <f>IF(SeilBeregnet=0,ED14,SeilBeregnet^0.5/Depl^0.33333)</f>
        <v>2.5952894110890221</v>
      </c>
      <c r="EE48" s="107">
        <f>IF(SeilBeregnet=0,EE14,Lwl^0.3333)</f>
        <v>2.3255386279619175</v>
      </c>
      <c r="EF48" s="107">
        <f>IF(SeilBeregnet=0,EF14,((Loa+Lwl)/Bredde)^EF$3)</f>
        <v>1.5455073481707255</v>
      </c>
      <c r="EH48" s="107" t="str">
        <f t="shared" ref="EH48:EH70" si="421">IF(SeilBeregnet=0,"-",EH$7*(EH$4*EJ48*EK48*EL48*PropF+EH$6)+ErfaringsF+Dyp_F)</f>
        <v>-</v>
      </c>
      <c r="EJ48" s="107">
        <f>IF(SeilBeregnet=0,EJ14,SeilBeregnet^0.5/Depl^0.33333)</f>
        <v>2.5952894110890221</v>
      </c>
      <c r="EK48" s="107">
        <f>IF(SeilBeregnet=0,EK14,Lwl^EK$3)</f>
        <v>2.3257152901382043</v>
      </c>
      <c r="EL48" s="107">
        <f>IF(SeilBeregnet=0,EL14,((Loa+Lwl)/Bredde)^EL$3)</f>
        <v>1.7867737200389522</v>
      </c>
      <c r="EM48" s="107" t="str">
        <f t="shared" ref="EM48:EM70" si="422">IF(SeilBeregnet=0,"-",EM$7*(EM$4*EO48+EM$6)*ER48*PropF+ErfaringsF+Dyp_F)</f>
        <v>-</v>
      </c>
      <c r="EO48" s="107">
        <f>IF(SeilBeregnet=0,EO14,(EP48*EQ48)^EO$3)</f>
        <v>4.011038855467759</v>
      </c>
      <c r="EP48" s="107">
        <f>IF(SeilBeregnet=0,EP14,SeilBeregnet^0.5/Depl^0.33333)</f>
        <v>2.5952894110890221</v>
      </c>
      <c r="EQ48" s="107">
        <f>IF(SeilBeregnet=0,EQ14,((Loa+Lwl)/Bredde)^EQ$3)</f>
        <v>1.5455073481707255</v>
      </c>
      <c r="ER48" s="107">
        <f>IF(SeilBeregnet=0,ER14,Lwl^ER$3)</f>
        <v>1.8833028354976902</v>
      </c>
      <c r="ES48" s="107" t="str">
        <f t="shared" si="382"/>
        <v>-</v>
      </c>
      <c r="EU48" s="107">
        <f>IF(SeilBeregnet=0,EU14,(EV:EV*EW:EW)^EU$3)</f>
        <v>1.6008827619675918</v>
      </c>
      <c r="EV48" s="107">
        <f>IF(SeilBeregnet=0,EV14,SeilBeregnet^0.5/Depl^0.33333)</f>
        <v>2.5952894110890221</v>
      </c>
      <c r="EW48" s="107">
        <f>IF(SeilBeregnet=0,EW14,((Loa+Lwl)/Bredde/6)^EW$3)</f>
        <v>0.98749126267562803</v>
      </c>
      <c r="EX48" s="107">
        <f>IF(SeilBeregnet=0,EX14,(Lwl*0.7+Loa*0.3)^EX$3)</f>
        <v>1.8985001932932792</v>
      </c>
      <c r="EY48" s="107" t="str">
        <f t="shared" si="383"/>
        <v>-</v>
      </c>
      <c r="FA48" s="107">
        <f t="shared" si="371"/>
        <v>1.600964115478277</v>
      </c>
      <c r="FB48" s="107">
        <f>IF(SeilBeregnet=0,FB14,SeilBeregnet^0.5/Depl^0.3333)</f>
        <v>2.5955531921410695</v>
      </c>
      <c r="FC48" s="107">
        <f>IF(SeilBeregnet=0,FC14,((Loa+Lwl)/Bredde/6)^FC$3)</f>
        <v>0.98749126267562803</v>
      </c>
      <c r="FD48" s="107">
        <f>IF(SeilBeregnet=0,FD14,(Lwl*0.7+Loa*0.3)^FD$3)</f>
        <v>1.8985001932932792</v>
      </c>
      <c r="FE48" s="107" t="str">
        <f t="shared" si="384"/>
        <v>-</v>
      </c>
      <c r="FF48" s="141" t="str">
        <f t="shared" ref="FF48:FF70" si="423">IF($DY48=0,"-",(FE48-$DW48)*100)</f>
        <v>-</v>
      </c>
      <c r="FG48" s="107">
        <f t="shared" si="372"/>
        <v>2.5310251282963865</v>
      </c>
      <c r="FH48" s="133">
        <f>IF(SeilBeregnet=0,FH14,(SeilBeregnet^0.5/(Depl^0.3333))^FH$3)</f>
        <v>2.5955531921410695</v>
      </c>
      <c r="FI48" s="133">
        <f>IF(SeilBeregnet=0,FI14,((Loa+Lwl)/Bredde/6)^FI$3)</f>
        <v>0.97513899386070613</v>
      </c>
      <c r="FJ48" s="107">
        <f>IF(SeilBeregnet=0,FJ14,(Lwl*0.07+Loa*0.03)^FJ$3)</f>
        <v>1.0676051145706766</v>
      </c>
      <c r="FK48" s="107" t="str">
        <f t="shared" si="385"/>
        <v>-</v>
      </c>
      <c r="FL48" s="141" t="str">
        <f t="shared" ref="FL48:FL70" si="424">IF($DY48=0,"-",(FK48-$DW48)*100)</f>
        <v>-</v>
      </c>
      <c r="FM48" s="107">
        <f t="shared" si="373"/>
        <v>4.4657658228077626</v>
      </c>
      <c r="FN48" s="133">
        <f>IF(SeilBeregnet=0,FN14,(SeilBeregnet^0.5/(Depl^0.3333))^FN$3)</f>
        <v>2.5955531921410695</v>
      </c>
      <c r="FO48" s="133">
        <f>IF(SeilBeregnet=0,FO14,(SeilBeregnet^0.5/Lwl*FO$7)^FO$3)</f>
        <v>0.63816182309781566</v>
      </c>
      <c r="FP48" s="133">
        <f>IF(SeilBeregnet=0,FP14,((Loa)/Bredde)^FP$3*FP$7)</f>
        <v>1.7320508075688772</v>
      </c>
      <c r="FQ48" s="107">
        <f>IF(SeilBeregnet=0,FQ14,(Lwl)^FQ$3)</f>
        <v>1.8833028354976902</v>
      </c>
      <c r="FR48" s="107" t="str">
        <f t="shared" si="386"/>
        <v>-</v>
      </c>
      <c r="FS48" s="141" t="str">
        <f t="shared" ref="FS48:FS70" si="425">IF($DY48=0,"-",(FR48-$DW48)*100)</f>
        <v>-</v>
      </c>
      <c r="FT48" s="107">
        <f t="shared" si="374"/>
        <v>4.4956300025359166</v>
      </c>
      <c r="FU48" s="133">
        <f>IF(SeilBeregnet=0,FU14,(SeilBeregnet^0.5/(Depl^0.3333))^FU$3)</f>
        <v>2.5955531921410695</v>
      </c>
      <c r="FV48" s="133">
        <f>IF(SeilBeregnet=0,FV14,(Loa/Bredde)^FV$3)</f>
        <v>1.7320508075688772</v>
      </c>
      <c r="FW48" s="107">
        <f>IF(SeilBeregnet=0,FW14,Lwl^FW$3)</f>
        <v>1.8833028354976902</v>
      </c>
      <c r="FY48">
        <v>0.95</v>
      </c>
      <c r="FZ48" s="62" t="str">
        <f t="shared" si="48"/>
        <v>-</v>
      </c>
      <c r="GA48" s="62">
        <f t="shared" si="49"/>
        <v>2.0291986247835694</v>
      </c>
      <c r="GB48" s="107" t="str">
        <f t="shared" si="50"/>
        <v>-</v>
      </c>
      <c r="GC48" s="441" t="s">
        <v>760</v>
      </c>
      <c r="GD48" s="57"/>
      <c r="GE48" s="436"/>
      <c r="GF48" s="75"/>
      <c r="GG48" s="57"/>
      <c r="GH48" s="57"/>
      <c r="GI48" s="57" t="s">
        <v>416</v>
      </c>
      <c r="GJ48" s="550" t="s">
        <v>924</v>
      </c>
      <c r="GL48" s="57" t="s">
        <v>897</v>
      </c>
      <c r="GM48" s="436" t="s">
        <v>478</v>
      </c>
      <c r="GN48" s="58" t="s">
        <v>478</v>
      </c>
      <c r="GO48" s="58" t="s">
        <v>478</v>
      </c>
      <c r="GP48" s="58" t="s">
        <v>478</v>
      </c>
      <c r="GQ48" s="58" t="s">
        <v>478</v>
      </c>
      <c r="GS48" s="57" t="s">
        <v>470</v>
      </c>
      <c r="GT48" s="57" t="s">
        <v>860</v>
      </c>
      <c r="GU48" s="57" t="s">
        <v>862</v>
      </c>
      <c r="GV48" s="599" t="s">
        <v>923</v>
      </c>
      <c r="GW48" s="57">
        <v>1896</v>
      </c>
      <c r="GX48" s="57" t="s">
        <v>431</v>
      </c>
      <c r="GY48" s="57" t="s">
        <v>438</v>
      </c>
      <c r="GZ48" s="57" t="s">
        <v>695</v>
      </c>
    </row>
    <row r="49" spans="1:208" ht="15.6" x14ac:dyDescent="0.3">
      <c r="A49" s="60" t="s">
        <v>28</v>
      </c>
      <c r="B49" s="218"/>
      <c r="C49" s="61" t="str">
        <f>C48</f>
        <v>Gaffel</v>
      </c>
      <c r="D49" s="61"/>
      <c r="E49" s="61"/>
      <c r="F49" s="61"/>
      <c r="G49" s="54"/>
      <c r="H49" s="204">
        <f>TBFavrundet</f>
        <v>117.00000000000001</v>
      </c>
      <c r="I49" s="63">
        <f>COUNTA(O49:AG49)</f>
        <v>4</v>
      </c>
      <c r="J49" s="222">
        <f>SUM(O49:AG49)</f>
        <v>122.2</v>
      </c>
      <c r="K49" s="116">
        <f>Seilareal/Depl^0.667/K$7</f>
        <v>1.4408900629433183</v>
      </c>
      <c r="L49" s="116">
        <f>Seilareal/Lwl/Lwl/L$7</f>
        <v>1.4267191055467465</v>
      </c>
      <c r="M49" s="92">
        <f>RiggF</f>
        <v>0.73445171849427171</v>
      </c>
      <c r="N49" s="242">
        <f>StHfaktor</f>
        <v>1.0027152827972585</v>
      </c>
      <c r="O49" s="143"/>
      <c r="P49" s="143"/>
      <c r="Q49" s="143"/>
      <c r="R49" s="165">
        <v>26.7</v>
      </c>
      <c r="S49" s="143"/>
      <c r="T49" s="143"/>
      <c r="U49" s="165">
        <v>24.5</v>
      </c>
      <c r="V49" s="559"/>
      <c r="W49" s="559"/>
      <c r="X49" s="165">
        <v>56</v>
      </c>
      <c r="Y49" s="143"/>
      <c r="Z49" s="143"/>
      <c r="AA49" s="165">
        <v>15</v>
      </c>
      <c r="AB49" s="143"/>
      <c r="AC49" s="143"/>
      <c r="AD49" s="143"/>
      <c r="AE49" s="143"/>
      <c r="AF49" s="143"/>
      <c r="AG49" s="551"/>
      <c r="AH49" s="557"/>
      <c r="AI49" s="557">
        <f t="shared" ref="AI49:AI53" si="426">AI48</f>
        <v>11.65</v>
      </c>
      <c r="AJ49" s="337">
        <f t="shared" ref="AJ49:AL49" si="427" xml:space="preserve"> AJ48</f>
        <v>0</v>
      </c>
      <c r="AK49" s="339"/>
      <c r="AL49" s="337">
        <f t="shared" si="427"/>
        <v>0</v>
      </c>
      <c r="AM49" s="339"/>
      <c r="AN49" s="267" t="str">
        <f t="shared" ref="AN49" si="428" xml:space="preserve"> AN48</f>
        <v>Los</v>
      </c>
      <c r="AO49" s="45">
        <f>VLOOKUP(AN49,Skrogform!$1:$1048576,3,FALSE)</f>
        <v>0.97</v>
      </c>
      <c r="AP49" s="64">
        <f t="shared" ref="AP49:AZ49" si="429">AP48</f>
        <v>12.75</v>
      </c>
      <c r="AQ49" s="64">
        <f t="shared" si="429"/>
        <v>11.4</v>
      </c>
      <c r="AR49" s="64">
        <f t="shared" si="429"/>
        <v>4.5999999999999996</v>
      </c>
      <c r="AS49" s="64">
        <f t="shared" si="429"/>
        <v>2.1</v>
      </c>
      <c r="AT49" s="64"/>
      <c r="AU49" s="64">
        <f t="shared" si="429"/>
        <v>22</v>
      </c>
      <c r="AV49" s="64">
        <f t="shared" si="429"/>
        <v>0</v>
      </c>
      <c r="AW49" s="64">
        <f t="shared" si="429"/>
        <v>5</v>
      </c>
      <c r="AX49" s="256">
        <f>AX48</f>
        <v>0</v>
      </c>
      <c r="AY49" s="256">
        <f t="shared" si="429"/>
        <v>120</v>
      </c>
      <c r="AZ49" s="256">
        <f t="shared" si="429"/>
        <v>840</v>
      </c>
      <c r="BA49" s="256">
        <f t="shared" ref="BA49:BB49" si="430">BA48</f>
        <v>0</v>
      </c>
      <c r="BB49" s="256">
        <f t="shared" si="430"/>
        <v>0</v>
      </c>
      <c r="BC49" s="256"/>
      <c r="BD49" s="66"/>
      <c r="BE49" s="66"/>
      <c r="BF49" s="261"/>
      <c r="BG49" s="66"/>
      <c r="BH49" s="175"/>
      <c r="BI49" s="66"/>
      <c r="BJ49" s="66"/>
      <c r="BK49" s="65" t="str">
        <f t="shared" ref="BK49:BM49" si="431" xml:space="preserve"> BK48</f>
        <v>Seilrett</v>
      </c>
      <c r="BL49" s="267">
        <f t="shared" si="431"/>
        <v>3</v>
      </c>
      <c r="BM49" s="267">
        <f t="shared" si="431"/>
        <v>66</v>
      </c>
      <c r="BN49" s="45">
        <f t="shared" si="410"/>
        <v>1</v>
      </c>
      <c r="BO49" s="59"/>
      <c r="BP49" s="59"/>
      <c r="BR49" s="49">
        <f t="shared" ref="BR49:BX53" si="432">IF(O49=0,0,O49*BR$9)</f>
        <v>0</v>
      </c>
      <c r="BS49" s="49">
        <f t="shared" si="432"/>
        <v>0</v>
      </c>
      <c r="BT49" s="49">
        <f t="shared" si="432"/>
        <v>0</v>
      </c>
      <c r="BU49" s="49">
        <f t="shared" si="432"/>
        <v>26.7</v>
      </c>
      <c r="BV49" s="49">
        <f t="shared" si="432"/>
        <v>0</v>
      </c>
      <c r="BW49" s="49">
        <f t="shared" si="432"/>
        <v>0</v>
      </c>
      <c r="BX49" s="49">
        <f t="shared" si="432"/>
        <v>24.5</v>
      </c>
      <c r="BY49" s="549">
        <f>IF(COUNT(Q49:U49)&gt;1,MINA(Q49:U49)*BY$9,0)</f>
        <v>-12.25</v>
      </c>
      <c r="BZ49" s="85">
        <f t="shared" ref="BZ49:CD53" si="433">IF(V49=0,0,V49*BZ$9)</f>
        <v>0</v>
      </c>
      <c r="CA49" s="85">
        <f t="shared" si="433"/>
        <v>0</v>
      </c>
      <c r="CB49" s="85">
        <f t="shared" si="433"/>
        <v>44.800000000000004</v>
      </c>
      <c r="CC49" s="85">
        <f t="shared" si="433"/>
        <v>0</v>
      </c>
      <c r="CD49" s="85">
        <f t="shared" si="433"/>
        <v>0</v>
      </c>
      <c r="CE49" s="85">
        <f>IF(AC49=0,0,AC49*CE$9)</f>
        <v>0</v>
      </c>
      <c r="CF49" s="85">
        <f t="shared" ref="CF49:CG53" si="434">IF(AA49=0,0,AA49*CF$9)</f>
        <v>6</v>
      </c>
      <c r="CG49" s="85">
        <f t="shared" si="434"/>
        <v>0</v>
      </c>
      <c r="CH49" s="85">
        <f t="shared" ref="CH49:CK53" si="435">IF(AD49=0,0,AD49*CH$9)</f>
        <v>0</v>
      </c>
      <c r="CI49" s="85">
        <f t="shared" si="435"/>
        <v>0</v>
      </c>
      <c r="CJ49" s="85">
        <f t="shared" si="435"/>
        <v>0</v>
      </c>
      <c r="CK49" s="85">
        <f t="shared" si="435"/>
        <v>0</v>
      </c>
      <c r="CL49" s="100">
        <f>SUM(BR49:CK49)</f>
        <v>89.75</v>
      </c>
      <c r="CM49" s="50"/>
      <c r="CN49" s="104">
        <f>J49</f>
        <v>122.2</v>
      </c>
      <c r="CO49" s="101">
        <f>CL49/CN49</f>
        <v>0.73445171849427171</v>
      </c>
      <c r="CP49" s="51">
        <f>Seilareal/Lwl/Lwl</f>
        <v>0.94028931979070474</v>
      </c>
      <c r="CQ49" s="116">
        <f>Seilareal/Depl^0.667/K$7</f>
        <v>1.4408900629433183</v>
      </c>
      <c r="CR49" s="51">
        <f>Seilareal/Lwl/Lwl/SApRS1</f>
        <v>1.4267191055467465</v>
      </c>
      <c r="CS49" s="204"/>
      <c r="CT49" s="204">
        <f>(ROUND(TBF/CT$6,3)*CT$6)*CT$4</f>
        <v>117.00000000000001</v>
      </c>
      <c r="CU49" s="107">
        <f t="shared" si="83"/>
        <v>1.1719406609270986</v>
      </c>
      <c r="CV49" s="62">
        <f t="shared" si="13"/>
        <v>3.3799520414287456</v>
      </c>
      <c r="CW49" s="62">
        <f t="shared" si="84"/>
        <v>1.6201851746019651</v>
      </c>
      <c r="CX49" s="62">
        <f t="shared" si="15"/>
        <v>1.8374951981506853</v>
      </c>
      <c r="CY49" s="107">
        <f t="shared" si="85"/>
        <v>1.0027152827972585</v>
      </c>
      <c r="CZ49" s="168">
        <f t="shared" si="412"/>
        <v>1.1472941176470588</v>
      </c>
      <c r="DA49" s="159">
        <f>DA48</f>
        <v>0.92</v>
      </c>
      <c r="DB49" s="168">
        <f t="shared" si="413"/>
        <v>1.1436842105263159</v>
      </c>
      <c r="DC49" s="159">
        <f>DC48</f>
        <v>1.23</v>
      </c>
      <c r="DD49" s="190" t="s">
        <v>134</v>
      </c>
      <c r="DE49" s="62">
        <v>0.93</v>
      </c>
      <c r="DF49" s="62">
        <v>0.9</v>
      </c>
      <c r="DG49" s="62">
        <v>0.94</v>
      </c>
      <c r="DH49" s="62">
        <v>1</v>
      </c>
      <c r="DI49" s="62">
        <f t="shared" si="88"/>
        <v>2.0710896001352213</v>
      </c>
      <c r="DJ49" s="47">
        <f t="shared" si="89"/>
        <v>12.352941176470589</v>
      </c>
      <c r="DK49" s="48">
        <f t="shared" si="414"/>
        <v>0</v>
      </c>
      <c r="DM49" s="107">
        <f t="shared" si="381"/>
        <v>1.14977037911334</v>
      </c>
      <c r="DN49" s="141">
        <f t="shared" si="415"/>
        <v>-5.8415869265111997</v>
      </c>
      <c r="DO49" s="107">
        <f t="shared" si="416"/>
        <v>5.0461855771786777</v>
      </c>
      <c r="DP49" s="133">
        <f>IF(SeilBeregnet=0,DP48,(SeilBeregnet^0.5/(Depl^0.3333))^DP$3*DP$7)</f>
        <v>3.3813314903486082</v>
      </c>
      <c r="DQ49" s="133">
        <f>IF(SeilBeregnet=0,DQ48,(SeilBeregnet^0.5/Lwl)^DQ$3*DQ$7)</f>
        <v>0</v>
      </c>
      <c r="DR49" s="133">
        <f>IF(SeilBeregnet=0,DR48,(0.1*Loa/Depl^0.3333)^DR$3*DR$7)</f>
        <v>0</v>
      </c>
      <c r="DS49" s="133">
        <f>IF(SeilBeregnet=0,DS48,((Loa)/Bredde)^DS$3*DS$7)</f>
        <v>1.664854086830069</v>
      </c>
      <c r="DT49" s="107">
        <f>IF(SeilBeregnet=0,DT48,(Lwl)^DT$3)</f>
        <v>1.8374951981506853</v>
      </c>
      <c r="DU49" s="133">
        <f>IF(SeilBeregnet=0,DU48,(Dypg/Loa)^DU$3*5*DU$7)</f>
        <v>2.0291986247835694</v>
      </c>
      <c r="DW49" s="107">
        <f t="shared" si="417"/>
        <v>1.208186248378452</v>
      </c>
      <c r="DX49" s="107">
        <f t="shared" si="93"/>
        <v>1.1708384680814594</v>
      </c>
      <c r="DY49" s="122">
        <f>DX49-DW49</f>
        <v>-3.7347780296992594E-2</v>
      </c>
      <c r="DZ49" s="107">
        <f t="shared" si="94"/>
        <v>1.1318378576937755</v>
      </c>
      <c r="EA49" s="122">
        <f t="shared" si="418"/>
        <v>-7.634839068467647E-2</v>
      </c>
      <c r="EB49" s="107">
        <f t="shared" si="419"/>
        <v>1.1753181702306101</v>
      </c>
      <c r="EC49" s="122">
        <f t="shared" si="420"/>
        <v>-3.2868078147841873E-2</v>
      </c>
      <c r="ED49" s="107">
        <f>IF(SeilBeregnet=0,ED48,SeilBeregnet^0.5/Depl^0.33333)</f>
        <v>3.3810179497107771</v>
      </c>
      <c r="EE49" s="107">
        <f>IF(SeilBeregnet=0,EE48,Lwl^0.3333)</f>
        <v>2.2504345510197821</v>
      </c>
      <c r="EF49" s="107">
        <f>IF(SeilBeregnet=0,EF48,((Loa+Lwl)/Bredde)^EF$3)</f>
        <v>1.5137000520175456</v>
      </c>
      <c r="EH49" s="107">
        <f t="shared" si="421"/>
        <v>1.157738461080323</v>
      </c>
      <c r="EJ49" s="107">
        <f>IF(SeilBeregnet=0,EJ48,SeilBeregnet^0.5/Depl^0.33333)</f>
        <v>3.3810179497107771</v>
      </c>
      <c r="EK49" s="107">
        <f>IF(SeilBeregnet=0,EK48,Lwl^EK$3)</f>
        <v>2.250598857644956</v>
      </c>
      <c r="EL49" s="107">
        <f>IF(SeilBeregnet=0,EL48,((Loa+Lwl)/Bredde)^EL$3)</f>
        <v>1.7379172576819111</v>
      </c>
      <c r="EM49" s="107">
        <f t="shared" si="422"/>
        <v>1.1657475259653958</v>
      </c>
      <c r="EO49" s="107">
        <f>IF(SeilBeregnet=0,EO48,(EP49*EQ49)^EO$3)</f>
        <v>5.1178470463494588</v>
      </c>
      <c r="EP49" s="107">
        <f>IF(SeilBeregnet=0,EP48,SeilBeregnet^0.5/Depl^0.33333)</f>
        <v>3.3810179497107771</v>
      </c>
      <c r="EQ49" s="107">
        <f>IF(SeilBeregnet=0,EQ48,((Loa+Lwl)/Bredde)^EQ$3)</f>
        <v>1.5137000520175456</v>
      </c>
      <c r="ER49" s="107">
        <f>IF(SeilBeregnet=0,ER48,Lwl^ER$3)</f>
        <v>1.8374951981506853</v>
      </c>
      <c r="ES49" s="107">
        <f t="shared" si="382"/>
        <v>1.166870833468298</v>
      </c>
      <c r="EU49" s="107">
        <f>IF(SeilBeregnet=0,EU48,(EV:EV*EW:EW)^EU$3)</f>
        <v>1.8083177483097765</v>
      </c>
      <c r="EV49" s="107">
        <f>IF(SeilBeregnet=0,EV48,SeilBeregnet^0.5/Depl^0.33333)</f>
        <v>3.3810179497107771</v>
      </c>
      <c r="EW49" s="107">
        <f>IF(SeilBeregnet=0,EW48,((Loa+Lwl)/Bredde/6)^EW$3)</f>
        <v>0.96716821013383469</v>
      </c>
      <c r="EX49" s="107">
        <f>IF(SeilBeregnet=0,EX48,(Lwl*0.7+Loa*0.3)^EX$3)</f>
        <v>1.8536020361776409</v>
      </c>
      <c r="EY49" s="107">
        <f t="shared" si="383"/>
        <v>1.1271341254216654</v>
      </c>
      <c r="FA49" s="107">
        <f t="shared" si="371"/>
        <v>1.80840159405748</v>
      </c>
      <c r="FB49" s="107">
        <f>IF(SeilBeregnet=0,FB48,SeilBeregnet^0.5/Depl^0.3333)</f>
        <v>3.3813314903486082</v>
      </c>
      <c r="FC49" s="107">
        <f>IF(SeilBeregnet=0,FC48,((Loa+Lwl)/Bredde/6)^FC$3)</f>
        <v>0.96716821013383469</v>
      </c>
      <c r="FD49" s="107">
        <f>IF(SeilBeregnet=0,FD48,(Lwl*0.7+Loa*0.3)^FD$3)</f>
        <v>1.8536020361776409</v>
      </c>
      <c r="FE49" s="107">
        <f t="shared" si="384"/>
        <v>1.1301429344744582</v>
      </c>
      <c r="FF49" s="141">
        <f t="shared" si="423"/>
        <v>-7.8043313903993772</v>
      </c>
      <c r="FG49" s="107">
        <f t="shared" si="372"/>
        <v>3.1629459869985523</v>
      </c>
      <c r="FH49" s="133">
        <f>IF(SeilBeregnet=0,FH48,(SeilBeregnet^0.5/(Depl^0.3333))^FH$3)</f>
        <v>3.3813314903486082</v>
      </c>
      <c r="FI49" s="133">
        <f>IF(SeilBeregnet=0,FI48,((Loa+Lwl)/Bredde/6)^FI$3)</f>
        <v>0.93541434669348533</v>
      </c>
      <c r="FJ49" s="107">
        <f>IF(SeilBeregnet=0,FJ48,(Lwl*0.07+Loa*0.03)^FJ$3)</f>
        <v>1.0423570253996639</v>
      </c>
      <c r="FK49" s="107">
        <f t="shared" si="385"/>
        <v>1.1757905189869271</v>
      </c>
      <c r="FL49" s="141">
        <f t="shared" si="424"/>
        <v>-3.2395729391524908</v>
      </c>
      <c r="FM49" s="107">
        <f t="shared" si="373"/>
        <v>5.3772073018057132</v>
      </c>
      <c r="FN49" s="133">
        <f>IF(SeilBeregnet=0,FN48,(SeilBeregnet^0.5/(Depl^0.3333))^FN$3)</f>
        <v>3.3813314903486082</v>
      </c>
      <c r="FO49" s="133">
        <f>IF(SeilBeregnet=0,FO48,(SeilBeregnet^0.5/Lwl*FO$7)^FO$3)</f>
        <v>0.83102172462703572</v>
      </c>
      <c r="FP49" s="133">
        <f>IF(SeilBeregnet=0,FP48,((Loa)/Bredde)^FP$3*FP$7)</f>
        <v>1.664854086830069</v>
      </c>
      <c r="FQ49" s="107">
        <f>IF(SeilBeregnet=0,FQ48,(Lwl)^FQ$3)</f>
        <v>1.8374951981506853</v>
      </c>
      <c r="FR49" s="107">
        <f t="shared" si="386"/>
        <v>1.1324172502559526</v>
      </c>
      <c r="FS49" s="141">
        <f t="shared" si="425"/>
        <v>-7.5768998122499376</v>
      </c>
      <c r="FT49" s="107">
        <f t="shared" si="374"/>
        <v>5.6294235506340886</v>
      </c>
      <c r="FU49" s="133">
        <f>IF(SeilBeregnet=0,FU48,(SeilBeregnet^0.5/(Depl^0.3333))^FU$3)</f>
        <v>3.3813314903486082</v>
      </c>
      <c r="FV49" s="133">
        <f>IF(SeilBeregnet=0,FV48,(Loa/Bredde)^FV$3)</f>
        <v>1.664854086830069</v>
      </c>
      <c r="FW49" s="107">
        <f>IF(SeilBeregnet=0,FW48,Lwl^FW$3)</f>
        <v>1.8374951981506853</v>
      </c>
      <c r="FY49">
        <v>0.95</v>
      </c>
      <c r="FZ49" s="62">
        <f t="shared" si="48"/>
        <v>1.1551352810182345</v>
      </c>
      <c r="GA49" s="62">
        <f t="shared" si="49"/>
        <v>2.0291986247835694</v>
      </c>
      <c r="GB49" s="107">
        <f t="shared" si="50"/>
        <v>1.1318511072889796</v>
      </c>
      <c r="GC49" s="440"/>
      <c r="GD49" s="17"/>
      <c r="GE49" s="442"/>
      <c r="GF49" s="462"/>
      <c r="GG49" s="17"/>
      <c r="GH49" s="17"/>
      <c r="GI49" s="17"/>
      <c r="GJ49" s="17"/>
      <c r="GL49" s="17"/>
      <c r="GM49" s="442"/>
      <c r="GN49" s="8"/>
      <c r="GO49" s="8"/>
      <c r="GP49" s="8"/>
      <c r="GQ49" s="8"/>
      <c r="GS49" s="17"/>
      <c r="GT49" s="17"/>
      <c r="GU49" s="17"/>
      <c r="GV49" s="629"/>
      <c r="GW49" s="17"/>
      <c r="GX49" s="17"/>
      <c r="GY49" s="17"/>
      <c r="GZ49" s="17"/>
    </row>
    <row r="50" spans="1:208" ht="15.6" x14ac:dyDescent="0.3">
      <c r="A50" s="60" t="s">
        <v>29</v>
      </c>
      <c r="B50" s="218"/>
      <c r="C50" s="14" t="str">
        <f>C48</f>
        <v>Gaffel</v>
      </c>
      <c r="G50" s="54"/>
      <c r="H50" s="204">
        <f>TBFavrundet</f>
        <v>114.5</v>
      </c>
      <c r="I50" s="63">
        <f>COUNTA(O50:AG50)</f>
        <v>3</v>
      </c>
      <c r="J50" s="222">
        <f>SUM(O50:AG50)</f>
        <v>107.2</v>
      </c>
      <c r="K50" s="116">
        <f>Seilareal/Depl^0.667/K$7</f>
        <v>1.2640213972792451</v>
      </c>
      <c r="L50" s="116">
        <f>Seilareal/Lwl/Lwl/L$7</f>
        <v>1.2515899191048383</v>
      </c>
      <c r="M50" s="92">
        <f>RiggF</f>
        <v>0.78125</v>
      </c>
      <c r="N50" s="242">
        <f>StHfaktor</f>
        <v>1.0027152827972585</v>
      </c>
      <c r="O50" s="143"/>
      <c r="P50" s="143"/>
      <c r="Q50" s="143"/>
      <c r="R50" s="165">
        <v>26.7</v>
      </c>
      <c r="S50" s="143"/>
      <c r="T50" s="143"/>
      <c r="U50" s="165">
        <v>24.5</v>
      </c>
      <c r="V50" s="559"/>
      <c r="W50" s="559"/>
      <c r="X50" s="165">
        <v>56</v>
      </c>
      <c r="Y50" s="143"/>
      <c r="Z50" s="143"/>
      <c r="AA50" s="143"/>
      <c r="AB50" s="143"/>
      <c r="AC50" s="143"/>
      <c r="AD50" s="143"/>
      <c r="AE50" s="143"/>
      <c r="AF50" s="143"/>
      <c r="AG50" s="551"/>
      <c r="AH50" s="557"/>
      <c r="AI50" s="557">
        <f t="shared" si="426"/>
        <v>11.65</v>
      </c>
      <c r="AJ50" s="337">
        <f t="shared" ref="AJ50:AL50" si="436" xml:space="preserve"> AJ49</f>
        <v>0</v>
      </c>
      <c r="AK50" s="339"/>
      <c r="AL50" s="337">
        <f t="shared" si="436"/>
        <v>0</v>
      </c>
      <c r="AM50" s="339"/>
      <c r="AN50" s="267" t="str">
        <f t="shared" ref="AN50" si="437" xml:space="preserve"> AN49</f>
        <v>Los</v>
      </c>
      <c r="AO50" s="45">
        <f>VLOOKUP(AN50,Skrogform!$1:$1048576,3,FALSE)</f>
        <v>0.97</v>
      </c>
      <c r="AP50" s="64">
        <f t="shared" ref="AP50:AZ50" si="438">AP49</f>
        <v>12.75</v>
      </c>
      <c r="AQ50" s="64">
        <f t="shared" si="438"/>
        <v>11.4</v>
      </c>
      <c r="AR50" s="64">
        <f t="shared" si="438"/>
        <v>4.5999999999999996</v>
      </c>
      <c r="AS50" s="64">
        <f t="shared" si="438"/>
        <v>2.1</v>
      </c>
      <c r="AT50" s="64"/>
      <c r="AU50" s="64">
        <f t="shared" si="438"/>
        <v>22</v>
      </c>
      <c r="AV50" s="64">
        <f t="shared" si="438"/>
        <v>0</v>
      </c>
      <c r="AW50" s="64">
        <f t="shared" si="438"/>
        <v>5</v>
      </c>
      <c r="AX50" s="256">
        <f>AX49</f>
        <v>0</v>
      </c>
      <c r="AY50" s="256">
        <f t="shared" si="438"/>
        <v>120</v>
      </c>
      <c r="AZ50" s="256">
        <f t="shared" si="438"/>
        <v>840</v>
      </c>
      <c r="BA50" s="256">
        <f t="shared" ref="BA50:BB50" si="439">BA49</f>
        <v>0</v>
      </c>
      <c r="BB50" s="256">
        <f t="shared" si="439"/>
        <v>0</v>
      </c>
      <c r="BC50" s="256"/>
      <c r="BD50" s="66"/>
      <c r="BE50" s="66"/>
      <c r="BF50" s="261"/>
      <c r="BG50" s="66"/>
      <c r="BH50" s="175"/>
      <c r="BI50" s="66"/>
      <c r="BJ50" s="66"/>
      <c r="BK50" s="65" t="str">
        <f t="shared" ref="BK50:BM50" si="440" xml:space="preserve"> BK49</f>
        <v>Seilrett</v>
      </c>
      <c r="BL50" s="267">
        <f t="shared" si="440"/>
        <v>3</v>
      </c>
      <c r="BM50" s="267">
        <f t="shared" si="440"/>
        <v>66</v>
      </c>
      <c r="BN50" s="45">
        <f t="shared" si="410"/>
        <v>1</v>
      </c>
      <c r="BO50" s="59"/>
      <c r="BP50" s="59"/>
      <c r="BR50" s="49">
        <f t="shared" si="432"/>
        <v>0</v>
      </c>
      <c r="BS50" s="49">
        <f t="shared" si="432"/>
        <v>0</v>
      </c>
      <c r="BT50" s="49">
        <f t="shared" si="432"/>
        <v>0</v>
      </c>
      <c r="BU50" s="49">
        <f t="shared" si="432"/>
        <v>26.7</v>
      </c>
      <c r="BV50" s="49">
        <f t="shared" si="432"/>
        <v>0</v>
      </c>
      <c r="BW50" s="49">
        <f t="shared" si="432"/>
        <v>0</v>
      </c>
      <c r="BX50" s="49">
        <f t="shared" si="432"/>
        <v>24.5</v>
      </c>
      <c r="BY50" s="549">
        <f>IF(COUNT(Q50:U50)&gt;1,MINA(Q50:U50)*BY$9,0)</f>
        <v>-12.25</v>
      </c>
      <c r="BZ50" s="85">
        <f t="shared" si="433"/>
        <v>0</v>
      </c>
      <c r="CA50" s="85">
        <f t="shared" si="433"/>
        <v>0</v>
      </c>
      <c r="CB50" s="85">
        <f t="shared" si="433"/>
        <v>44.800000000000004</v>
      </c>
      <c r="CC50" s="85">
        <f t="shared" si="433"/>
        <v>0</v>
      </c>
      <c r="CD50" s="85">
        <f t="shared" si="433"/>
        <v>0</v>
      </c>
      <c r="CE50" s="85">
        <f>IF(AC50=0,0,AC50*CE$9)</f>
        <v>0</v>
      </c>
      <c r="CF50" s="85">
        <f t="shared" si="434"/>
        <v>0</v>
      </c>
      <c r="CG50" s="85">
        <f t="shared" si="434"/>
        <v>0</v>
      </c>
      <c r="CH50" s="85">
        <f t="shared" si="435"/>
        <v>0</v>
      </c>
      <c r="CI50" s="85">
        <f t="shared" si="435"/>
        <v>0</v>
      </c>
      <c r="CJ50" s="85">
        <f t="shared" si="435"/>
        <v>0</v>
      </c>
      <c r="CK50" s="85">
        <f t="shared" si="435"/>
        <v>0</v>
      </c>
      <c r="CL50" s="100">
        <f>SUM(BR50:CK50)</f>
        <v>83.75</v>
      </c>
      <c r="CM50" s="50"/>
      <c r="CN50" s="104">
        <f>J50</f>
        <v>107.2</v>
      </c>
      <c r="CO50" s="101">
        <f>CL50/CN50</f>
        <v>0.78125</v>
      </c>
      <c r="CP50" s="51">
        <f>Seilareal/Lwl/Lwl</f>
        <v>0.82486919052016006</v>
      </c>
      <c r="CQ50" s="116">
        <f>Seilareal/Depl^0.667/K$7</f>
        <v>1.2640213972792451</v>
      </c>
      <c r="CR50" s="51">
        <f>Seilareal/Lwl/Lwl/SApRS1</f>
        <v>1.2515899191048383</v>
      </c>
      <c r="CS50" s="204"/>
      <c r="CT50" s="204">
        <f>(ROUND(TBF/CT$6,3)*CT$6)*CT$4</f>
        <v>114.5</v>
      </c>
      <c r="CU50" s="107">
        <f t="shared" si="83"/>
        <v>1.1450024670423473</v>
      </c>
      <c r="CV50" s="62">
        <f t="shared" si="13"/>
        <v>3.2650190330721265</v>
      </c>
      <c r="CW50" s="62">
        <f t="shared" si="84"/>
        <v>1.6201851746019651</v>
      </c>
      <c r="CX50" s="62">
        <f t="shared" si="15"/>
        <v>1.8374951981506853</v>
      </c>
      <c r="CY50" s="107">
        <f t="shared" si="85"/>
        <v>1.0027152827972585</v>
      </c>
      <c r="CZ50" s="168" t="str">
        <f t="shared" si="412"/>
        <v>-</v>
      </c>
      <c r="DA50" s="158"/>
      <c r="DB50" s="168" t="str">
        <f t="shared" si="413"/>
        <v>-</v>
      </c>
      <c r="DC50" s="160"/>
      <c r="DD50" s="190" t="s">
        <v>134</v>
      </c>
      <c r="DE50" s="62">
        <v>0.91</v>
      </c>
      <c r="DF50" s="62">
        <v>0.89</v>
      </c>
      <c r="DG50" s="62">
        <v>0.92</v>
      </c>
      <c r="DH50" s="150">
        <v>0.98</v>
      </c>
      <c r="DI50" s="62">
        <f t="shared" si="88"/>
        <v>2.0710896001352213</v>
      </c>
      <c r="DJ50" s="47">
        <f t="shared" si="89"/>
        <v>12.352941176470589</v>
      </c>
      <c r="DK50" s="48">
        <f t="shared" si="414"/>
        <v>0</v>
      </c>
      <c r="DM50" s="107">
        <f t="shared" si="381"/>
        <v>1.1235722738075591</v>
      </c>
      <c r="DN50" s="141" t="str">
        <f t="shared" si="415"/>
        <v>-</v>
      </c>
      <c r="DO50" s="107">
        <f t="shared" si="416"/>
        <v>4.9312056615842366</v>
      </c>
      <c r="DP50" s="133">
        <f>IF(SeilBeregnet=0,DP49,(SeilBeregnet^0.5/(Depl^0.3333))^DP$3*DP$7)</f>
        <v>3.2663515747541676</v>
      </c>
      <c r="DQ50" s="133">
        <f>IF(SeilBeregnet=0,DQ49,(SeilBeregnet^0.5/Lwl)^DQ$3*DQ$7)</f>
        <v>0</v>
      </c>
      <c r="DR50" s="133">
        <f>IF(SeilBeregnet=0,DR49,(0.1*Loa/Depl^0.3333)^DR$3*DR$7)</f>
        <v>0</v>
      </c>
      <c r="DS50" s="133">
        <f>IF(SeilBeregnet=0,DS49,((Loa)/Bredde)^DS$3*DS$7)</f>
        <v>1.664854086830069</v>
      </c>
      <c r="DT50" s="107">
        <f>IF(SeilBeregnet=0,DT49,(Lwl)^DT$3)</f>
        <v>1.8374951981506853</v>
      </c>
      <c r="DU50" s="133">
        <f>IF(SeilBeregnet=0,DU49,(Dypg/Loa)^DU$3*5*DU$7)</f>
        <v>2.0291986247835694</v>
      </c>
      <c r="DW50" s="107">
        <f t="shared" si="417"/>
        <v>1.1804149144766465</v>
      </c>
      <c r="DX50" s="107">
        <f t="shared" si="93"/>
        <v>1.1393308792296712</v>
      </c>
      <c r="DZ50" s="107">
        <f t="shared" si="94"/>
        <v>1.107412397118793</v>
      </c>
      <c r="EA50" s="122" t="str">
        <f t="shared" si="418"/>
        <v>-</v>
      </c>
      <c r="EB50" s="107">
        <f t="shared" si="419"/>
        <v>1.1448696037251442</v>
      </c>
      <c r="EC50" s="122" t="str">
        <f t="shared" si="420"/>
        <v>-</v>
      </c>
      <c r="ED50" s="107">
        <f>IF(SeilBeregnet=0,ED49,SeilBeregnet^0.5/Depl^0.33333)</f>
        <v>3.2660486958560022</v>
      </c>
      <c r="EE50" s="107">
        <f>IF(SeilBeregnet=0,EE49,Lwl^0.3333)</f>
        <v>2.2504345510197821</v>
      </c>
      <c r="EF50" s="107">
        <f>IF(SeilBeregnet=0,EF49,((Loa+Lwl)/Bredde)^EF$3)</f>
        <v>1.5137000520175456</v>
      </c>
      <c r="EH50" s="107">
        <f t="shared" si="421"/>
        <v>1.1306572880995589</v>
      </c>
      <c r="EJ50" s="107">
        <f>IF(SeilBeregnet=0,EJ49,SeilBeregnet^0.5/Depl^0.33333)</f>
        <v>3.2660486958560022</v>
      </c>
      <c r="EK50" s="107">
        <f>IF(SeilBeregnet=0,EK49,Lwl^EK$3)</f>
        <v>2.250598857644956</v>
      </c>
      <c r="EL50" s="107">
        <f>IF(SeilBeregnet=0,EL49,((Loa+Lwl)/Bredde)^EL$3)</f>
        <v>1.7379172576819111</v>
      </c>
      <c r="EM50" s="107">
        <f t="shared" si="422"/>
        <v>1.1372453911619969</v>
      </c>
      <c r="EO50" s="107">
        <f>IF(SeilBeregnet=0,EO49,(EP50*EQ50)^EO$3)</f>
        <v>4.9438180808090673</v>
      </c>
      <c r="EP50" s="107">
        <f>IF(SeilBeregnet=0,EP49,SeilBeregnet^0.5/Depl^0.33333)</f>
        <v>3.2660486958560022</v>
      </c>
      <c r="EQ50" s="107">
        <f>IF(SeilBeregnet=0,EQ49,((Loa+Lwl)/Bredde)^EQ$3)</f>
        <v>1.5137000520175456</v>
      </c>
      <c r="ER50" s="107">
        <f>IF(SeilBeregnet=0,ER49,Lwl^ER$3)</f>
        <v>1.8374951981506853</v>
      </c>
      <c r="ES50" s="107">
        <f t="shared" si="382"/>
        <v>1.1392123413960422</v>
      </c>
      <c r="EU50" s="107">
        <f>IF(SeilBeregnet=0,EU49,(EV:EV*EW:EW)^EU$3)</f>
        <v>1.7773065215040975</v>
      </c>
      <c r="EV50" s="107">
        <f>IF(SeilBeregnet=0,EV49,SeilBeregnet^0.5/Depl^0.33333)</f>
        <v>3.2660486958560022</v>
      </c>
      <c r="EW50" s="107">
        <f>IF(SeilBeregnet=0,EW49,((Loa+Lwl)/Bredde/6)^EW$3)</f>
        <v>0.96716821013383469</v>
      </c>
      <c r="EX50" s="107">
        <f>IF(SeilBeregnet=0,EX49,(Lwl*0.7+Loa*0.3)^EX$3)</f>
        <v>1.8536020361776409</v>
      </c>
      <c r="EY50" s="107">
        <f t="shared" si="383"/>
        <v>1.1078046618710571</v>
      </c>
      <c r="FA50" s="107">
        <f t="shared" si="371"/>
        <v>1.7773889293631882</v>
      </c>
      <c r="FB50" s="107">
        <f>IF(SeilBeregnet=0,FB49,SeilBeregnet^0.5/Depl^0.3333)</f>
        <v>3.2663515747541676</v>
      </c>
      <c r="FC50" s="107">
        <f>IF(SeilBeregnet=0,FC49,((Loa+Lwl)/Bredde/6)^FC$3)</f>
        <v>0.96716821013383469</v>
      </c>
      <c r="FD50" s="107">
        <f>IF(SeilBeregnet=0,FD49,(Lwl*0.7+Loa*0.3)^FD$3)</f>
        <v>1.8536020361776409</v>
      </c>
      <c r="FE50" s="107">
        <f t="shared" si="384"/>
        <v>1.1065999343672919</v>
      </c>
      <c r="FF50" s="141" t="str">
        <f t="shared" si="423"/>
        <v>-</v>
      </c>
      <c r="FG50" s="107">
        <f t="shared" si="372"/>
        <v>3.0553921243699067</v>
      </c>
      <c r="FH50" s="133">
        <f>IF(SeilBeregnet=0,FH49,(SeilBeregnet^0.5/(Depl^0.3333))^FH$3)</f>
        <v>3.2663515747541676</v>
      </c>
      <c r="FI50" s="133">
        <f>IF(SeilBeregnet=0,FI49,((Loa+Lwl)/Bredde/6)^FI$3)</f>
        <v>0.93541434669348533</v>
      </c>
      <c r="FJ50" s="107">
        <f>IF(SeilBeregnet=0,FJ49,(Lwl*0.07+Loa*0.03)^FJ$3)</f>
        <v>1.0423570253996639</v>
      </c>
      <c r="FK50" s="107">
        <f t="shared" si="385"/>
        <v>1.144469766234737</v>
      </c>
      <c r="FL50" s="141" t="str">
        <f t="shared" si="424"/>
        <v>-</v>
      </c>
      <c r="FM50" s="107">
        <f t="shared" si="373"/>
        <v>5.2339690483264789</v>
      </c>
      <c r="FN50" s="133">
        <f>IF(SeilBeregnet=0,FN49,(SeilBeregnet^0.5/(Depl^0.3333))^FN$3)</f>
        <v>3.2663515747541676</v>
      </c>
      <c r="FO50" s="133">
        <f>IF(SeilBeregnet=0,FO49,(SeilBeregnet^0.5/Lwl*FO$7)^FO$3)</f>
        <v>0.80276338674224235</v>
      </c>
      <c r="FP50" s="133">
        <f>IF(SeilBeregnet=0,FP49,((Loa)/Bredde)^FP$3*FP$7)</f>
        <v>1.664854086830069</v>
      </c>
      <c r="FQ50" s="107">
        <f>IF(SeilBeregnet=0,FQ49,(Lwl)^FQ$3)</f>
        <v>1.8374951981506853</v>
      </c>
      <c r="FR50" s="107">
        <f t="shared" si="386"/>
        <v>1.1099057546763225</v>
      </c>
      <c r="FS50" s="141" t="str">
        <f t="shared" si="425"/>
        <v>-</v>
      </c>
      <c r="FT50" s="107">
        <f t="shared" si="374"/>
        <v>5.4379987682533075</v>
      </c>
      <c r="FU50" s="133">
        <f>IF(SeilBeregnet=0,FU49,(SeilBeregnet^0.5/(Depl^0.3333))^FU$3)</f>
        <v>3.2663515747541676</v>
      </c>
      <c r="FV50" s="133">
        <f>IF(SeilBeregnet=0,FV49,(Loa/Bredde)^FV$3)</f>
        <v>1.664854086830069</v>
      </c>
      <c r="FW50" s="107">
        <f>IF(SeilBeregnet=0,FW49,Lwl^FW$3)</f>
        <v>1.8374951981506853</v>
      </c>
      <c r="FY50">
        <v>0.95</v>
      </c>
      <c r="FZ50" s="62">
        <f t="shared" si="48"/>
        <v>1.1363645388914891</v>
      </c>
      <c r="GA50" s="62">
        <f t="shared" si="49"/>
        <v>2.0291986247835694</v>
      </c>
      <c r="GB50" s="107">
        <f t="shared" si="50"/>
        <v>1.1188735993339942</v>
      </c>
      <c r="GC50" s="440"/>
      <c r="GD50" s="17"/>
      <c r="GE50" s="442"/>
      <c r="GF50" s="462"/>
      <c r="GG50" s="17"/>
      <c r="GH50" s="17"/>
      <c r="GI50" s="17"/>
      <c r="GJ50" s="17"/>
      <c r="GL50" s="17"/>
      <c r="GM50" s="442"/>
      <c r="GN50" s="8"/>
      <c r="GO50" s="8"/>
      <c r="GP50" s="8"/>
      <c r="GQ50" s="8"/>
      <c r="GS50" s="17"/>
      <c r="GT50" s="17"/>
      <c r="GU50" s="17"/>
      <c r="GV50" s="629"/>
      <c r="GW50" s="17"/>
      <c r="GX50" s="17"/>
      <c r="GY50" s="17"/>
      <c r="GZ50" s="17"/>
    </row>
    <row r="51" spans="1:208" ht="15.6" x14ac:dyDescent="0.3">
      <c r="A51" s="60" t="s">
        <v>110</v>
      </c>
      <c r="B51" s="218"/>
      <c r="C51" s="14" t="str">
        <f>C48</f>
        <v>Gaffel</v>
      </c>
      <c r="G51" s="54"/>
      <c r="H51" s="204">
        <f>TBFavrundet</f>
        <v>111.5</v>
      </c>
      <c r="I51" s="63">
        <f>COUNTA(O51:AG51)</f>
        <v>3</v>
      </c>
      <c r="J51" s="222">
        <f>SUM(O51:AG51)</f>
        <v>95.7</v>
      </c>
      <c r="K51" s="116">
        <f>Seilareal/Depl^0.667/K$7</f>
        <v>1.1284220869367887</v>
      </c>
      <c r="L51" s="116">
        <f>Seilareal/Lwl/Lwl/L$7</f>
        <v>1.1173242094993754</v>
      </c>
      <c r="M51" s="92">
        <f>RiggF</f>
        <v>0.8035527690700105</v>
      </c>
      <c r="N51" s="242">
        <f>StHfaktor</f>
        <v>1.0027152827972585</v>
      </c>
      <c r="O51" s="143"/>
      <c r="P51" s="143"/>
      <c r="Q51" s="143"/>
      <c r="R51" s="143"/>
      <c r="S51" s="165">
        <v>15.2</v>
      </c>
      <c r="T51" s="143"/>
      <c r="U51" s="165">
        <v>24.5</v>
      </c>
      <c r="V51" s="559"/>
      <c r="W51" s="559"/>
      <c r="X51" s="165">
        <v>56</v>
      </c>
      <c r="Y51" s="143"/>
      <c r="Z51" s="143"/>
      <c r="AA51" s="143"/>
      <c r="AB51" s="143"/>
      <c r="AC51" s="143"/>
      <c r="AD51" s="143"/>
      <c r="AE51" s="143"/>
      <c r="AF51" s="143"/>
      <c r="AG51" s="551"/>
      <c r="AH51" s="557"/>
      <c r="AI51" s="557">
        <f t="shared" si="426"/>
        <v>11.65</v>
      </c>
      <c r="AJ51" s="337">
        <f t="shared" ref="AJ51:AL53" si="441" xml:space="preserve"> AJ50</f>
        <v>0</v>
      </c>
      <c r="AK51" s="339"/>
      <c r="AL51" s="337">
        <f t="shared" si="441"/>
        <v>0</v>
      </c>
      <c r="AM51" s="339"/>
      <c r="AN51" s="267" t="str">
        <f t="shared" ref="AN51" si="442" xml:space="preserve"> AN50</f>
        <v>Los</v>
      </c>
      <c r="AO51" s="45">
        <f>VLOOKUP(AN51,Skrogform!$1:$1048576,3,FALSE)</f>
        <v>0.97</v>
      </c>
      <c r="AP51" s="64">
        <f t="shared" ref="AP51:AZ51" si="443">AP50</f>
        <v>12.75</v>
      </c>
      <c r="AQ51" s="64">
        <f t="shared" si="443"/>
        <v>11.4</v>
      </c>
      <c r="AR51" s="64">
        <f t="shared" si="443"/>
        <v>4.5999999999999996</v>
      </c>
      <c r="AS51" s="64">
        <f t="shared" si="443"/>
        <v>2.1</v>
      </c>
      <c r="AT51" s="64"/>
      <c r="AU51" s="64">
        <f t="shared" si="443"/>
        <v>22</v>
      </c>
      <c r="AV51" s="64">
        <f t="shared" si="443"/>
        <v>0</v>
      </c>
      <c r="AW51" s="64">
        <f t="shared" si="443"/>
        <v>5</v>
      </c>
      <c r="AX51" s="256">
        <f>AX50</f>
        <v>0</v>
      </c>
      <c r="AY51" s="256">
        <f t="shared" si="443"/>
        <v>120</v>
      </c>
      <c r="AZ51" s="256">
        <f t="shared" si="443"/>
        <v>840</v>
      </c>
      <c r="BA51" s="256">
        <f t="shared" ref="BA51:BB51" si="444">BA50</f>
        <v>0</v>
      </c>
      <c r="BB51" s="256">
        <f t="shared" si="444"/>
        <v>0</v>
      </c>
      <c r="BC51" s="256"/>
      <c r="BD51" s="66"/>
      <c r="BE51" s="66"/>
      <c r="BF51" s="261"/>
      <c r="BG51" s="66"/>
      <c r="BH51" s="175"/>
      <c r="BI51" s="66"/>
      <c r="BJ51" s="66"/>
      <c r="BK51" s="65" t="str">
        <f t="shared" ref="BK51:BM51" si="445" xml:space="preserve"> BK50</f>
        <v>Seilrett</v>
      </c>
      <c r="BL51" s="267">
        <f t="shared" si="445"/>
        <v>3</v>
      </c>
      <c r="BM51" s="267">
        <f t="shared" si="445"/>
        <v>66</v>
      </c>
      <c r="BN51" s="45">
        <f t="shared" si="410"/>
        <v>1</v>
      </c>
      <c r="BO51" s="59"/>
      <c r="BP51" s="59"/>
      <c r="BR51" s="49">
        <f t="shared" si="432"/>
        <v>0</v>
      </c>
      <c r="BS51" s="49">
        <f t="shared" si="432"/>
        <v>0</v>
      </c>
      <c r="BT51" s="49">
        <f t="shared" si="432"/>
        <v>0</v>
      </c>
      <c r="BU51" s="49">
        <f t="shared" si="432"/>
        <v>0</v>
      </c>
      <c r="BV51" s="49">
        <f t="shared" si="432"/>
        <v>15.2</v>
      </c>
      <c r="BW51" s="49">
        <f t="shared" si="432"/>
        <v>0</v>
      </c>
      <c r="BX51" s="49">
        <f t="shared" si="432"/>
        <v>24.5</v>
      </c>
      <c r="BY51" s="549">
        <f>IF(COUNT(Q51:U51)&gt;1,MINA(Q51:U51)*BY$9,0)</f>
        <v>-7.6</v>
      </c>
      <c r="BZ51" s="85">
        <f t="shared" si="433"/>
        <v>0</v>
      </c>
      <c r="CA51" s="85">
        <f t="shared" si="433"/>
        <v>0</v>
      </c>
      <c r="CB51" s="85">
        <f t="shared" si="433"/>
        <v>44.800000000000004</v>
      </c>
      <c r="CC51" s="85">
        <f t="shared" si="433"/>
        <v>0</v>
      </c>
      <c r="CD51" s="85">
        <f t="shared" si="433"/>
        <v>0</v>
      </c>
      <c r="CE51" s="85">
        <f>IF(AC51=0,0,AC51*CE$9)</f>
        <v>0</v>
      </c>
      <c r="CF51" s="85">
        <f t="shared" si="434"/>
        <v>0</v>
      </c>
      <c r="CG51" s="85">
        <f t="shared" si="434"/>
        <v>0</v>
      </c>
      <c r="CH51" s="85">
        <f t="shared" si="435"/>
        <v>0</v>
      </c>
      <c r="CI51" s="85">
        <f t="shared" si="435"/>
        <v>0</v>
      </c>
      <c r="CJ51" s="85">
        <f t="shared" si="435"/>
        <v>0</v>
      </c>
      <c r="CK51" s="85">
        <f t="shared" si="435"/>
        <v>0</v>
      </c>
      <c r="CL51" s="100">
        <f>SUM(BR51:CK51)</f>
        <v>76.900000000000006</v>
      </c>
      <c r="CM51" s="50"/>
      <c r="CN51" s="104">
        <f>J51</f>
        <v>95.7</v>
      </c>
      <c r="CO51" s="101">
        <f>CL51/CN51</f>
        <v>0.8035527690700105</v>
      </c>
      <c r="CP51" s="51">
        <f>Seilareal/Lwl/Lwl</f>
        <v>0.73638042474607579</v>
      </c>
      <c r="CQ51" s="116">
        <f>Seilareal/Depl^0.667/K$7</f>
        <v>1.1284220869367887</v>
      </c>
      <c r="CR51" s="51">
        <f>Seilareal/Lwl/Lwl/SApRS1</f>
        <v>1.1173242094993754</v>
      </c>
      <c r="CS51" s="204"/>
      <c r="CT51" s="204">
        <f>(ROUND(TBF/CT$6,3)*CT$6)*CT$4</f>
        <v>111.5</v>
      </c>
      <c r="CU51" s="107">
        <f t="shared" si="83"/>
        <v>1.1130392131349778</v>
      </c>
      <c r="CV51" s="62">
        <f t="shared" si="13"/>
        <v>3.1286463815069467</v>
      </c>
      <c r="CW51" s="62">
        <f t="shared" si="84"/>
        <v>1.6201851746019651</v>
      </c>
      <c r="CX51" s="62">
        <f t="shared" si="15"/>
        <v>1.8374951981506853</v>
      </c>
      <c r="CY51" s="107">
        <f t="shared" si="85"/>
        <v>1.0027152827972585</v>
      </c>
      <c r="CZ51" s="168" t="str">
        <f t="shared" si="412"/>
        <v>-</v>
      </c>
      <c r="DA51" s="158"/>
      <c r="DB51" s="168" t="str">
        <f t="shared" si="413"/>
        <v>-</v>
      </c>
      <c r="DC51" s="160"/>
      <c r="DD51" s="190" t="s">
        <v>134</v>
      </c>
      <c r="DE51" s="62">
        <v>0.88</v>
      </c>
      <c r="DF51" s="62">
        <v>0.87</v>
      </c>
      <c r="DG51" s="62">
        <v>0.89</v>
      </c>
      <c r="DH51" s="150">
        <v>0.93</v>
      </c>
      <c r="DI51" s="62">
        <f t="shared" si="88"/>
        <v>2.0710896001352213</v>
      </c>
      <c r="DJ51" s="47">
        <f t="shared" si="89"/>
        <v>12.352941176470589</v>
      </c>
      <c r="DK51" s="48">
        <f t="shared" si="414"/>
        <v>0</v>
      </c>
      <c r="DM51" s="107">
        <f t="shared" si="381"/>
        <v>1.0924871648591563</v>
      </c>
      <c r="DN51" s="141" t="str">
        <f t="shared" si="415"/>
        <v>-</v>
      </c>
      <c r="DO51" s="107">
        <f t="shared" si="416"/>
        <v>4.7947773526888353</v>
      </c>
      <c r="DP51" s="133">
        <f>IF(SeilBeregnet=0,DP49,(SeilBeregnet^0.5/(Depl^0.3333))^DP$3*DP$7)</f>
        <v>3.1299232658587663</v>
      </c>
      <c r="DQ51" s="133">
        <f>IF(SeilBeregnet=0,DQ49,(SeilBeregnet^0.5/Lwl)^DQ$3*DQ$7)</f>
        <v>0</v>
      </c>
      <c r="DR51" s="133">
        <f>IF(SeilBeregnet=0,DR49,(0.1*Loa/Depl^0.3333)^DR$3*DR$7)</f>
        <v>0</v>
      </c>
      <c r="DS51" s="133">
        <f>IF(SeilBeregnet=0,DS49,((Loa)/Bredde)^DS$3*DS$7)</f>
        <v>1.664854086830069</v>
      </c>
      <c r="DT51" s="107">
        <f>IF(SeilBeregnet=0,DT49,(Lwl)^DT$3)</f>
        <v>1.8374951981506853</v>
      </c>
      <c r="DU51" s="133">
        <f>IF(SeilBeregnet=0,DU49,(Dypg/Loa)^DU$3*5*DU$7)</f>
        <v>2.0291986247835694</v>
      </c>
      <c r="DW51" s="107">
        <f t="shared" si="417"/>
        <v>1.1474631063247192</v>
      </c>
      <c r="DX51" s="107">
        <f t="shared" si="93"/>
        <v>1.1019458538346025</v>
      </c>
      <c r="DZ51" s="107">
        <f t="shared" si="94"/>
        <v>1.0784306026635773</v>
      </c>
      <c r="EA51" s="122" t="str">
        <f t="shared" si="418"/>
        <v>-</v>
      </c>
      <c r="EB51" s="107">
        <f t="shared" si="419"/>
        <v>1.1087411510718819</v>
      </c>
      <c r="EC51" s="122" t="str">
        <f t="shared" si="420"/>
        <v>-</v>
      </c>
      <c r="ED51" s="107">
        <f>IF(SeilBeregnet=0,ED49,SeilBeregnet^0.5/Depl^0.33333)</f>
        <v>3.1296330375448789</v>
      </c>
      <c r="EE51" s="107">
        <f>IF(SeilBeregnet=0,EE49,Lwl^0.3333)</f>
        <v>2.2504345510197821</v>
      </c>
      <c r="EF51" s="107">
        <f>IF(SeilBeregnet=0,EF49,((Loa+Lwl)/Bredde)^EF$3)</f>
        <v>1.5137000520175456</v>
      </c>
      <c r="EH51" s="107">
        <f t="shared" si="421"/>
        <v>1.0985243837260574</v>
      </c>
      <c r="EJ51" s="107">
        <f>IF(SeilBeregnet=0,EJ49,SeilBeregnet^0.5/Depl^0.33333)</f>
        <v>3.1296330375448789</v>
      </c>
      <c r="EK51" s="107">
        <f>IF(SeilBeregnet=0,EK49,Lwl^EK$3)</f>
        <v>2.250598857644956</v>
      </c>
      <c r="EL51" s="107">
        <f>IF(SeilBeregnet=0,EL49,((Loa+Lwl)/Bredde)^EL$3)</f>
        <v>1.7379172576819111</v>
      </c>
      <c r="EM51" s="107">
        <f t="shared" si="422"/>
        <v>1.1034264582550353</v>
      </c>
      <c r="EO51" s="107">
        <f>IF(SeilBeregnet=0,EO49,(EP51*EQ51)^EO$3)</f>
        <v>4.7373256917275128</v>
      </c>
      <c r="EP51" s="107">
        <f>IF(SeilBeregnet=0,EP49,SeilBeregnet^0.5/Depl^0.33333)</f>
        <v>3.1296330375448789</v>
      </c>
      <c r="EQ51" s="107">
        <f>IF(SeilBeregnet=0,EQ49,((Loa+Lwl)/Bredde)^EQ$3)</f>
        <v>1.5137000520175456</v>
      </c>
      <c r="ER51" s="107">
        <f>IF(SeilBeregnet=0,ER49,Lwl^ER$3)</f>
        <v>1.8374951981506853</v>
      </c>
      <c r="ES51" s="107">
        <f t="shared" si="382"/>
        <v>1.1057550281023512</v>
      </c>
      <c r="EU51" s="107">
        <f>IF(SeilBeregnet=0,EU49,(EV:EV*EW:EW)^EU$3)</f>
        <v>1.7397935461709233</v>
      </c>
      <c r="EV51" s="107">
        <f>IF(SeilBeregnet=0,EV49,SeilBeregnet^0.5/Depl^0.33333)</f>
        <v>3.1296330375448789</v>
      </c>
      <c r="EW51" s="107">
        <f>IF(SeilBeregnet=0,EW49,((Loa+Lwl)/Bredde/6)^EW$3)</f>
        <v>0.96716821013383469</v>
      </c>
      <c r="EX51" s="107">
        <f>IF(SeilBeregnet=0,EX49,(Lwl*0.7+Loa*0.3)^EX$3)</f>
        <v>1.8536020361776409</v>
      </c>
      <c r="EY51" s="107">
        <f t="shared" si="383"/>
        <v>1.0844226236846584</v>
      </c>
      <c r="FA51" s="107">
        <f t="shared" si="371"/>
        <v>1.7398742146767017</v>
      </c>
      <c r="FB51" s="107">
        <f>IF(SeilBeregnet=0,FB49,SeilBeregnet^0.5/Depl^0.3333)</f>
        <v>3.1299232658587663</v>
      </c>
      <c r="FC51" s="107">
        <f>IF(SeilBeregnet=0,FC49,((Loa+Lwl)/Bredde/6)^FC$3)</f>
        <v>0.96716821013383469</v>
      </c>
      <c r="FD51" s="107">
        <f>IF(SeilBeregnet=0,FD49,(Lwl*0.7+Loa*0.3)^FD$3)</f>
        <v>1.8536020361776409</v>
      </c>
      <c r="FE51" s="107">
        <f t="shared" si="384"/>
        <v>1.0786652148613727</v>
      </c>
      <c r="FF51" s="141" t="str">
        <f t="shared" si="423"/>
        <v>-</v>
      </c>
      <c r="FG51" s="107">
        <f t="shared" si="372"/>
        <v>2.927775126934018</v>
      </c>
      <c r="FH51" s="133">
        <f>IF(SeilBeregnet=0,FH49,(SeilBeregnet^0.5/(Depl^0.3333))^FH$3)</f>
        <v>3.1299232658587663</v>
      </c>
      <c r="FI51" s="133">
        <f>IF(SeilBeregnet=0,FI49,((Loa+Lwl)/Bredde/6)^FI$3)</f>
        <v>0.93541434669348533</v>
      </c>
      <c r="FJ51" s="107">
        <f>IF(SeilBeregnet=0,FJ49,(Lwl*0.07+Loa*0.03)^FJ$3)</f>
        <v>1.0423570253996639</v>
      </c>
      <c r="FK51" s="107">
        <f t="shared" si="385"/>
        <v>1.1073064294100319</v>
      </c>
      <c r="FL51" s="141" t="str">
        <f t="shared" si="424"/>
        <v>-</v>
      </c>
      <c r="FM51" s="107">
        <f t="shared" si="373"/>
        <v>5.0640110814044057</v>
      </c>
      <c r="FN51" s="133">
        <f>IF(SeilBeregnet=0,FN49,(SeilBeregnet^0.5/(Depl^0.3333))^FN$3)</f>
        <v>3.1299232658587663</v>
      </c>
      <c r="FO51" s="133">
        <f>IF(SeilBeregnet=0,FO49,(SeilBeregnet^0.5/Lwl*FO$7)^FO$3)</f>
        <v>0.76923372871557028</v>
      </c>
      <c r="FP51" s="133">
        <f>IF(SeilBeregnet=0,FP49,((Loa)/Bredde)^FP$3*FP$7)</f>
        <v>1.664854086830069</v>
      </c>
      <c r="FQ51" s="107">
        <f>IF(SeilBeregnet=0,FQ49,(Lwl)^FQ$3)</f>
        <v>1.8374951981506853</v>
      </c>
      <c r="FR51" s="107">
        <f t="shared" si="386"/>
        <v>1.0831949569099708</v>
      </c>
      <c r="FS51" s="141" t="str">
        <f t="shared" si="425"/>
        <v>-</v>
      </c>
      <c r="FT51" s="107">
        <f t="shared" si="374"/>
        <v>5.2108655406294835</v>
      </c>
      <c r="FU51" s="133">
        <f>IF(SeilBeregnet=0,FU49,(SeilBeregnet^0.5/(Depl^0.3333))^FU$3)</f>
        <v>3.1299232658587663</v>
      </c>
      <c r="FV51" s="133">
        <f>IF(SeilBeregnet=0,FV49,(Loa/Bredde)^FV$3)</f>
        <v>1.664854086830069</v>
      </c>
      <c r="FW51" s="107">
        <f>IF(SeilBeregnet=0,FW49,Lwl^FW$3)</f>
        <v>1.8374951981506853</v>
      </c>
      <c r="FY51">
        <v>0.95</v>
      </c>
      <c r="FZ51" s="62">
        <f t="shared" si="48"/>
        <v>1.1140922960234716</v>
      </c>
      <c r="GA51" s="62">
        <f t="shared" si="49"/>
        <v>2.0291986247835694</v>
      </c>
      <c r="GB51" s="107">
        <f t="shared" si="50"/>
        <v>1.1030739127258948</v>
      </c>
      <c r="GC51" s="440"/>
      <c r="GD51" s="17"/>
      <c r="GE51" s="442"/>
      <c r="GF51" s="462"/>
      <c r="GG51" s="17"/>
      <c r="GH51" s="17"/>
      <c r="GI51" s="17"/>
      <c r="GJ51" s="17"/>
      <c r="GL51" s="17"/>
      <c r="GM51" s="442"/>
      <c r="GN51" s="8"/>
      <c r="GO51" s="8"/>
      <c r="GP51" s="8"/>
      <c r="GQ51" s="8"/>
      <c r="GS51" s="17"/>
      <c r="GT51" s="17"/>
      <c r="GU51" s="17"/>
      <c r="GV51" s="629"/>
      <c r="GW51" s="17"/>
      <c r="GX51" s="17"/>
      <c r="GY51" s="17"/>
      <c r="GZ51" s="17"/>
    </row>
    <row r="52" spans="1:208" ht="15.6" x14ac:dyDescent="0.3">
      <c r="A52" s="60" t="s">
        <v>114</v>
      </c>
      <c r="B52" s="218"/>
      <c r="C52" s="14" t="str">
        <f>C49</f>
        <v>Gaffel</v>
      </c>
      <c r="G52" s="54"/>
      <c r="H52" s="204">
        <f>TBFavrundet</f>
        <v>107</v>
      </c>
      <c r="I52" s="63">
        <f>COUNTA(O52:AG52)</f>
        <v>3</v>
      </c>
      <c r="J52" s="222">
        <f>SUM(O52:AG52)</f>
        <v>86.4</v>
      </c>
      <c r="K52" s="116">
        <f>Seilareal/Depl^0.667/K$7</f>
        <v>1.0187635142250633</v>
      </c>
      <c r="L52" s="116">
        <f>Seilareal/Lwl/Lwl/L$7</f>
        <v>1.0087441139053921</v>
      </c>
      <c r="M52" s="92">
        <f>RiggF</f>
        <v>0.79312500000000008</v>
      </c>
      <c r="N52" s="242">
        <f>StHfaktor</f>
        <v>1.0027152827972585</v>
      </c>
      <c r="O52" s="143"/>
      <c r="P52" s="143"/>
      <c r="Q52" s="143"/>
      <c r="R52" s="143"/>
      <c r="S52" s="165">
        <v>15.2</v>
      </c>
      <c r="T52" s="143"/>
      <c r="U52" s="165">
        <v>24.5</v>
      </c>
      <c r="V52" s="559"/>
      <c r="W52" s="559"/>
      <c r="X52" s="144"/>
      <c r="Y52" s="180">
        <v>46.7</v>
      </c>
      <c r="Z52" s="143"/>
      <c r="AA52" s="143"/>
      <c r="AB52" s="143"/>
      <c r="AC52" s="143"/>
      <c r="AD52" s="143"/>
      <c r="AE52" s="143"/>
      <c r="AF52" s="143"/>
      <c r="AG52" s="551"/>
      <c r="AH52" s="557"/>
      <c r="AI52" s="557">
        <f t="shared" si="426"/>
        <v>11.65</v>
      </c>
      <c r="AJ52" s="337">
        <f t="shared" si="441"/>
        <v>0</v>
      </c>
      <c r="AK52" s="339"/>
      <c r="AL52" s="337">
        <f t="shared" si="441"/>
        <v>0</v>
      </c>
      <c r="AM52" s="339"/>
      <c r="AN52" s="267" t="str">
        <f t="shared" ref="AN52" si="446" xml:space="preserve"> AN51</f>
        <v>Los</v>
      </c>
      <c r="AO52" s="45">
        <f>VLOOKUP(AN52,Skrogform!$1:$1048576,3,FALSE)</f>
        <v>0.97</v>
      </c>
      <c r="AP52" s="64">
        <f t="shared" ref="AP52:AZ52" si="447">AP51</f>
        <v>12.75</v>
      </c>
      <c r="AQ52" s="64">
        <f t="shared" si="447"/>
        <v>11.4</v>
      </c>
      <c r="AR52" s="64">
        <f t="shared" si="447"/>
        <v>4.5999999999999996</v>
      </c>
      <c r="AS52" s="64">
        <f t="shared" si="447"/>
        <v>2.1</v>
      </c>
      <c r="AT52" s="64"/>
      <c r="AU52" s="64">
        <f t="shared" si="447"/>
        <v>22</v>
      </c>
      <c r="AV52" s="64">
        <f t="shared" si="447"/>
        <v>0</v>
      </c>
      <c r="AW52" s="64">
        <f t="shared" si="447"/>
        <v>5</v>
      </c>
      <c r="AX52" s="256">
        <f>AX51</f>
        <v>0</v>
      </c>
      <c r="AY52" s="256">
        <f t="shared" si="447"/>
        <v>120</v>
      </c>
      <c r="AZ52" s="256">
        <f t="shared" si="447"/>
        <v>840</v>
      </c>
      <c r="BA52" s="256">
        <f t="shared" ref="BA52:BB52" si="448">BA51</f>
        <v>0</v>
      </c>
      <c r="BB52" s="256">
        <f t="shared" si="448"/>
        <v>0</v>
      </c>
      <c r="BC52" s="256"/>
      <c r="BD52" s="66"/>
      <c r="BE52" s="66"/>
      <c r="BF52" s="261"/>
      <c r="BG52" s="66"/>
      <c r="BH52" s="175"/>
      <c r="BI52" s="66"/>
      <c r="BJ52" s="66"/>
      <c r="BK52" s="65" t="str">
        <f t="shared" ref="BK52:BM52" si="449" xml:space="preserve"> BK51</f>
        <v>Seilrett</v>
      </c>
      <c r="BL52" s="267">
        <f t="shared" si="449"/>
        <v>3</v>
      </c>
      <c r="BM52" s="267">
        <f t="shared" si="449"/>
        <v>66</v>
      </c>
      <c r="BN52" s="45">
        <f t="shared" si="410"/>
        <v>1</v>
      </c>
      <c r="BO52" s="59"/>
      <c r="BP52" s="59"/>
      <c r="BR52" s="49">
        <f t="shared" si="432"/>
        <v>0</v>
      </c>
      <c r="BS52" s="49">
        <f t="shared" si="432"/>
        <v>0</v>
      </c>
      <c r="BT52" s="49">
        <f t="shared" si="432"/>
        <v>0</v>
      </c>
      <c r="BU52" s="49">
        <f t="shared" si="432"/>
        <v>0</v>
      </c>
      <c r="BV52" s="49">
        <f t="shared" si="432"/>
        <v>15.2</v>
      </c>
      <c r="BW52" s="49">
        <f t="shared" si="432"/>
        <v>0</v>
      </c>
      <c r="BX52" s="49">
        <f t="shared" si="432"/>
        <v>24.5</v>
      </c>
      <c r="BY52" s="549">
        <f>IF(COUNT(Q52:U52)&gt;1,MINA(Q52:U52)*BY$9,0)</f>
        <v>-7.6</v>
      </c>
      <c r="BZ52" s="85">
        <f t="shared" si="433"/>
        <v>0</v>
      </c>
      <c r="CA52" s="85">
        <f t="shared" si="433"/>
        <v>0</v>
      </c>
      <c r="CB52" s="85">
        <f t="shared" si="433"/>
        <v>0</v>
      </c>
      <c r="CC52" s="85">
        <f t="shared" si="433"/>
        <v>36.426000000000002</v>
      </c>
      <c r="CD52" s="85">
        <f t="shared" si="433"/>
        <v>0</v>
      </c>
      <c r="CE52" s="85">
        <f>IF(AC52=0,0,AC52*CE$9)</f>
        <v>0</v>
      </c>
      <c r="CF52" s="85">
        <f t="shared" si="434"/>
        <v>0</v>
      </c>
      <c r="CG52" s="85">
        <f t="shared" si="434"/>
        <v>0</v>
      </c>
      <c r="CH52" s="85">
        <f t="shared" si="435"/>
        <v>0</v>
      </c>
      <c r="CI52" s="85">
        <f t="shared" si="435"/>
        <v>0</v>
      </c>
      <c r="CJ52" s="85">
        <f t="shared" si="435"/>
        <v>0</v>
      </c>
      <c r="CK52" s="85">
        <f t="shared" si="435"/>
        <v>0</v>
      </c>
      <c r="CL52" s="100">
        <f>SUM(BR52:CK52)</f>
        <v>68.52600000000001</v>
      </c>
      <c r="CM52" s="50"/>
      <c r="CN52" s="104">
        <f>J52</f>
        <v>86.4</v>
      </c>
      <c r="CO52" s="101">
        <f>CL52/CN52</f>
        <v>0.79312500000000008</v>
      </c>
      <c r="CP52" s="51">
        <f>Seilareal/Lwl/Lwl</f>
        <v>0.66481994459833793</v>
      </c>
      <c r="CQ52" s="116">
        <f>Seilareal/Depl^0.667/K$7</f>
        <v>1.0187635142250633</v>
      </c>
      <c r="CR52" s="51">
        <f>Seilareal/Lwl/Lwl/SApRS1</f>
        <v>1.0087441139053921</v>
      </c>
      <c r="CS52" s="204"/>
      <c r="CT52" s="204">
        <f>(ROUND(TBF/CT$6,3)*CT$6)*CT$4</f>
        <v>107</v>
      </c>
      <c r="CU52" s="107">
        <f t="shared" si="83"/>
        <v>1.0719626438286127</v>
      </c>
      <c r="CV52" s="62">
        <f t="shared" si="13"/>
        <v>2.9533913624233503</v>
      </c>
      <c r="CW52" s="62">
        <f t="shared" si="84"/>
        <v>1.6201851746019651</v>
      </c>
      <c r="CX52" s="62">
        <f t="shared" si="15"/>
        <v>1.8374951981506853</v>
      </c>
      <c r="CY52" s="107">
        <f t="shared" si="85"/>
        <v>1.0027152827972585</v>
      </c>
      <c r="CZ52" s="168" t="str">
        <f t="shared" si="412"/>
        <v>-</v>
      </c>
      <c r="DA52" s="158"/>
      <c r="DB52" s="168" t="str">
        <f t="shared" si="413"/>
        <v>-</v>
      </c>
      <c r="DC52" s="160"/>
      <c r="DD52" s="190" t="s">
        <v>134</v>
      </c>
      <c r="DE52" s="62">
        <v>0.88</v>
      </c>
      <c r="DF52" s="62">
        <v>0.87</v>
      </c>
      <c r="DG52" s="62">
        <v>0.89</v>
      </c>
      <c r="DH52" s="150">
        <v>0.93</v>
      </c>
      <c r="DI52" s="62">
        <f t="shared" si="88"/>
        <v>2.0710896001352213</v>
      </c>
      <c r="DJ52" s="47">
        <f t="shared" si="89"/>
        <v>12.352941176470589</v>
      </c>
      <c r="DK52" s="48">
        <f t="shared" si="414"/>
        <v>0</v>
      </c>
      <c r="DM52" s="107">
        <f t="shared" si="381"/>
        <v>1.0525391158959512</v>
      </c>
      <c r="DN52" s="141" t="str">
        <f t="shared" si="415"/>
        <v>-</v>
      </c>
      <c r="DO52" s="107">
        <f t="shared" si="416"/>
        <v>4.6194508073398337</v>
      </c>
      <c r="DP52" s="133">
        <f>IF(SeilBeregnet=0,DP50,(SeilBeregnet^0.5/(Depl^0.3333))^DP$3*DP$7)</f>
        <v>2.9545967205097647</v>
      </c>
      <c r="DQ52" s="133">
        <f>IF(SeilBeregnet=0,DQ50,(SeilBeregnet^0.5/Lwl)^DQ$3*DQ$7)</f>
        <v>0</v>
      </c>
      <c r="DR52" s="133">
        <f>IF(SeilBeregnet=0,DR50,(0.1*Loa/Depl^0.3333)^DR$3*DR$7)</f>
        <v>0</v>
      </c>
      <c r="DS52" s="133">
        <f>IF(SeilBeregnet=0,DS50,((Loa)/Bredde)^DS$3*DS$7)</f>
        <v>1.664854086830069</v>
      </c>
      <c r="DT52" s="107">
        <f>IF(SeilBeregnet=0,DT50,(Lwl)^DT$3)</f>
        <v>1.8374951981506853</v>
      </c>
      <c r="DU52" s="133">
        <f>IF(SeilBeregnet=0,DU50,(Dypg/Loa)^DU$3*5*DU$7)</f>
        <v>2.0291986247835694</v>
      </c>
      <c r="DW52" s="107">
        <f t="shared" si="417"/>
        <v>1.1051161276583634</v>
      </c>
      <c r="DX52" s="107">
        <f t="shared" si="93"/>
        <v>1.0539016656205014</v>
      </c>
      <c r="DZ52" s="107">
        <f t="shared" si="94"/>
        <v>1.041185562092535</v>
      </c>
      <c r="EA52" s="122" t="str">
        <f t="shared" si="418"/>
        <v>-</v>
      </c>
      <c r="EB52" s="107">
        <f t="shared" si="419"/>
        <v>1.0623118077501967</v>
      </c>
      <c r="EC52" s="122" t="str">
        <f t="shared" si="420"/>
        <v>-</v>
      </c>
      <c r="ED52" s="107">
        <f>IF(SeilBeregnet=0,ED50,SeilBeregnet^0.5/Depl^0.33333)</f>
        <v>2.9543227496959221</v>
      </c>
      <c r="EE52" s="107">
        <f>IF(SeilBeregnet=0,EE50,Lwl^0.3333)</f>
        <v>2.2504345510197821</v>
      </c>
      <c r="EF52" s="107">
        <f>IF(SeilBeregnet=0,EF50,((Loa+Lwl)/Bredde)^EF$3)</f>
        <v>1.5137000520175456</v>
      </c>
      <c r="EH52" s="107">
        <f t="shared" si="421"/>
        <v>1.0572297934650632</v>
      </c>
      <c r="EJ52" s="107">
        <f>IF(SeilBeregnet=0,EJ50,SeilBeregnet^0.5/Depl^0.33333)</f>
        <v>2.9543227496959221</v>
      </c>
      <c r="EK52" s="107">
        <f>IF(SeilBeregnet=0,EK50,Lwl^EK$3)</f>
        <v>2.250598857644956</v>
      </c>
      <c r="EL52" s="107">
        <f>IF(SeilBeregnet=0,EL50,((Loa+Lwl)/Bredde)^EL$3)</f>
        <v>1.7379172576819111</v>
      </c>
      <c r="EM52" s="107">
        <f t="shared" si="422"/>
        <v>1.0599651215136023</v>
      </c>
      <c r="EO52" s="107">
        <f>IF(SeilBeregnet=0,EO50,(EP52*EQ52)^EO$3)</f>
        <v>4.4719584998913362</v>
      </c>
      <c r="EP52" s="107">
        <f>IF(SeilBeregnet=0,EP50,SeilBeregnet^0.5/Depl^0.33333)</f>
        <v>2.9543227496959221</v>
      </c>
      <c r="EQ52" s="107">
        <f>IF(SeilBeregnet=0,EQ50,((Loa+Lwl)/Bredde)^EQ$3)</f>
        <v>1.5137000520175456</v>
      </c>
      <c r="ER52" s="107">
        <f>IF(SeilBeregnet=0,ER50,Lwl^ER$3)</f>
        <v>1.8374951981506853</v>
      </c>
      <c r="ES52" s="107">
        <f t="shared" si="382"/>
        <v>1.061668588409411</v>
      </c>
      <c r="EU52" s="107">
        <f>IF(SeilBeregnet=0,EU50,(EV:EV*EW:EW)^EU$3)</f>
        <v>1.6903629923720744</v>
      </c>
      <c r="EV52" s="107">
        <f>IF(SeilBeregnet=0,EV50,SeilBeregnet^0.5/Depl^0.33333)</f>
        <v>2.9543227496959221</v>
      </c>
      <c r="EW52" s="107">
        <f>IF(SeilBeregnet=0,EW50,((Loa+Lwl)/Bredde/6)^EW$3)</f>
        <v>0.96716821013383469</v>
      </c>
      <c r="EX52" s="107">
        <f>IF(SeilBeregnet=0,EX50,(Lwl*0.7+Loa*0.3)^EX$3)</f>
        <v>1.8536020361776409</v>
      </c>
      <c r="EY52" s="107">
        <f t="shared" si="383"/>
        <v>1.053612295092103</v>
      </c>
      <c r="FA52" s="107">
        <f t="shared" si="371"/>
        <v>1.6904413689456157</v>
      </c>
      <c r="FB52" s="107">
        <f>IF(SeilBeregnet=0,FB50,SeilBeregnet^0.5/Depl^0.3333)</f>
        <v>2.9545967205097647</v>
      </c>
      <c r="FC52" s="107">
        <f>IF(SeilBeregnet=0,FC50,((Loa+Lwl)/Bredde/6)^FC$3)</f>
        <v>0.96716821013383469</v>
      </c>
      <c r="FD52" s="107">
        <f>IF(SeilBeregnet=0,FD50,(Lwl*0.7+Loa*0.3)^FD$3)</f>
        <v>1.8536020361776409</v>
      </c>
      <c r="FE52" s="107">
        <f t="shared" si="384"/>
        <v>1.0427657896913283</v>
      </c>
      <c r="FF52" s="141" t="str">
        <f t="shared" si="423"/>
        <v>-</v>
      </c>
      <c r="FG52" s="107">
        <f t="shared" si="372"/>
        <v>2.7637721610583559</v>
      </c>
      <c r="FH52" s="133">
        <f>IF(SeilBeregnet=0,FH50,(SeilBeregnet^0.5/(Depl^0.3333))^FH$3)</f>
        <v>2.9545967205097647</v>
      </c>
      <c r="FI52" s="133">
        <f>IF(SeilBeregnet=0,FI50,((Loa+Lwl)/Bredde/6)^FI$3)</f>
        <v>0.93541434669348533</v>
      </c>
      <c r="FJ52" s="107">
        <f>IF(SeilBeregnet=0,FJ50,(Lwl*0.07+Loa*0.03)^FJ$3)</f>
        <v>1.0423570253996639</v>
      </c>
      <c r="FK52" s="107">
        <f t="shared" si="385"/>
        <v>1.0595471372816485</v>
      </c>
      <c r="FL52" s="141" t="str">
        <f t="shared" si="424"/>
        <v>-</v>
      </c>
      <c r="FM52" s="107">
        <f t="shared" si="373"/>
        <v>4.8455949518177448</v>
      </c>
      <c r="FN52" s="133">
        <f>IF(SeilBeregnet=0,FN50,(SeilBeregnet^0.5/(Depl^0.3333))^FN$3)</f>
        <v>2.9545967205097647</v>
      </c>
      <c r="FO52" s="133">
        <f>IF(SeilBeregnet=0,FO50,(SeilBeregnet^0.5/Lwl*FO$7)^FO$3)</f>
        <v>0.72614414447791065</v>
      </c>
      <c r="FP52" s="133">
        <f>IF(SeilBeregnet=0,FP50,((Loa)/Bredde)^FP$3*FP$7)</f>
        <v>1.664854086830069</v>
      </c>
      <c r="FQ52" s="107">
        <f>IF(SeilBeregnet=0,FQ50,(Lwl)^FQ$3)</f>
        <v>1.8374951981506853</v>
      </c>
      <c r="FR52" s="107">
        <f t="shared" si="386"/>
        <v>1.0488684162249231</v>
      </c>
      <c r="FS52" s="141" t="str">
        <f t="shared" si="425"/>
        <v>-</v>
      </c>
      <c r="FT52" s="107">
        <f t="shared" si="374"/>
        <v>4.9189724250754008</v>
      </c>
      <c r="FU52" s="133">
        <f>IF(SeilBeregnet=0,FU50,(SeilBeregnet^0.5/(Depl^0.3333))^FU$3)</f>
        <v>2.9545967205097647</v>
      </c>
      <c r="FV52" s="133">
        <f>IF(SeilBeregnet=0,FV50,(Loa/Bredde)^FV$3)</f>
        <v>1.664854086830069</v>
      </c>
      <c r="FW52" s="107">
        <f>IF(SeilBeregnet=0,FW50,Lwl^FW$3)</f>
        <v>1.8374951981506853</v>
      </c>
      <c r="FY52">
        <v>0.95</v>
      </c>
      <c r="FZ52" s="62">
        <f t="shared" si="48"/>
        <v>1.0854698244056682</v>
      </c>
      <c r="GA52" s="62">
        <f t="shared" si="49"/>
        <v>2.0291986247835694</v>
      </c>
      <c r="GB52" s="107">
        <f t="shared" si="50"/>
        <v>1.0820802095017013</v>
      </c>
      <c r="GC52" s="440"/>
      <c r="GD52" s="17"/>
      <c r="GE52" s="442"/>
      <c r="GF52" s="462"/>
      <c r="GG52" s="17"/>
      <c r="GH52" s="17"/>
      <c r="GI52" s="17"/>
      <c r="GJ52" s="17"/>
      <c r="GL52" s="17"/>
      <c r="GM52" s="442"/>
      <c r="GN52" s="8"/>
      <c r="GO52" s="8"/>
      <c r="GP52" s="8"/>
      <c r="GQ52" s="8"/>
      <c r="GS52" s="17"/>
      <c r="GT52" s="17"/>
      <c r="GU52" s="17"/>
      <c r="GV52" s="629"/>
      <c r="GW52" s="17"/>
      <c r="GX52" s="17"/>
      <c r="GY52" s="17"/>
      <c r="GZ52" s="17"/>
    </row>
    <row r="53" spans="1:208" ht="15.6" x14ac:dyDescent="0.3">
      <c r="A53" s="60" t="s">
        <v>35</v>
      </c>
      <c r="B53" s="218"/>
      <c r="C53" s="14" t="str">
        <f>C50</f>
        <v>Gaffel</v>
      </c>
      <c r="G53" s="54"/>
      <c r="H53" s="204">
        <f>TBFavrundet</f>
        <v>103</v>
      </c>
      <c r="I53" s="63">
        <f>COUNTA(O53:AG53)</f>
        <v>2</v>
      </c>
      <c r="J53" s="222">
        <f>SUM(O53:AG53)</f>
        <v>71.2</v>
      </c>
      <c r="K53" s="116">
        <f>Seilareal/Depl^0.667/K$7</f>
        <v>0.83953659968546857</v>
      </c>
      <c r="L53" s="116">
        <f>Seilareal/Lwl/Lwl/L$7</f>
        <v>0.83127987164425832</v>
      </c>
      <c r="M53" s="92">
        <f>RiggF</f>
        <v>0.85570224719101118</v>
      </c>
      <c r="N53" s="242">
        <f>StHfaktor</f>
        <v>1.0027152827972585</v>
      </c>
      <c r="O53" s="143"/>
      <c r="P53" s="143"/>
      <c r="Q53" s="143"/>
      <c r="R53" s="143"/>
      <c r="S53" s="143"/>
      <c r="T53" s="143"/>
      <c r="U53" s="165">
        <v>24.5</v>
      </c>
      <c r="V53" s="559"/>
      <c r="W53" s="559"/>
      <c r="X53" s="144"/>
      <c r="Y53" s="180">
        <v>46.7</v>
      </c>
      <c r="Z53" s="143"/>
      <c r="AA53" s="143"/>
      <c r="AB53" s="143"/>
      <c r="AC53" s="143"/>
      <c r="AD53" s="143"/>
      <c r="AE53" s="143"/>
      <c r="AF53" s="143"/>
      <c r="AG53" s="551"/>
      <c r="AH53" s="557"/>
      <c r="AI53" s="557">
        <f t="shared" si="426"/>
        <v>11.65</v>
      </c>
      <c r="AJ53" s="337">
        <f t="shared" si="441"/>
        <v>0</v>
      </c>
      <c r="AK53" s="339"/>
      <c r="AL53" s="337">
        <f t="shared" si="441"/>
        <v>0</v>
      </c>
      <c r="AM53" s="339"/>
      <c r="AN53" s="267" t="str">
        <f t="shared" ref="AN53" si="450" xml:space="preserve"> AN52</f>
        <v>Los</v>
      </c>
      <c r="AO53" s="45">
        <f>VLOOKUP(AN53,Skrogform!$1:$1048576,3,FALSE)</f>
        <v>0.97</v>
      </c>
      <c r="AP53" s="64">
        <f t="shared" ref="AP53:AZ53" si="451">AP52</f>
        <v>12.75</v>
      </c>
      <c r="AQ53" s="64">
        <f t="shared" si="451"/>
        <v>11.4</v>
      </c>
      <c r="AR53" s="64">
        <f t="shared" si="451"/>
        <v>4.5999999999999996</v>
      </c>
      <c r="AS53" s="64">
        <f t="shared" si="451"/>
        <v>2.1</v>
      </c>
      <c r="AT53" s="64"/>
      <c r="AU53" s="64">
        <f t="shared" si="451"/>
        <v>22</v>
      </c>
      <c r="AV53" s="64">
        <f t="shared" si="451"/>
        <v>0</v>
      </c>
      <c r="AW53" s="64">
        <f t="shared" si="451"/>
        <v>5</v>
      </c>
      <c r="AX53" s="256">
        <f>AX52</f>
        <v>0</v>
      </c>
      <c r="AY53" s="256">
        <f t="shared" si="451"/>
        <v>120</v>
      </c>
      <c r="AZ53" s="256">
        <f t="shared" si="451"/>
        <v>840</v>
      </c>
      <c r="BA53" s="256">
        <f t="shared" ref="BA53:BB53" si="452">BA52</f>
        <v>0</v>
      </c>
      <c r="BB53" s="256">
        <f t="shared" si="452"/>
        <v>0</v>
      </c>
      <c r="BC53" s="256"/>
      <c r="BD53" s="66"/>
      <c r="BE53" s="66"/>
      <c r="BF53" s="261"/>
      <c r="BG53" s="66"/>
      <c r="BH53" s="175"/>
      <c r="BI53" s="66"/>
      <c r="BJ53" s="66"/>
      <c r="BK53" s="65" t="str">
        <f t="shared" ref="BK53:BM53" si="453" xml:space="preserve"> BK52</f>
        <v>Seilrett</v>
      </c>
      <c r="BL53" s="267">
        <f t="shared" si="453"/>
        <v>3</v>
      </c>
      <c r="BM53" s="267">
        <f t="shared" si="453"/>
        <v>66</v>
      </c>
      <c r="BN53" s="45">
        <f t="shared" si="410"/>
        <v>1</v>
      </c>
      <c r="BO53" s="59"/>
      <c r="BP53" s="59"/>
      <c r="BR53" s="49">
        <f t="shared" si="432"/>
        <v>0</v>
      </c>
      <c r="BS53" s="49">
        <f t="shared" si="432"/>
        <v>0</v>
      </c>
      <c r="BT53" s="49">
        <f t="shared" si="432"/>
        <v>0</v>
      </c>
      <c r="BU53" s="49">
        <f t="shared" si="432"/>
        <v>0</v>
      </c>
      <c r="BV53" s="49">
        <f t="shared" si="432"/>
        <v>0</v>
      </c>
      <c r="BW53" s="49">
        <f t="shared" si="432"/>
        <v>0</v>
      </c>
      <c r="BX53" s="49">
        <f t="shared" si="432"/>
        <v>24.5</v>
      </c>
      <c r="BY53" s="549">
        <f>IF(COUNT(Q53:U53)&gt;1,MINA(Q53:U53)*BY$9,0)</f>
        <v>0</v>
      </c>
      <c r="BZ53" s="85">
        <f t="shared" si="433"/>
        <v>0</v>
      </c>
      <c r="CA53" s="85">
        <f t="shared" si="433"/>
        <v>0</v>
      </c>
      <c r="CB53" s="85">
        <f t="shared" si="433"/>
        <v>0</v>
      </c>
      <c r="CC53" s="85">
        <f t="shared" si="433"/>
        <v>36.426000000000002</v>
      </c>
      <c r="CD53" s="85">
        <f t="shared" si="433"/>
        <v>0</v>
      </c>
      <c r="CE53" s="85">
        <f>IF(AC53=0,0,AC53*CE$9)</f>
        <v>0</v>
      </c>
      <c r="CF53" s="85">
        <f t="shared" si="434"/>
        <v>0</v>
      </c>
      <c r="CG53" s="85">
        <f t="shared" si="434"/>
        <v>0</v>
      </c>
      <c r="CH53" s="85">
        <f t="shared" si="435"/>
        <v>0</v>
      </c>
      <c r="CI53" s="85">
        <f t="shared" si="435"/>
        <v>0</v>
      </c>
      <c r="CJ53" s="85">
        <f t="shared" si="435"/>
        <v>0</v>
      </c>
      <c r="CK53" s="85">
        <f t="shared" si="435"/>
        <v>0</v>
      </c>
      <c r="CL53" s="100">
        <f>SUM(BR53:CK53)</f>
        <v>60.926000000000002</v>
      </c>
      <c r="CM53" s="50"/>
      <c r="CN53" s="104">
        <f>J53</f>
        <v>71.2</v>
      </c>
      <c r="CO53" s="101">
        <f>CL53/CN53</f>
        <v>0.85570224719101118</v>
      </c>
      <c r="CP53" s="51">
        <f>Seilareal/Lwl/Lwl</f>
        <v>0.54786088027085256</v>
      </c>
      <c r="CQ53" s="116">
        <f>Seilareal/Depl^0.667/K$7</f>
        <v>0.83953659968546857</v>
      </c>
      <c r="CR53" s="51">
        <f>Seilareal/Lwl/Lwl/SApRS1</f>
        <v>0.83127987164425832</v>
      </c>
      <c r="CS53" s="204"/>
      <c r="CT53" s="204">
        <f>(ROUND(TBF/CT$6,3)*CT$6)*CT$4</f>
        <v>103</v>
      </c>
      <c r="CU53" s="107">
        <f t="shared" si="83"/>
        <v>1.0324488638882547</v>
      </c>
      <c r="CV53" s="62">
        <f t="shared" si="13"/>
        <v>2.7848040540270929</v>
      </c>
      <c r="CW53" s="62">
        <f t="shared" si="84"/>
        <v>1.6201851746019651</v>
      </c>
      <c r="CX53" s="62">
        <f t="shared" si="15"/>
        <v>1.8374951981506853</v>
      </c>
      <c r="CY53" s="107">
        <f t="shared" si="85"/>
        <v>1.0027152827972585</v>
      </c>
      <c r="CZ53" s="168" t="str">
        <f t="shared" si="412"/>
        <v>-</v>
      </c>
      <c r="DA53" s="158"/>
      <c r="DB53" s="168" t="str">
        <f t="shared" si="413"/>
        <v>-</v>
      </c>
      <c r="DC53" s="160"/>
      <c r="DD53" s="190" t="s">
        <v>134</v>
      </c>
      <c r="DE53" s="62">
        <v>0.78</v>
      </c>
      <c r="DF53" s="62">
        <v>0.81</v>
      </c>
      <c r="DG53" s="62">
        <v>0.79</v>
      </c>
      <c r="DH53" s="150" t="s">
        <v>102</v>
      </c>
      <c r="DI53" s="62">
        <f t="shared" si="88"/>
        <v>2.0710896001352213</v>
      </c>
      <c r="DJ53" s="47">
        <f t="shared" si="89"/>
        <v>12.352941176470589</v>
      </c>
      <c r="DK53" s="48">
        <f t="shared" si="414"/>
        <v>0</v>
      </c>
      <c r="DM53" s="107">
        <f t="shared" si="381"/>
        <v>1.0141109208827386</v>
      </c>
      <c r="DN53" s="141" t="str">
        <f t="shared" si="415"/>
        <v>-</v>
      </c>
      <c r="DO53" s="107">
        <f t="shared" si="416"/>
        <v>4.4507946939494163</v>
      </c>
      <c r="DP53" s="133">
        <f>IF(SeilBeregnet=0,DP52,(SeilBeregnet^0.5/(Depl^0.3333))^DP$3*DP$7)</f>
        <v>2.7859406071193473</v>
      </c>
      <c r="DQ53" s="133">
        <f>IF(SeilBeregnet=0,DQ52,(SeilBeregnet^0.5/Lwl)^DQ$3*DQ$7)</f>
        <v>0</v>
      </c>
      <c r="DR53" s="133">
        <f>IF(SeilBeregnet=0,DR52,(0.1*Loa/Depl^0.3333)^DR$3*DR$7)</f>
        <v>0</v>
      </c>
      <c r="DS53" s="133">
        <f>IF(SeilBeregnet=0,DS52,((Loa)/Bredde)^DS$3*DS$7)</f>
        <v>1.664854086830069</v>
      </c>
      <c r="DT53" s="107">
        <f>IF(SeilBeregnet=0,DT52,(Lwl)^DT$3)</f>
        <v>1.8374951981506853</v>
      </c>
      <c r="DU53" s="133">
        <f>IF(SeilBeregnet=0,DU52,(Dypg/Loa)^DU$3*5*DU$7)</f>
        <v>2.0291986247835694</v>
      </c>
      <c r="DW53" s="107">
        <f t="shared" si="417"/>
        <v>1.0643802720497471</v>
      </c>
      <c r="DX53" s="107">
        <f t="shared" si="93"/>
        <v>1.0076853551407716</v>
      </c>
      <c r="DZ53" s="107">
        <f t="shared" si="94"/>
        <v>1.0053575374584087</v>
      </c>
      <c r="EA53" s="122" t="str">
        <f t="shared" si="418"/>
        <v>-</v>
      </c>
      <c r="EB53" s="107">
        <f t="shared" si="419"/>
        <v>1.0176489041589734</v>
      </c>
      <c r="EC53" s="122" t="str">
        <f t="shared" si="420"/>
        <v>-</v>
      </c>
      <c r="ED53" s="107">
        <f>IF(SeilBeregnet=0,ED52,SeilBeregnet^0.5/Depl^0.33333)</f>
        <v>2.7856822752765784</v>
      </c>
      <c r="EE53" s="107">
        <f>IF(SeilBeregnet=0,EE52,Lwl^0.3333)</f>
        <v>2.2504345510197821</v>
      </c>
      <c r="EF53" s="107">
        <f>IF(SeilBeregnet=0,EF52,((Loa+Lwl)/Bredde)^EF$3)</f>
        <v>1.5137000520175456</v>
      </c>
      <c r="EH53" s="107">
        <f t="shared" si="421"/>
        <v>1.0175062873433551</v>
      </c>
      <c r="EJ53" s="107">
        <f>IF(SeilBeregnet=0,EJ52,SeilBeregnet^0.5/Depl^0.33333)</f>
        <v>2.7856822752765784</v>
      </c>
      <c r="EK53" s="107">
        <f>IF(SeilBeregnet=0,EK52,Lwl^EK$3)</f>
        <v>2.250598857644956</v>
      </c>
      <c r="EL53" s="107">
        <f>IF(SeilBeregnet=0,EL52,((Loa+Lwl)/Bredde)^EL$3)</f>
        <v>1.7379172576819111</v>
      </c>
      <c r="EM53" s="107">
        <f t="shared" si="422"/>
        <v>1.0181573044316472</v>
      </c>
      <c r="EO53" s="107">
        <f>IF(SeilBeregnet=0,EO52,(EP53*EQ53)^EO$3)</f>
        <v>4.2166874049905116</v>
      </c>
      <c r="EP53" s="107">
        <f>IF(SeilBeregnet=0,EP52,SeilBeregnet^0.5/Depl^0.33333)</f>
        <v>2.7856822752765784</v>
      </c>
      <c r="EQ53" s="107">
        <f>IF(SeilBeregnet=0,EQ52,((Loa+Lwl)/Bredde)^EQ$3)</f>
        <v>1.5137000520175456</v>
      </c>
      <c r="ER53" s="107">
        <f>IF(SeilBeregnet=0,ER52,Lwl^ER$3)</f>
        <v>1.8374951981506853</v>
      </c>
      <c r="ES53" s="107">
        <f t="shared" si="382"/>
        <v>1.0180071425266155</v>
      </c>
      <c r="EU53" s="107">
        <f>IF(SeilBeregnet=0,EU52,(EV:EV*EW:EW)^EU$3)</f>
        <v>1.6414089497077797</v>
      </c>
      <c r="EV53" s="107">
        <f>IF(SeilBeregnet=0,EV52,SeilBeregnet^0.5/Depl^0.33333)</f>
        <v>2.7856822752765784</v>
      </c>
      <c r="EW53" s="107">
        <f>IF(SeilBeregnet=0,EW52,((Loa+Lwl)/Bredde/6)^EW$3)</f>
        <v>0.96716821013383469</v>
      </c>
      <c r="EX53" s="107">
        <f>IF(SeilBeregnet=0,EX52,(Lwl*0.7+Loa*0.3)^EX$3)</f>
        <v>1.8536020361776409</v>
      </c>
      <c r="EY53" s="107">
        <f t="shared" si="383"/>
        <v>1.0230989784386282</v>
      </c>
      <c r="FA53" s="107">
        <f t="shared" si="371"/>
        <v>1.6414850564433379</v>
      </c>
      <c r="FB53" s="107">
        <f>IF(SeilBeregnet=0,FB52,SeilBeregnet^0.5/Depl^0.3333)</f>
        <v>2.7859406071193473</v>
      </c>
      <c r="FC53" s="107">
        <f>IF(SeilBeregnet=0,FC52,((Loa+Lwl)/Bredde/6)^FC$3)</f>
        <v>0.96716821013383469</v>
      </c>
      <c r="FD53" s="107">
        <f>IF(SeilBeregnet=0,FD52,(Lwl*0.7+Loa*0.3)^FD$3)</f>
        <v>1.8536020361776409</v>
      </c>
      <c r="FE53" s="107">
        <f t="shared" si="384"/>
        <v>1.0082321854953551</v>
      </c>
      <c r="FF53" s="141" t="str">
        <f t="shared" si="423"/>
        <v>-</v>
      </c>
      <c r="FG53" s="107">
        <f t="shared" si="372"/>
        <v>2.606008812935396</v>
      </c>
      <c r="FH53" s="133">
        <f>IF(SeilBeregnet=0,FH52,(SeilBeregnet^0.5/(Depl^0.3333))^FH$3)</f>
        <v>2.7859406071193473</v>
      </c>
      <c r="FI53" s="133">
        <f>IF(SeilBeregnet=0,FI52,((Loa+Lwl)/Bredde/6)^FI$3)</f>
        <v>0.93541434669348533</v>
      </c>
      <c r="FJ53" s="107">
        <f>IF(SeilBeregnet=0,FJ52,(Lwl*0.07+Loa*0.03)^FJ$3)</f>
        <v>1.0423570253996639</v>
      </c>
      <c r="FK53" s="107">
        <f t="shared" si="385"/>
        <v>1.0136048837990581</v>
      </c>
      <c r="FL53" s="141" t="str">
        <f t="shared" si="424"/>
        <v>-</v>
      </c>
      <c r="FM53" s="107">
        <f t="shared" si="373"/>
        <v>4.6354886302419871</v>
      </c>
      <c r="FN53" s="133">
        <f>IF(SeilBeregnet=0,FN52,(SeilBeregnet^0.5/(Depl^0.3333))^FN$3)</f>
        <v>2.7859406071193473</v>
      </c>
      <c r="FO53" s="133">
        <f>IF(SeilBeregnet=0,FO52,(SeilBeregnet^0.5/Lwl*FO$7)^FO$3)</f>
        <v>0.68469393629257014</v>
      </c>
      <c r="FP53" s="133">
        <f>IF(SeilBeregnet=0,FP52,((Loa)/Bredde)^FP$3*FP$7)</f>
        <v>1.664854086830069</v>
      </c>
      <c r="FQ53" s="107">
        <f>IF(SeilBeregnet=0,FQ52,(Lwl)^FQ$3)</f>
        <v>1.8374951981506853</v>
      </c>
      <c r="FR53" s="107">
        <f t="shared" si="386"/>
        <v>1.0158478549256973</v>
      </c>
      <c r="FS53" s="141" t="str">
        <f t="shared" si="425"/>
        <v>-</v>
      </c>
      <c r="FT53" s="107">
        <f t="shared" si="374"/>
        <v>4.6381846054284885</v>
      </c>
      <c r="FU53" s="133">
        <f>IF(SeilBeregnet=0,FU52,(SeilBeregnet^0.5/(Depl^0.3333))^FU$3)</f>
        <v>2.7859406071193473</v>
      </c>
      <c r="FV53" s="133">
        <f>IF(SeilBeregnet=0,FV52,(Loa/Bredde)^FV$3)</f>
        <v>1.664854086830069</v>
      </c>
      <c r="FW53" s="107">
        <f>IF(SeilBeregnet=0,FW52,Lwl^FW$3)</f>
        <v>1.8374951981506853</v>
      </c>
      <c r="FY53">
        <v>0.95</v>
      </c>
      <c r="FZ53" s="62">
        <f t="shared" si="48"/>
        <v>1.0579363165214115</v>
      </c>
      <c r="GA53" s="62">
        <f t="shared" si="49"/>
        <v>2.0291986247835694</v>
      </c>
      <c r="GB53" s="107">
        <f t="shared" si="50"/>
        <v>1.0610862045600082</v>
      </c>
      <c r="GC53" s="440"/>
      <c r="GD53" s="17"/>
      <c r="GE53" s="442"/>
      <c r="GF53" s="462"/>
      <c r="GG53" s="17"/>
      <c r="GH53" s="17"/>
      <c r="GI53" s="17"/>
      <c r="GJ53" s="17"/>
      <c r="GL53" s="17"/>
      <c r="GM53" s="442"/>
      <c r="GN53" s="8"/>
      <c r="GO53" s="8"/>
      <c r="GP53" s="8"/>
      <c r="GQ53" s="8"/>
      <c r="GS53" s="17"/>
      <c r="GT53" s="17"/>
      <c r="GU53" s="17"/>
      <c r="GV53" s="629"/>
      <c r="GW53" s="17"/>
      <c r="GX53" s="17"/>
      <c r="GY53" s="17"/>
      <c r="GZ53" s="17"/>
    </row>
    <row r="54" spans="1:208" ht="15.6" x14ac:dyDescent="0.3">
      <c r="A54" s="52" t="s">
        <v>201</v>
      </c>
      <c r="B54" s="218">
        <f t="shared" si="10"/>
        <v>40.682414698162731</v>
      </c>
      <c r="C54" s="53" t="s">
        <v>19</v>
      </c>
      <c r="D54" s="53"/>
      <c r="E54" s="53"/>
      <c r="F54" s="53"/>
      <c r="G54" s="54"/>
      <c r="H54" s="112">
        <f>J55</f>
        <v>124.6</v>
      </c>
      <c r="I54" s="601">
        <f>H55/100</f>
        <v>1.1949999999999998</v>
      </c>
      <c r="J54" s="651">
        <f>IF(DC55=0,"-",DC55)</f>
        <v>1.22</v>
      </c>
      <c r="K54" s="123" t="str">
        <f>A54</f>
        <v>Los Flekkerøy</v>
      </c>
      <c r="L54" s="116"/>
      <c r="M54" s="116"/>
      <c r="N54" s="92"/>
      <c r="O54" s="165"/>
      <c r="P54" s="165"/>
      <c r="Q54" s="165"/>
      <c r="R54" s="165">
        <v>29</v>
      </c>
      <c r="S54" s="165">
        <v>15</v>
      </c>
      <c r="T54" s="165"/>
      <c r="U54" s="165">
        <v>21.3</v>
      </c>
      <c r="V54" s="559"/>
      <c r="W54" s="559"/>
      <c r="X54" s="165">
        <v>63.2</v>
      </c>
      <c r="Y54" s="177">
        <f>StorS-StorS/6</f>
        <v>52.666666666666671</v>
      </c>
      <c r="Z54" s="177">
        <f>StorS-StorS/6*1.9</f>
        <v>43.186666666666667</v>
      </c>
      <c r="AA54" s="165">
        <v>11.1</v>
      </c>
      <c r="AB54" s="165"/>
      <c r="AC54" s="165"/>
      <c r="AD54" s="165"/>
      <c r="AE54" s="165"/>
      <c r="AF54" s="165"/>
      <c r="AG54" s="552"/>
      <c r="AH54" s="244"/>
      <c r="AI54" s="244">
        <v>11.57</v>
      </c>
      <c r="AJ54" s="554"/>
      <c r="AK54" s="339"/>
      <c r="AL54" s="268"/>
      <c r="AM54" s="339"/>
      <c r="AN54" s="268" t="s">
        <v>203</v>
      </c>
      <c r="AO54" s="45">
        <f>VLOOKUP(AN54,Skrogform!$1:$1048576,3,FALSE)</f>
        <v>0.97</v>
      </c>
      <c r="AP54" s="55">
        <v>12.4</v>
      </c>
      <c r="AQ54" s="55">
        <v>11.66</v>
      </c>
      <c r="AR54" s="55">
        <v>4.63</v>
      </c>
      <c r="AS54" s="55">
        <v>1.8</v>
      </c>
      <c r="AT54" s="637">
        <v>22.2</v>
      </c>
      <c r="AU54" s="55">
        <v>22.2</v>
      </c>
      <c r="AV54" s="55"/>
      <c r="AW54" s="55">
        <v>4</v>
      </c>
      <c r="AX54" s="253"/>
      <c r="AY54" s="253">
        <v>113</v>
      </c>
      <c r="AZ54" s="253">
        <v>680</v>
      </c>
      <c r="BA54" s="253"/>
      <c r="BB54" s="253"/>
      <c r="BC54" s="244">
        <f>Depl+Diesel/1000*0.84+Vann/1000</f>
        <v>22.2</v>
      </c>
      <c r="BD54" s="95">
        <f>Bredde/(Loa+Lwl)*2</f>
        <v>0.3848711554447215</v>
      </c>
      <c r="BE54" s="95">
        <f>(Kjøl+Ballast)/Depl</f>
        <v>0.1801801801801802</v>
      </c>
      <c r="BF54" s="260">
        <f>BF$7*((Depl-Kjøl-Ballast-VektMotor/1000-VektAnnet/1000)/Lwl/Lwl/Bredde)</f>
        <v>1.0503538549806481</v>
      </c>
      <c r="BG54" s="95">
        <f>BG$7*(Depl/Loa/Lwl/Lwl)</f>
        <v>0.96905499295358188</v>
      </c>
      <c r="BH54" s="174">
        <f>BH$7*(Depl/Loa/Lwl/Bredde)</f>
        <v>0.90206595993761329</v>
      </c>
      <c r="BI54" s="95">
        <f>BI$7*Bredde/(Loa+Lwl)*2</f>
        <v>1.097917392897684</v>
      </c>
      <c r="BJ54" s="95">
        <f>BJ$7*(Dypg/Lwl)</f>
        <v>0.84435826683570736</v>
      </c>
      <c r="BK54" s="56"/>
      <c r="BL54" s="268"/>
      <c r="BM54" s="268"/>
      <c r="BN54" s="45">
        <f t="shared" si="410"/>
        <v>1</v>
      </c>
      <c r="BO54" s="59"/>
      <c r="BP54" s="59"/>
      <c r="BR54" s="209"/>
      <c r="BS54" s="209"/>
      <c r="BT54" s="209" t="str">
        <f>$A54</f>
        <v>Los Flekkerøy</v>
      </c>
      <c r="BU54" s="10"/>
      <c r="BV54" s="10"/>
      <c r="BW54" s="10"/>
      <c r="BX54" s="10"/>
      <c r="BY54" s="549"/>
      <c r="BZ54" s="10"/>
      <c r="CA54" s="10"/>
      <c r="CB54" s="209" t="str">
        <f>$A54</f>
        <v>Los Flekkerøy</v>
      </c>
      <c r="CC54" s="10"/>
      <c r="CD54" s="10"/>
      <c r="CE54" s="10"/>
      <c r="CF54" s="10"/>
      <c r="CG54" s="10"/>
      <c r="CH54" s="10"/>
      <c r="CI54" s="10"/>
      <c r="CJ54" s="10"/>
      <c r="CK54" s="10"/>
      <c r="CL54" s="209"/>
      <c r="CM54" s="10"/>
      <c r="CN54" s="209" t="str">
        <f>$A54</f>
        <v>Los Flekkerøy</v>
      </c>
      <c r="CO54" s="207"/>
      <c r="CP54" s="207"/>
      <c r="CQ54" s="116"/>
      <c r="CR54" s="207"/>
      <c r="CS54" s="203"/>
      <c r="CT54" s="203" t="s">
        <v>23</v>
      </c>
      <c r="CU54" s="107" t="str">
        <f t="shared" si="83"/>
        <v>-</v>
      </c>
      <c r="CV54" s="62" t="str">
        <f t="shared" si="13"/>
        <v>-</v>
      </c>
      <c r="CW54" s="62" t="str">
        <f t="shared" si="84"/>
        <v>-</v>
      </c>
      <c r="CX54" s="62" t="str">
        <f t="shared" si="15"/>
        <v>-</v>
      </c>
      <c r="CY54" s="107" t="str">
        <f t="shared" si="85"/>
        <v>-</v>
      </c>
      <c r="CZ54" s="168">
        <f t="shared" si="412"/>
        <v>1.1223529411764706</v>
      </c>
      <c r="DA54" s="158">
        <v>0.9</v>
      </c>
      <c r="DB54" s="168" t="str">
        <f t="shared" si="413"/>
        <v>-</v>
      </c>
      <c r="DC54" s="160">
        <v>1.22</v>
      </c>
      <c r="DD54" s="190" t="s">
        <v>134</v>
      </c>
      <c r="DE54" s="29" t="s">
        <v>23</v>
      </c>
      <c r="DF54" s="29" t="s">
        <v>23</v>
      </c>
      <c r="DG54" s="29" t="s">
        <v>23</v>
      </c>
      <c r="DH54" s="149">
        <v>2022</v>
      </c>
      <c r="DI54" s="62" t="str">
        <f t="shared" si="88"/>
        <v>-</v>
      </c>
      <c r="DJ54" s="47">
        <f t="shared" si="89"/>
        <v>10.410641989589358</v>
      </c>
      <c r="DK54" s="48">
        <f t="shared" si="414"/>
        <v>0</v>
      </c>
      <c r="DM54" s="107" t="str">
        <f t="shared" si="381"/>
        <v>-</v>
      </c>
      <c r="DN54" s="141" t="str">
        <f t="shared" si="415"/>
        <v>-</v>
      </c>
      <c r="DO54" s="107">
        <f t="shared" si="416"/>
        <v>4.5361783654658536</v>
      </c>
      <c r="DP54" s="133">
        <f>IF(SeilBeregnet=0,DP47,(SeilBeregnet^0.5/(Depl^0.3333))^DP$3*DP$7)</f>
        <v>2.789541609378114</v>
      </c>
      <c r="DQ54" s="133">
        <f>IF(SeilBeregnet=0,DQ47,(SeilBeregnet^0.5/Lwl)^DQ$3*DQ$7)</f>
        <v>0</v>
      </c>
      <c r="DR54" s="133">
        <f>IF(SeilBeregnet=0,DR47,(0.1*Loa/Depl^0.3333)^DR$3*DR$7)</f>
        <v>0</v>
      </c>
      <c r="DS54" s="133">
        <f>IF(SeilBeregnet=0,DS47,((Loa)/Bredde)^DS$3*DS$7)</f>
        <v>1.7466367560877394</v>
      </c>
      <c r="DT54" s="107">
        <f>IF(SeilBeregnet=0,DT47,(Lwl)^DT$3)</f>
        <v>1.8859172433475835</v>
      </c>
      <c r="DU54" s="133">
        <f>IF(SeilBeregnet=0,DU47,(Dypg/Loa)^DU$3*5*DU$7)</f>
        <v>2.0811665794102909</v>
      </c>
      <c r="DW54" s="107" t="str">
        <f t="shared" si="247"/>
        <v>-</v>
      </c>
      <c r="DX54" s="107" t="str">
        <f t="shared" si="93"/>
        <v>-</v>
      </c>
      <c r="DZ54" s="107" t="str">
        <f t="shared" si="94"/>
        <v>-</v>
      </c>
      <c r="EA54" s="122" t="str">
        <f t="shared" si="418"/>
        <v>-</v>
      </c>
      <c r="EB54" s="107" t="str">
        <f t="shared" si="419"/>
        <v>-</v>
      </c>
      <c r="EC54" s="122" t="str">
        <f t="shared" si="420"/>
        <v>-</v>
      </c>
      <c r="ED54" s="107">
        <f>IF(SeilBeregnet=0,ED47,SeilBeregnet^0.5/Depl^0.33333)</f>
        <v>2.7892490151243452</v>
      </c>
      <c r="EE54" s="107">
        <f>IF(SeilBeregnet=0,EE47,Lwl^0.3333)</f>
        <v>2.3298436208665341</v>
      </c>
      <c r="EF54" s="107">
        <f>IF(SeilBeregnet=0,EF47,((Loa+Lwl)/Bredde)^EF$3)</f>
        <v>1.5468452919478386</v>
      </c>
      <c r="EH54" s="107" t="str">
        <f t="shared" si="421"/>
        <v>-</v>
      </c>
      <c r="EJ54" s="107">
        <f>IF(SeilBeregnet=0,EJ47,SeilBeregnet^0.5/Depl^0.33333)</f>
        <v>2.7892490151243452</v>
      </c>
      <c r="EK54" s="107">
        <f>IF(SeilBeregnet=0,EK47,Lwl^EK$3)</f>
        <v>2.3300209979525235</v>
      </c>
      <c r="EL54" s="107">
        <f>IF(SeilBeregnet=0,EL47,((Loa+Lwl)/Bredde)^EL$3)</f>
        <v>1.7888362215273397</v>
      </c>
      <c r="EM54" s="107" t="str">
        <f t="shared" si="422"/>
        <v>-</v>
      </c>
      <c r="EO54" s="107">
        <f>IF(SeilBeregnet=0,EO47,(EP54*EQ54)^EO$3)</f>
        <v>4.3145367071152387</v>
      </c>
      <c r="EP54" s="107">
        <f>IF(SeilBeregnet=0,EP47,SeilBeregnet^0.5/Depl^0.33333)</f>
        <v>2.7892490151243452</v>
      </c>
      <c r="EQ54" s="107">
        <f>IF(SeilBeregnet=0,EQ47,((Loa+Lwl)/Bredde)^EQ$3)</f>
        <v>1.5468452919478386</v>
      </c>
      <c r="ER54" s="107">
        <f>IF(SeilBeregnet=0,ER47,Lwl^ER$3)</f>
        <v>1.8859172433475835</v>
      </c>
      <c r="ES54" s="107" t="str">
        <f t="shared" si="382"/>
        <v>-</v>
      </c>
      <c r="EU54" s="107">
        <f>IF(SeilBeregnet=0,EU47,(EV:EV*EW:EW)^EU$3)</f>
        <v>1.6603443850685622</v>
      </c>
      <c r="EV54" s="107">
        <f>IF(SeilBeregnet=0,EV47,SeilBeregnet^0.5/Depl^0.33333)</f>
        <v>2.7892490151243452</v>
      </c>
      <c r="EW54" s="107">
        <f>IF(SeilBeregnet=0,EW47,((Loa+Lwl)/Bredde/6)^EW$3)</f>
        <v>0.98834613262588367</v>
      </c>
      <c r="EX54" s="107">
        <f>IF(SeilBeregnet=0,EX47,(Lwl*0.7+Loa*0.3)^EX$3)</f>
        <v>1.9055124848006821</v>
      </c>
      <c r="EY54" s="107" t="str">
        <f t="shared" si="383"/>
        <v>-</v>
      </c>
      <c r="FA54" s="107">
        <f t="shared" si="371"/>
        <v>1.6604314684526558</v>
      </c>
      <c r="FB54" s="107">
        <f>IF(SeilBeregnet=0,FB47,SeilBeregnet^0.5/Depl^0.3333)</f>
        <v>2.789541609378114</v>
      </c>
      <c r="FC54" s="107">
        <f>IF(SeilBeregnet=0,FC47,((Loa+Lwl)/Bredde/6)^FC$3)</f>
        <v>0.98834613262588367</v>
      </c>
      <c r="FD54" s="107">
        <f>IF(SeilBeregnet=0,FD47,(Lwl*0.7+Loa*0.3)^FD$3)</f>
        <v>1.9055124848006821</v>
      </c>
      <c r="FE54" s="107" t="str">
        <f t="shared" si="384"/>
        <v>-</v>
      </c>
      <c r="FF54" s="141" t="str">
        <f t="shared" si="423"/>
        <v>-</v>
      </c>
      <c r="FG54" s="107">
        <f t="shared" si="372"/>
        <v>2.7249025684454553</v>
      </c>
      <c r="FH54" s="133">
        <f>IF(SeilBeregnet=0,FH47,(SeilBeregnet^0.5/(Depl^0.3333))^FH$3)</f>
        <v>2.789541609378114</v>
      </c>
      <c r="FI54" s="133">
        <f>IF(SeilBeregnet=0,FI47,((Loa+Lwl)/Bredde/6)^FI$3)</f>
        <v>0.9768280778765408</v>
      </c>
      <c r="FJ54" s="107">
        <f>IF(SeilBeregnet=0,FJ47,(Lwl*0.07+Loa*0.03)^FJ$3)</f>
        <v>1.0715484158695705</v>
      </c>
      <c r="FK54" s="107" t="str">
        <f t="shared" si="385"/>
        <v>-</v>
      </c>
      <c r="FL54" s="141" t="str">
        <f t="shared" si="424"/>
        <v>-</v>
      </c>
      <c r="FM54" s="107">
        <f t="shared" si="373"/>
        <v>4.7434121756269612</v>
      </c>
      <c r="FN54" s="133">
        <f>IF(SeilBeregnet=0,FN47,(SeilBeregnet^0.5/(Depl^0.3333))^FN$3)</f>
        <v>2.789541609378114</v>
      </c>
      <c r="FO54" s="133">
        <f>IF(SeilBeregnet=0,FO47,(SeilBeregnet^0.5/Lwl*FO$7)^FO$3)</f>
        <v>0.70723381016110809</v>
      </c>
      <c r="FP54" s="133">
        <f>IF(SeilBeregnet=0,FP47,((Loa)/Bredde)^FP$3*FP$7)</f>
        <v>1.7466367560877394</v>
      </c>
      <c r="FQ54" s="107">
        <f>IF(SeilBeregnet=0,FQ47,(Lwl)^FQ$3)</f>
        <v>1.8859172433475835</v>
      </c>
      <c r="FR54" s="107" t="str">
        <f t="shared" si="386"/>
        <v>-</v>
      </c>
      <c r="FS54" s="141" t="str">
        <f t="shared" si="425"/>
        <v>-</v>
      </c>
      <c r="FT54" s="107">
        <f t="shared" si="374"/>
        <v>4.8723159075759606</v>
      </c>
      <c r="FU54" s="133">
        <f>IF(SeilBeregnet=0,FU47,(SeilBeregnet^0.5/(Depl^0.3333))^FU$3)</f>
        <v>2.789541609378114</v>
      </c>
      <c r="FV54" s="133">
        <f>IF(SeilBeregnet=0,FV47,(Loa/Bredde)^FV$3)</f>
        <v>1.7466367560877394</v>
      </c>
      <c r="FW54" s="107">
        <f>IF(SeilBeregnet=0,FW47,Lwl^FW$3)</f>
        <v>1.8859172433475835</v>
      </c>
      <c r="FY54">
        <v>0.95</v>
      </c>
      <c r="FZ54" s="62" t="str">
        <f t="shared" si="48"/>
        <v>-</v>
      </c>
      <c r="GA54" s="62">
        <f t="shared" si="49"/>
        <v>1.9050019050028575</v>
      </c>
      <c r="GB54" s="107" t="str">
        <f t="shared" si="50"/>
        <v>-</v>
      </c>
      <c r="GC54" s="441"/>
      <c r="GD54" s="57"/>
      <c r="GE54" s="436"/>
      <c r="GF54" s="75"/>
      <c r="GG54" s="57"/>
      <c r="GH54" s="57"/>
      <c r="GI54" s="57"/>
      <c r="GJ54" s="57"/>
      <c r="GL54" s="57" t="s">
        <v>478</v>
      </c>
      <c r="GM54" s="436" t="s">
        <v>478</v>
      </c>
      <c r="GN54" s="58" t="s">
        <v>478</v>
      </c>
      <c r="GO54" s="58" t="s">
        <v>478</v>
      </c>
      <c r="GP54" s="58" t="s">
        <v>478</v>
      </c>
      <c r="GQ54" s="58" t="s">
        <v>478</v>
      </c>
      <c r="GS54" s="57"/>
      <c r="GT54" s="57"/>
      <c r="GU54" s="57"/>
      <c r="GV54" s="632"/>
      <c r="GW54" s="57"/>
      <c r="GX54" s="57"/>
      <c r="GY54" s="57"/>
      <c r="GZ54" s="57"/>
    </row>
    <row r="55" spans="1:208" ht="15.6" x14ac:dyDescent="0.3">
      <c r="A55" s="60" t="s">
        <v>28</v>
      </c>
      <c r="B55" s="218"/>
      <c r="C55" s="61" t="str">
        <f>C54</f>
        <v>Gaffel</v>
      </c>
      <c r="D55" s="61"/>
      <c r="E55" s="61"/>
      <c r="F55" s="61"/>
      <c r="G55" s="54"/>
      <c r="H55" s="204">
        <f>TBFavrundet</f>
        <v>119.49999999999999</v>
      </c>
      <c r="I55" s="63">
        <f>COUNTA(O55:AG55)</f>
        <v>4</v>
      </c>
      <c r="J55" s="222">
        <f>SUM(O55:AG55)</f>
        <v>124.6</v>
      </c>
      <c r="K55" s="116">
        <f>Seilareal/Depl^0.667/K$7</f>
        <v>1.4603473833699256</v>
      </c>
      <c r="L55" s="116">
        <f>Seilareal/Lwl/Lwl/L$7</f>
        <v>1.3905862002598912</v>
      </c>
      <c r="M55" s="92">
        <f>RiggF</f>
        <v>0.7596308186195827</v>
      </c>
      <c r="N55" s="242">
        <f>StHfaktor</f>
        <v>0.99903188895757034</v>
      </c>
      <c r="O55" s="143"/>
      <c r="P55" s="143"/>
      <c r="Q55" s="143"/>
      <c r="R55" s="165">
        <v>29</v>
      </c>
      <c r="S55" s="143"/>
      <c r="T55" s="143"/>
      <c r="U55" s="165">
        <v>21.3</v>
      </c>
      <c r="V55" s="559"/>
      <c r="W55" s="559"/>
      <c r="X55" s="165">
        <v>63.2</v>
      </c>
      <c r="Y55" s="143"/>
      <c r="Z55" s="143"/>
      <c r="AA55" s="165">
        <v>11.1</v>
      </c>
      <c r="AB55" s="143"/>
      <c r="AC55" s="143"/>
      <c r="AD55" s="143"/>
      <c r="AE55" s="143"/>
      <c r="AF55" s="143"/>
      <c r="AG55" s="551"/>
      <c r="AH55" s="557"/>
      <c r="AI55" s="557">
        <f t="shared" ref="AI55" si="454">AI54</f>
        <v>11.57</v>
      </c>
      <c r="AJ55" s="337">
        <f t="shared" ref="AJ55:AL57" si="455" xml:space="preserve"> AJ54</f>
        <v>0</v>
      </c>
      <c r="AK55" s="339"/>
      <c r="AL55" s="337">
        <f t="shared" si="455"/>
        <v>0</v>
      </c>
      <c r="AM55" s="339"/>
      <c r="AN55" s="267" t="str">
        <f t="shared" ref="AN55" si="456" xml:space="preserve"> AN54</f>
        <v>Los</v>
      </c>
      <c r="AO55" s="45">
        <f>VLOOKUP(AN55,Skrogform!$1:$1048576,3,FALSE)</f>
        <v>0.97</v>
      </c>
      <c r="AP55" s="64">
        <f t="shared" ref="AP55:AZ55" si="457">AP54</f>
        <v>12.4</v>
      </c>
      <c r="AQ55" s="64">
        <f t="shared" si="457"/>
        <v>11.66</v>
      </c>
      <c r="AR55" s="64">
        <f t="shared" si="457"/>
        <v>4.63</v>
      </c>
      <c r="AS55" s="64">
        <f t="shared" si="457"/>
        <v>1.8</v>
      </c>
      <c r="AT55" s="64"/>
      <c r="AU55" s="64">
        <f t="shared" si="457"/>
        <v>22.2</v>
      </c>
      <c r="AV55" s="64">
        <f t="shared" si="457"/>
        <v>0</v>
      </c>
      <c r="AW55" s="64">
        <f t="shared" si="457"/>
        <v>4</v>
      </c>
      <c r="AX55" s="256">
        <f>AX54</f>
        <v>0</v>
      </c>
      <c r="AY55" s="256">
        <f t="shared" si="457"/>
        <v>113</v>
      </c>
      <c r="AZ55" s="256">
        <f t="shared" si="457"/>
        <v>680</v>
      </c>
      <c r="BA55" s="256">
        <f t="shared" ref="BA55:BB55" si="458">BA54</f>
        <v>0</v>
      </c>
      <c r="BB55" s="256">
        <f t="shared" si="458"/>
        <v>0</v>
      </c>
      <c r="BC55" s="256"/>
      <c r="BD55" s="66"/>
      <c r="BE55" s="66"/>
      <c r="BF55" s="261"/>
      <c r="BG55" s="66"/>
      <c r="BH55" s="175"/>
      <c r="BI55" s="66"/>
      <c r="BJ55" s="66"/>
      <c r="BK55" s="65">
        <f t="shared" ref="BK55:BM55" si="459" xml:space="preserve"> BK54</f>
        <v>0</v>
      </c>
      <c r="BL55" s="267">
        <f t="shared" si="459"/>
        <v>0</v>
      </c>
      <c r="BM55" s="267">
        <f t="shared" si="459"/>
        <v>0</v>
      </c>
      <c r="BN55" s="45">
        <f t="shared" si="410"/>
        <v>1</v>
      </c>
      <c r="BO55" s="59"/>
      <c r="BP55" s="59"/>
      <c r="BR55" s="49">
        <f t="shared" ref="BR55:BX57" si="460">IF(O55=0,0,O55*BR$9)</f>
        <v>0</v>
      </c>
      <c r="BS55" s="49">
        <f t="shared" si="460"/>
        <v>0</v>
      </c>
      <c r="BT55" s="49">
        <f t="shared" si="460"/>
        <v>0</v>
      </c>
      <c r="BU55" s="49">
        <f t="shared" si="460"/>
        <v>29</v>
      </c>
      <c r="BV55" s="49">
        <f t="shared" si="460"/>
        <v>0</v>
      </c>
      <c r="BW55" s="49">
        <f t="shared" si="460"/>
        <v>0</v>
      </c>
      <c r="BX55" s="49">
        <f t="shared" si="460"/>
        <v>21.3</v>
      </c>
      <c r="BY55" s="549">
        <f>IF(COUNT(Q55:U55)&gt;1,MINA(Q55:U55)*BY$9,0)</f>
        <v>-10.65</v>
      </c>
      <c r="BZ55" s="85">
        <f t="shared" ref="BZ55:CD57" si="461">IF(V55=0,0,V55*BZ$9)</f>
        <v>0</v>
      </c>
      <c r="CA55" s="85">
        <f t="shared" si="461"/>
        <v>0</v>
      </c>
      <c r="CB55" s="85">
        <f t="shared" si="461"/>
        <v>50.56</v>
      </c>
      <c r="CC55" s="85">
        <f t="shared" si="461"/>
        <v>0</v>
      </c>
      <c r="CD55" s="85">
        <f t="shared" si="461"/>
        <v>0</v>
      </c>
      <c r="CE55" s="85">
        <f>IF(AC55=0,0,AC55*CE$9)</f>
        <v>0</v>
      </c>
      <c r="CF55" s="85">
        <f t="shared" ref="CF55:CG57" si="462">IF(AA55=0,0,AA55*CF$9)</f>
        <v>4.4400000000000004</v>
      </c>
      <c r="CG55" s="85">
        <f t="shared" si="462"/>
        <v>0</v>
      </c>
      <c r="CH55" s="85">
        <f t="shared" ref="CH55:CK57" si="463">IF(AD55=0,0,AD55*CH$9)</f>
        <v>0</v>
      </c>
      <c r="CI55" s="85">
        <f t="shared" si="463"/>
        <v>0</v>
      </c>
      <c r="CJ55" s="85">
        <f t="shared" si="463"/>
        <v>0</v>
      </c>
      <c r="CK55" s="85">
        <f t="shared" si="463"/>
        <v>0</v>
      </c>
      <c r="CL55" s="100">
        <f>SUM(BR55:CK55)</f>
        <v>94.65</v>
      </c>
      <c r="CM55" s="50"/>
      <c r="CN55" s="104">
        <f>J55</f>
        <v>124.6</v>
      </c>
      <c r="CO55" s="101">
        <f>CL55/CN55</f>
        <v>0.7596308186195827</v>
      </c>
      <c r="CP55" s="51">
        <f>Seilareal/Lwl/Lwl</f>
        <v>0.91647567294028343</v>
      </c>
      <c r="CQ55" s="116">
        <f>Seilareal/Depl^0.667/K$7</f>
        <v>1.4603473833699256</v>
      </c>
      <c r="CR55" s="51">
        <f>Seilareal/Lwl/Lwl/SApRS1</f>
        <v>1.3905862002598912</v>
      </c>
      <c r="CS55" s="204"/>
      <c r="CT55" s="204">
        <f>(ROUND(TBF/CT$6,3)*CT$6)*CT$4</f>
        <v>119.49999999999999</v>
      </c>
      <c r="CU55" s="107">
        <f t="shared" si="83"/>
        <v>1.1926373489548527</v>
      </c>
      <c r="CV55" s="62">
        <f t="shared" si="13"/>
        <v>3.4479184664802562</v>
      </c>
      <c r="CW55" s="62">
        <f t="shared" si="84"/>
        <v>1.6119156734236881</v>
      </c>
      <c r="CX55" s="62">
        <f t="shared" si="15"/>
        <v>1.8478837127354022</v>
      </c>
      <c r="CY55" s="107">
        <f t="shared" si="85"/>
        <v>0.99903188895757034</v>
      </c>
      <c r="CZ55" s="168">
        <f t="shared" si="412"/>
        <v>1.1223529411764706</v>
      </c>
      <c r="DA55" s="159">
        <f>DA54</f>
        <v>0.9</v>
      </c>
      <c r="DB55" s="168">
        <f t="shared" si="413"/>
        <v>1.1343859649122807</v>
      </c>
      <c r="DC55" s="159">
        <f>DC54</f>
        <v>1.22</v>
      </c>
      <c r="DD55" s="190" t="s">
        <v>134</v>
      </c>
      <c r="DE55" s="62" t="s">
        <v>102</v>
      </c>
      <c r="DF55" s="62" t="s">
        <v>102</v>
      </c>
      <c r="DG55" s="62" t="s">
        <v>102</v>
      </c>
      <c r="DH55" s="150" t="s">
        <v>102</v>
      </c>
      <c r="DI55" s="62">
        <f t="shared" si="88"/>
        <v>1.8936190765247816</v>
      </c>
      <c r="DJ55" s="47">
        <f t="shared" si="89"/>
        <v>10.410641989589358</v>
      </c>
      <c r="DK55" s="48">
        <f t="shared" si="414"/>
        <v>0</v>
      </c>
      <c r="DM55" s="107">
        <f t="shared" si="381"/>
        <v>1.1682503725167086</v>
      </c>
      <c r="DN55" s="141" t="str">
        <f t="shared" si="415"/>
        <v>-</v>
      </c>
      <c r="DO55" s="107">
        <f t="shared" si="416"/>
        <v>5.0984669148701904</v>
      </c>
      <c r="DP55" s="133">
        <f>IF(SeilBeregnet=0,DP54,(SeilBeregnet^0.5/(Depl^0.3333))^DP$3*DP$7)</f>
        <v>3.4619505705764984</v>
      </c>
      <c r="DQ55" s="133">
        <f>IF(SeilBeregnet=0,DQ54,(SeilBeregnet^0.5/Lwl)^DQ$3*DQ$7)</f>
        <v>0</v>
      </c>
      <c r="DR55" s="133">
        <f>IF(SeilBeregnet=0,DR54,(0.1*Loa/Depl^0.3333)^DR$3*DR$7)</f>
        <v>0</v>
      </c>
      <c r="DS55" s="133">
        <f>IF(SeilBeregnet=0,DS54,((Loa)/Bredde)^DS$3*DS$7)</f>
        <v>1.6365163442936916</v>
      </c>
      <c r="DT55" s="107">
        <f>IF(SeilBeregnet=0,DT54,(Lwl)^DT$3)</f>
        <v>1.8478837127354022</v>
      </c>
      <c r="DU55" s="133">
        <f>IF(SeilBeregnet=0,DU54,(Dypg/Loa)^DU$3*5*DU$7)</f>
        <v>1.9050019050028575</v>
      </c>
      <c r="DW55" s="107">
        <f t="shared" si="247"/>
        <v>1.229523040159642</v>
      </c>
      <c r="DX55" s="107">
        <f t="shared" si="93"/>
        <v>1.1877019542687979</v>
      </c>
      <c r="DZ55" s="107">
        <f t="shared" si="94"/>
        <v>1.1469704811597035</v>
      </c>
      <c r="EA55" s="122" t="str">
        <f t="shared" si="418"/>
        <v>-</v>
      </c>
      <c r="EB55" s="107">
        <f t="shared" si="419"/>
        <v>1.2012235228998667</v>
      </c>
      <c r="EC55" s="122" t="str">
        <f t="shared" si="420"/>
        <v>-</v>
      </c>
      <c r="ED55" s="107">
        <f t="shared" ref="ED55:ED68" si="464">IF(SeilBeregnet=0,ED54,SeilBeregnet^0.5/Depl^0.33333)</f>
        <v>3.4616286145600816</v>
      </c>
      <c r="EE55" s="107">
        <f t="shared" ref="EE55:EE68" si="465">IF(SeilBeregnet=0,EE54,Lwl^0.3333)</f>
        <v>2.2674129716058933</v>
      </c>
      <c r="EF55" s="107">
        <f t="shared" ref="EF55:EF68" si="466">IF(SeilBeregnet=0,EF54,((Loa+Lwl)/Bredde)^EF$3)</f>
        <v>1.5098321121096678</v>
      </c>
      <c r="EH55" s="107">
        <f t="shared" si="421"/>
        <v>1.1800811331127412</v>
      </c>
      <c r="EJ55" s="107">
        <f t="shared" ref="EJ55:EJ68" si="467">IF(SeilBeregnet=0,EJ54,SeilBeregnet^0.5/Depl^0.33333)</f>
        <v>3.4616286145600816</v>
      </c>
      <c r="EK55" s="107">
        <f t="shared" ref="EK55:EK68" si="468">IF(SeilBeregnet=0,EK54,Lwl^EK$3)</f>
        <v>2.2675800519171947</v>
      </c>
      <c r="EL55" s="107">
        <f t="shared" ref="EL55:EL68" si="469">IF(SeilBeregnet=0,EL54,((Loa+Lwl)/Bredde)^EL$3)</f>
        <v>1.7319991990329835</v>
      </c>
      <c r="EM55" s="107">
        <f t="shared" si="422"/>
        <v>1.190230193909406</v>
      </c>
      <c r="EO55" s="107">
        <f t="shared" ref="EO55:EO68" si="470">IF(SeilBeregnet=0,EO54,(EP55*EQ55)^EO$3)</f>
        <v>5.2264780424605117</v>
      </c>
      <c r="EP55" s="107">
        <f t="shared" ref="EP55:EP68" si="471">IF(SeilBeregnet=0,EP54,SeilBeregnet^0.5/Depl^0.33333)</f>
        <v>3.4616286145600816</v>
      </c>
      <c r="EQ55" s="107">
        <f t="shared" ref="EQ55:EQ68" si="472">IF(SeilBeregnet=0,EQ54,((Loa+Lwl)/Bredde)^EQ$3)</f>
        <v>1.5098321121096678</v>
      </c>
      <c r="ER55" s="107">
        <f t="shared" ref="ER55:ER68" si="473">IF(SeilBeregnet=0,ER54,Lwl^ER$3)</f>
        <v>1.8478837127354022</v>
      </c>
      <c r="ES55" s="107">
        <f t="shared" si="382"/>
        <v>1.1858235199807206</v>
      </c>
      <c r="EU55" s="107">
        <f t="shared" ref="EU55:EU61" si="474">IF(SeilBeregnet=0,EU54,(EV:EV*EW:EW)^EU$3)</f>
        <v>1.8274085762972387</v>
      </c>
      <c r="EV55" s="107">
        <f t="shared" ref="EV55:EV68" si="475">IF(SeilBeregnet=0,EV54,SeilBeregnet^0.5/Depl^0.33333)</f>
        <v>3.4616286145600816</v>
      </c>
      <c r="EW55" s="107">
        <f t="shared" ref="EW55:EW68" si="476">IF(SeilBeregnet=0,EW54,((Loa+Lwl)/Bredde/6)^EW$3)</f>
        <v>0.96469681660205731</v>
      </c>
      <c r="EX55" s="107">
        <f t="shared" ref="EX55:EX68" si="477">IF(SeilBeregnet=0,EX54,(Lwl*0.7+Loa*0.3)^EX$3)</f>
        <v>1.8566172748144953</v>
      </c>
      <c r="EY55" s="107">
        <f t="shared" si="383"/>
        <v>1.1408865516521214</v>
      </c>
      <c r="FA55" s="107">
        <f t="shared" si="371"/>
        <v>1.8274935553015841</v>
      </c>
      <c r="FB55" s="107">
        <f t="shared" ref="FB55:FB68" si="478">IF(SeilBeregnet=0,FB54,SeilBeregnet^0.5/Depl^0.3333)</f>
        <v>3.4619505705764984</v>
      </c>
      <c r="FC55" s="107">
        <f t="shared" ref="FC55:FC68" si="479">IF(SeilBeregnet=0,FC54,((Loa+Lwl)/Bredde/6)^FC$3)</f>
        <v>0.96469681660205731</v>
      </c>
      <c r="FD55" s="107">
        <f t="shared" ref="FD55:FD68" si="480">IF(SeilBeregnet=0,FD54,(Lwl*0.7+Loa*0.3)^FD$3)</f>
        <v>1.8566172748144953</v>
      </c>
      <c r="FE55" s="107">
        <f t="shared" si="384"/>
        <v>1.1448916001519434</v>
      </c>
      <c r="FF55" s="141" t="str">
        <f t="shared" si="423"/>
        <v>-</v>
      </c>
      <c r="FG55" s="107">
        <f t="shared" si="372"/>
        <v>3.221829498848825</v>
      </c>
      <c r="FH55" s="133">
        <f t="shared" ref="FH55:FH68" si="481">IF(SeilBeregnet=0,FH54,(SeilBeregnet^0.5/(Depl^0.3333))^FH$3)</f>
        <v>3.4619505705764984</v>
      </c>
      <c r="FI55" s="133">
        <f t="shared" ref="FI55:FI68" si="482">IF(SeilBeregnet=0,FI54,((Loa+Lwl)/Bredde/6)^FI$3)</f>
        <v>0.93063994796214333</v>
      </c>
      <c r="FJ55" s="107">
        <f t="shared" ref="FJ55:FJ68" si="483">IF(SeilBeregnet=0,FJ54,(Lwl*0.07+Loa*0.03)^FJ$3)</f>
        <v>1.0440526186904779</v>
      </c>
      <c r="FK55" s="107">
        <f t="shared" si="385"/>
        <v>1.1946721514770606</v>
      </c>
      <c r="FL55" s="141" t="str">
        <f t="shared" si="424"/>
        <v>-</v>
      </c>
      <c r="FM55" s="107">
        <f t="shared" si="373"/>
        <v>5.4328428287606618</v>
      </c>
      <c r="FN55" s="133">
        <f t="shared" ref="FN55:FN68" si="484">IF(SeilBeregnet=0,FN54,(SeilBeregnet^0.5/(Depl^0.3333))^FN$3)</f>
        <v>3.4619505705764984</v>
      </c>
      <c r="FO55" s="133">
        <f t="shared" ref="FO55:FO68" si="485">IF(SeilBeregnet=0,FO54,(SeilBeregnet^0.5/Lwl*FO$7)^FO$3)</f>
        <v>0.83437591389047217</v>
      </c>
      <c r="FP55" s="133">
        <f t="shared" ref="FP55:FP68" si="486">IF(SeilBeregnet=0,FP54,((Loa)/Bredde)^FP$3*FP$7)</f>
        <v>1.6365163442936916</v>
      </c>
      <c r="FQ55" s="107">
        <f t="shared" ref="FQ55:FQ68" si="487">IF(SeilBeregnet=0,FQ54,(Lwl)^FQ$3)</f>
        <v>1.8478837127354022</v>
      </c>
      <c r="FR55" s="107">
        <f t="shared" si="386"/>
        <v>1.1430906575071174</v>
      </c>
      <c r="FS55" s="141" t="str">
        <f t="shared" si="425"/>
        <v>-</v>
      </c>
      <c r="FT55" s="107">
        <f t="shared" si="374"/>
        <v>5.6655386918853106</v>
      </c>
      <c r="FU55" s="133">
        <f t="shared" ref="FU55:FU68" si="488">IF(SeilBeregnet=0,FU54,(SeilBeregnet^0.5/(Depl^0.3333))^FU$3)</f>
        <v>3.4619505705764984</v>
      </c>
      <c r="FV55" s="133">
        <f t="shared" ref="FV55:FV68" si="489">IF(SeilBeregnet=0,FV54,(Loa/Bredde)^FV$3)</f>
        <v>1.6365163442936916</v>
      </c>
      <c r="FW55" s="107">
        <f t="shared" ref="FW55:FW68" si="490">IF(SeilBeregnet=0,FW54,Lwl^FW$3)</f>
        <v>1.8478837127354022</v>
      </c>
      <c r="FY55">
        <v>0.95</v>
      </c>
      <c r="FZ55" s="62">
        <f t="shared" si="48"/>
        <v>1.1498565033686878</v>
      </c>
      <c r="GA55" s="62">
        <f t="shared" si="49"/>
        <v>1.9050019050028575</v>
      </c>
      <c r="GB55" s="107">
        <f t="shared" si="50"/>
        <v>1.1422424184871949</v>
      </c>
      <c r="GC55" s="440"/>
      <c r="GD55" s="17"/>
      <c r="GE55" s="442"/>
      <c r="GF55" s="462"/>
      <c r="GG55" s="17"/>
      <c r="GH55" s="17"/>
      <c r="GI55" s="17"/>
      <c r="GJ55" s="17"/>
      <c r="GL55" s="17"/>
      <c r="GM55" s="442"/>
      <c r="GN55" s="8"/>
      <c r="GO55" s="8"/>
      <c r="GP55" s="8"/>
      <c r="GQ55" s="8"/>
      <c r="GS55" s="17"/>
      <c r="GT55" s="17"/>
      <c r="GU55" s="17"/>
      <c r="GV55" s="629"/>
      <c r="GW55" s="17"/>
      <c r="GX55" s="17"/>
      <c r="GY55" s="17"/>
      <c r="GZ55" s="17"/>
    </row>
    <row r="56" spans="1:208" ht="15.6" x14ac:dyDescent="0.3">
      <c r="A56" s="60" t="s">
        <v>29</v>
      </c>
      <c r="B56" s="218"/>
      <c r="C56" s="61" t="str">
        <f t="shared" ref="C56:C57" si="491">C55</f>
        <v>Gaffel</v>
      </c>
      <c r="D56" s="61"/>
      <c r="E56" s="61"/>
      <c r="F56" s="61"/>
      <c r="G56" s="54"/>
      <c r="H56" s="204">
        <f>TBFavrundet</f>
        <v>117.49999999999999</v>
      </c>
      <c r="I56" s="63">
        <f>COUNTA(O56:AG56)</f>
        <v>3</v>
      </c>
      <c r="J56" s="222">
        <f>SUM(O56:AG56)</f>
        <v>113.5</v>
      </c>
      <c r="K56" s="116">
        <f>Seilareal/Depl^0.667/K$7</f>
        <v>1.3302522312398601</v>
      </c>
      <c r="L56" s="116">
        <f>Seilareal/Lwl/Lwl/L$7</f>
        <v>1.2667057281661129</v>
      </c>
      <c r="M56" s="92">
        <f>RiggF</f>
        <v>0.79480176211453757</v>
      </c>
      <c r="N56" s="242">
        <f>StHfaktor</f>
        <v>0.99903188895757034</v>
      </c>
      <c r="O56" s="143"/>
      <c r="P56" s="143"/>
      <c r="Q56" s="143"/>
      <c r="R56" s="165">
        <v>29</v>
      </c>
      <c r="S56" s="143"/>
      <c r="T56" s="143"/>
      <c r="U56" s="165">
        <v>21.3</v>
      </c>
      <c r="V56" s="559"/>
      <c r="W56" s="559"/>
      <c r="X56" s="165">
        <v>63.2</v>
      </c>
      <c r="Y56" s="143"/>
      <c r="Z56" s="143"/>
      <c r="AA56" s="143"/>
      <c r="AB56" s="143"/>
      <c r="AC56" s="143"/>
      <c r="AD56" s="143"/>
      <c r="AE56" s="143"/>
      <c r="AF56" s="143"/>
      <c r="AG56" s="551"/>
      <c r="AH56" s="557"/>
      <c r="AI56" s="557">
        <f t="shared" ref="AI56" si="492">AI55</f>
        <v>11.57</v>
      </c>
      <c r="AJ56" s="337">
        <f t="shared" si="455"/>
        <v>0</v>
      </c>
      <c r="AK56" s="339"/>
      <c r="AL56" s="337">
        <f t="shared" si="455"/>
        <v>0</v>
      </c>
      <c r="AM56" s="339"/>
      <c r="AN56" s="267" t="str">
        <f t="shared" ref="AN56" si="493" xml:space="preserve"> AN55</f>
        <v>Los</v>
      </c>
      <c r="AO56" s="45">
        <f>VLOOKUP(AN56,Skrogform!$1:$1048576,3,FALSE)</f>
        <v>0.97</v>
      </c>
      <c r="AP56" s="64">
        <f t="shared" ref="AP56:AZ56" si="494">AP55</f>
        <v>12.4</v>
      </c>
      <c r="AQ56" s="64">
        <f t="shared" si="494"/>
        <v>11.66</v>
      </c>
      <c r="AR56" s="64">
        <f t="shared" si="494"/>
        <v>4.63</v>
      </c>
      <c r="AS56" s="64">
        <f t="shared" si="494"/>
        <v>1.8</v>
      </c>
      <c r="AT56" s="64"/>
      <c r="AU56" s="64">
        <f t="shared" si="494"/>
        <v>22.2</v>
      </c>
      <c r="AV56" s="64">
        <f t="shared" si="494"/>
        <v>0</v>
      </c>
      <c r="AW56" s="64">
        <f t="shared" si="494"/>
        <v>4</v>
      </c>
      <c r="AX56" s="256">
        <f>AX55</f>
        <v>0</v>
      </c>
      <c r="AY56" s="256">
        <f t="shared" si="494"/>
        <v>113</v>
      </c>
      <c r="AZ56" s="256">
        <f t="shared" si="494"/>
        <v>680</v>
      </c>
      <c r="BA56" s="256">
        <f t="shared" ref="BA56:BB56" si="495">BA55</f>
        <v>0</v>
      </c>
      <c r="BB56" s="256">
        <f t="shared" si="495"/>
        <v>0</v>
      </c>
      <c r="BC56" s="256"/>
      <c r="BD56" s="66"/>
      <c r="BE56" s="66"/>
      <c r="BF56" s="261"/>
      <c r="BG56" s="66"/>
      <c r="BH56" s="175"/>
      <c r="BI56" s="66"/>
      <c r="BJ56" s="66"/>
      <c r="BK56" s="65">
        <f t="shared" ref="BK56:BM56" si="496" xml:space="preserve"> BK55</f>
        <v>0</v>
      </c>
      <c r="BL56" s="267">
        <f t="shared" si="496"/>
        <v>0</v>
      </c>
      <c r="BM56" s="267">
        <f t="shared" si="496"/>
        <v>0</v>
      </c>
      <c r="BN56" s="45">
        <f t="shared" si="410"/>
        <v>1</v>
      </c>
      <c r="BO56" s="59"/>
      <c r="BP56" s="59"/>
      <c r="BR56" s="49">
        <f t="shared" si="460"/>
        <v>0</v>
      </c>
      <c r="BS56" s="49">
        <f t="shared" si="460"/>
        <v>0</v>
      </c>
      <c r="BT56" s="49">
        <f t="shared" si="460"/>
        <v>0</v>
      </c>
      <c r="BU56" s="49">
        <f t="shared" si="460"/>
        <v>29</v>
      </c>
      <c r="BV56" s="49">
        <f t="shared" si="460"/>
        <v>0</v>
      </c>
      <c r="BW56" s="49">
        <f t="shared" si="460"/>
        <v>0</v>
      </c>
      <c r="BX56" s="49">
        <f t="shared" si="460"/>
        <v>21.3</v>
      </c>
      <c r="BY56" s="549">
        <f>IF(COUNT(Q56:U56)&gt;1,MINA(Q56:U56)*BY$9,0)</f>
        <v>-10.65</v>
      </c>
      <c r="BZ56" s="85">
        <f t="shared" si="461"/>
        <v>0</v>
      </c>
      <c r="CA56" s="85">
        <f t="shared" si="461"/>
        <v>0</v>
      </c>
      <c r="CB56" s="85">
        <f t="shared" si="461"/>
        <v>50.56</v>
      </c>
      <c r="CC56" s="85">
        <f t="shared" si="461"/>
        <v>0</v>
      </c>
      <c r="CD56" s="85">
        <f t="shared" si="461"/>
        <v>0</v>
      </c>
      <c r="CE56" s="85">
        <f>IF(AC56=0,0,AC56*CE$9)</f>
        <v>0</v>
      </c>
      <c r="CF56" s="85">
        <f t="shared" si="462"/>
        <v>0</v>
      </c>
      <c r="CG56" s="85">
        <f t="shared" si="462"/>
        <v>0</v>
      </c>
      <c r="CH56" s="85">
        <f t="shared" si="463"/>
        <v>0</v>
      </c>
      <c r="CI56" s="85">
        <f t="shared" si="463"/>
        <v>0</v>
      </c>
      <c r="CJ56" s="85">
        <f t="shared" si="463"/>
        <v>0</v>
      </c>
      <c r="CK56" s="85">
        <f t="shared" si="463"/>
        <v>0</v>
      </c>
      <c r="CL56" s="100">
        <f>SUM(BR56:CK56)</f>
        <v>90.210000000000008</v>
      </c>
      <c r="CM56" s="50"/>
      <c r="CN56" s="104">
        <f>J56</f>
        <v>113.5</v>
      </c>
      <c r="CO56" s="101">
        <f>CL56/CN56</f>
        <v>0.79480176211453757</v>
      </c>
      <c r="CP56" s="51">
        <f>Seilareal/Lwl/Lwl</f>
        <v>0.83483137141831598</v>
      </c>
      <c r="CQ56" s="116">
        <f>Seilareal/Depl^0.667/K$7</f>
        <v>1.3302522312398601</v>
      </c>
      <c r="CR56" s="51">
        <f>Seilareal/Lwl/Lwl/SApRS1</f>
        <v>1.2667057281661129</v>
      </c>
      <c r="CS56" s="204"/>
      <c r="CT56" s="204">
        <f>(ROUND(TBF/CT$6,3)*CT$6)*CT$4</f>
        <v>117.49999999999999</v>
      </c>
      <c r="CU56" s="107">
        <f t="shared" si="83"/>
        <v>1.1733467094908885</v>
      </c>
      <c r="CV56" s="62">
        <f t="shared" si="13"/>
        <v>3.3660767932961315</v>
      </c>
      <c r="CW56" s="62">
        <f t="shared" si="84"/>
        <v>1.6119156734236881</v>
      </c>
      <c r="CX56" s="62">
        <f t="shared" si="15"/>
        <v>1.8478837127354022</v>
      </c>
      <c r="CY56" s="107">
        <f t="shared" si="85"/>
        <v>0.99903188895757034</v>
      </c>
      <c r="CZ56" s="168" t="str">
        <f t="shared" si="412"/>
        <v>-</v>
      </c>
      <c r="DA56" s="158"/>
      <c r="DB56" s="168" t="str">
        <f t="shared" si="413"/>
        <v>-</v>
      </c>
      <c r="DC56" s="160"/>
      <c r="DD56" s="190" t="s">
        <v>134</v>
      </c>
      <c r="DE56" s="62" t="s">
        <v>102</v>
      </c>
      <c r="DF56" s="62" t="s">
        <v>102</v>
      </c>
      <c r="DG56" s="62" t="s">
        <v>102</v>
      </c>
      <c r="DH56" s="150" t="s">
        <v>102</v>
      </c>
      <c r="DI56" s="62">
        <f t="shared" si="88"/>
        <v>1.8936190765247816</v>
      </c>
      <c r="DJ56" s="47">
        <f t="shared" si="89"/>
        <v>10.410641989589358</v>
      </c>
      <c r="DK56" s="48">
        <f t="shared" si="414"/>
        <v>0</v>
      </c>
      <c r="DM56" s="107">
        <f t="shared" si="381"/>
        <v>1.14942104985295</v>
      </c>
      <c r="DN56" s="141" t="str">
        <f t="shared" si="415"/>
        <v>-</v>
      </c>
      <c r="DO56" s="107">
        <f t="shared" si="416"/>
        <v>5.0162921680102528</v>
      </c>
      <c r="DP56" s="133">
        <f>IF(SeilBeregnet=0,DP55,(SeilBeregnet^0.5/(Depl^0.3333))^DP$3*DP$7)</f>
        <v>3.3797758237165616</v>
      </c>
      <c r="DQ56" s="133">
        <f>IF(SeilBeregnet=0,DQ55,(SeilBeregnet^0.5/Lwl)^DQ$3*DQ$7)</f>
        <v>0</v>
      </c>
      <c r="DR56" s="133">
        <f>IF(SeilBeregnet=0,DR55,(0.1*Loa/Depl^0.3333)^DR$3*DR$7)</f>
        <v>0</v>
      </c>
      <c r="DS56" s="133">
        <f>IF(SeilBeregnet=0,DS55,((Loa)/Bredde)^DS$3*DS$7)</f>
        <v>1.6365163442936916</v>
      </c>
      <c r="DT56" s="107">
        <f>IF(SeilBeregnet=0,DT55,(Lwl)^DT$3)</f>
        <v>1.8478837127354022</v>
      </c>
      <c r="DU56" s="133">
        <f>IF(SeilBeregnet=0,DU55,(Dypg/Loa)^DU$3*5*DU$7)</f>
        <v>1.9050019050028575</v>
      </c>
      <c r="DW56" s="107">
        <f t="shared" si="247"/>
        <v>1.2096357829802975</v>
      </c>
      <c r="DX56" s="107">
        <f t="shared" si="93"/>
        <v>1.1653079658414154</v>
      </c>
      <c r="DZ56" s="107">
        <f t="shared" si="94"/>
        <v>1.1295612200174547</v>
      </c>
      <c r="EA56" s="122" t="str">
        <f t="shared" si="418"/>
        <v>-</v>
      </c>
      <c r="EB56" s="107">
        <f t="shared" si="419"/>
        <v>1.1793541568054127</v>
      </c>
      <c r="EC56" s="122" t="str">
        <f t="shared" si="420"/>
        <v>-</v>
      </c>
      <c r="ED56" s="107">
        <f t="shared" si="464"/>
        <v>3.3794615098237424</v>
      </c>
      <c r="EE56" s="107">
        <f t="shared" si="465"/>
        <v>2.2674129716058933</v>
      </c>
      <c r="EF56" s="107">
        <f t="shared" si="466"/>
        <v>1.5098321121096678</v>
      </c>
      <c r="EH56" s="107">
        <f t="shared" si="421"/>
        <v>1.1606469241776343</v>
      </c>
      <c r="EJ56" s="107">
        <f t="shared" si="467"/>
        <v>3.3794615098237424</v>
      </c>
      <c r="EK56" s="107">
        <f t="shared" si="468"/>
        <v>2.2675800519171947</v>
      </c>
      <c r="EL56" s="107">
        <f t="shared" si="469"/>
        <v>1.7319991990329835</v>
      </c>
      <c r="EM56" s="107">
        <f t="shared" si="422"/>
        <v>1.1697972511582782</v>
      </c>
      <c r="EO56" s="107">
        <f t="shared" si="470"/>
        <v>5.1024195091705078</v>
      </c>
      <c r="EP56" s="107">
        <f t="shared" si="471"/>
        <v>3.3794615098237424</v>
      </c>
      <c r="EQ56" s="107">
        <f t="shared" si="472"/>
        <v>1.5098321121096678</v>
      </c>
      <c r="ER56" s="107">
        <f t="shared" si="473"/>
        <v>1.8478837127354022</v>
      </c>
      <c r="ES56" s="107">
        <f t="shared" si="382"/>
        <v>1.1663322998731172</v>
      </c>
      <c r="EU56" s="107">
        <f t="shared" si="474"/>
        <v>1.8055901418528366</v>
      </c>
      <c r="EV56" s="107">
        <f t="shared" si="475"/>
        <v>3.3794615098237424</v>
      </c>
      <c r="EW56" s="107">
        <f t="shared" si="476"/>
        <v>0.96469681660205731</v>
      </c>
      <c r="EX56" s="107">
        <f t="shared" si="477"/>
        <v>1.8566172748144953</v>
      </c>
      <c r="EY56" s="107">
        <f t="shared" si="383"/>
        <v>1.1272648806374435</v>
      </c>
      <c r="FA56" s="107">
        <f t="shared" si="371"/>
        <v>1.8056741062461861</v>
      </c>
      <c r="FB56" s="107">
        <f t="shared" si="478"/>
        <v>3.3797758237165616</v>
      </c>
      <c r="FC56" s="107">
        <f t="shared" si="479"/>
        <v>0.96469681660205731</v>
      </c>
      <c r="FD56" s="107">
        <f t="shared" si="480"/>
        <v>1.8566172748144953</v>
      </c>
      <c r="FE56" s="107">
        <f t="shared" si="384"/>
        <v>1.1281243537142904</v>
      </c>
      <c r="FF56" s="141" t="str">
        <f t="shared" si="423"/>
        <v>-</v>
      </c>
      <c r="FG56" s="107">
        <f t="shared" si="372"/>
        <v>3.1453543967072912</v>
      </c>
      <c r="FH56" s="133">
        <f t="shared" si="481"/>
        <v>3.3797758237165616</v>
      </c>
      <c r="FI56" s="133">
        <f t="shared" si="482"/>
        <v>0.93063994796214333</v>
      </c>
      <c r="FJ56" s="107">
        <f t="shared" si="483"/>
        <v>1.0440526186904779</v>
      </c>
      <c r="FK56" s="107">
        <f t="shared" si="385"/>
        <v>1.1722469482349847</v>
      </c>
      <c r="FL56" s="141" t="str">
        <f t="shared" si="424"/>
        <v>-</v>
      </c>
      <c r="FM56" s="107">
        <f t="shared" si="373"/>
        <v>5.3308628801474951</v>
      </c>
      <c r="FN56" s="133">
        <f t="shared" si="484"/>
        <v>3.3797758237165616</v>
      </c>
      <c r="FO56" s="133">
        <f t="shared" si="485"/>
        <v>0.81457071213724197</v>
      </c>
      <c r="FP56" s="133">
        <f t="shared" si="486"/>
        <v>1.6365163442936916</v>
      </c>
      <c r="FQ56" s="107">
        <f t="shared" si="487"/>
        <v>1.8478837127354022</v>
      </c>
      <c r="FR56" s="107">
        <f t="shared" si="386"/>
        <v>1.1271864023890685</v>
      </c>
      <c r="FS56" s="141" t="str">
        <f t="shared" si="425"/>
        <v>-</v>
      </c>
      <c r="FT56" s="107">
        <f t="shared" si="374"/>
        <v>5.5310583755608276</v>
      </c>
      <c r="FU56" s="133">
        <f t="shared" si="488"/>
        <v>3.3797758237165616</v>
      </c>
      <c r="FV56" s="133">
        <f t="shared" si="489"/>
        <v>1.6365163442936916</v>
      </c>
      <c r="FW56" s="107">
        <f t="shared" si="490"/>
        <v>1.8478837127354022</v>
      </c>
      <c r="FY56">
        <v>0.95</v>
      </c>
      <c r="FZ56" s="62">
        <f t="shared" si="48"/>
        <v>1.1363654417289946</v>
      </c>
      <c r="GA56" s="62">
        <f t="shared" si="49"/>
        <v>1.9050019050028575</v>
      </c>
      <c r="GB56" s="107">
        <f t="shared" si="50"/>
        <v>1.1331323232949355</v>
      </c>
      <c r="GC56" s="440"/>
      <c r="GD56" s="17"/>
      <c r="GE56" s="442"/>
      <c r="GF56" s="462"/>
      <c r="GG56" s="17"/>
      <c r="GH56" s="17"/>
      <c r="GI56" s="17"/>
      <c r="GJ56" s="17"/>
      <c r="GL56" s="17"/>
      <c r="GM56" s="442"/>
      <c r="GN56" s="8"/>
      <c r="GO56" s="8"/>
      <c r="GP56" s="8"/>
      <c r="GQ56" s="8"/>
      <c r="GS56" s="17"/>
      <c r="GT56" s="17"/>
      <c r="GU56" s="17"/>
      <c r="GV56" s="629"/>
      <c r="GW56" s="17"/>
      <c r="GX56" s="17"/>
      <c r="GY56" s="17"/>
      <c r="GZ56" s="17"/>
    </row>
    <row r="57" spans="1:208" ht="15.6" x14ac:dyDescent="0.3">
      <c r="A57" s="60" t="s">
        <v>110</v>
      </c>
      <c r="B57" s="218"/>
      <c r="C57" s="61" t="str">
        <f t="shared" si="491"/>
        <v>Gaffel</v>
      </c>
      <c r="D57" s="61"/>
      <c r="E57" s="61"/>
      <c r="F57" s="61"/>
      <c r="G57" s="54"/>
      <c r="H57" s="204">
        <f>TBFavrundet</f>
        <v>112.5</v>
      </c>
      <c r="I57" s="63">
        <f>COUNTA(O57:AG57)</f>
        <v>3</v>
      </c>
      <c r="J57" s="222">
        <f>SUM(O57:AG57)</f>
        <v>99.5</v>
      </c>
      <c r="K57" s="116">
        <f>Seilareal/Depl^0.667/K$7</f>
        <v>1.1661682555803179</v>
      </c>
      <c r="L57" s="116">
        <f>Seilareal/Lwl/Lwl/L$7</f>
        <v>1.1104600876874735</v>
      </c>
      <c r="M57" s="92">
        <f>RiggF</f>
        <v>0.79758793969849251</v>
      </c>
      <c r="N57" s="242">
        <f>StHfaktor</f>
        <v>0.99903188895757034</v>
      </c>
      <c r="O57" s="143"/>
      <c r="P57" s="143"/>
      <c r="Q57" s="143"/>
      <c r="R57" s="143"/>
      <c r="S57" s="165">
        <v>15</v>
      </c>
      <c r="T57" s="143"/>
      <c r="U57" s="165">
        <v>21.3</v>
      </c>
      <c r="V57" s="559"/>
      <c r="W57" s="559"/>
      <c r="X57" s="165">
        <v>63.2</v>
      </c>
      <c r="Y57" s="143"/>
      <c r="Z57" s="143"/>
      <c r="AA57" s="143"/>
      <c r="AB57" s="143"/>
      <c r="AC57" s="143"/>
      <c r="AD57" s="143"/>
      <c r="AE57" s="143"/>
      <c r="AF57" s="143"/>
      <c r="AG57" s="551"/>
      <c r="AH57" s="557"/>
      <c r="AI57" s="557">
        <f t="shared" ref="AI57" si="497">AI56</f>
        <v>11.57</v>
      </c>
      <c r="AJ57" s="337">
        <f t="shared" si="455"/>
        <v>0</v>
      </c>
      <c r="AK57" s="339"/>
      <c r="AL57" s="337">
        <f t="shared" si="455"/>
        <v>0</v>
      </c>
      <c r="AM57" s="339"/>
      <c r="AN57" s="267" t="str">
        <f t="shared" ref="AN57" si="498" xml:space="preserve"> AN56</f>
        <v>Los</v>
      </c>
      <c r="AO57" s="45">
        <f>VLOOKUP(AN57,Skrogform!$1:$1048576,3,FALSE)</f>
        <v>0.97</v>
      </c>
      <c r="AP57" s="64">
        <f t="shared" ref="AP57:AZ57" si="499">AP56</f>
        <v>12.4</v>
      </c>
      <c r="AQ57" s="64">
        <f t="shared" si="499"/>
        <v>11.66</v>
      </c>
      <c r="AR57" s="64">
        <f t="shared" si="499"/>
        <v>4.63</v>
      </c>
      <c r="AS57" s="64">
        <f t="shared" si="499"/>
        <v>1.8</v>
      </c>
      <c r="AT57" s="64"/>
      <c r="AU57" s="64">
        <f t="shared" si="499"/>
        <v>22.2</v>
      </c>
      <c r="AV57" s="64">
        <f t="shared" si="499"/>
        <v>0</v>
      </c>
      <c r="AW57" s="64">
        <f t="shared" si="499"/>
        <v>4</v>
      </c>
      <c r="AX57" s="256">
        <f>AX56</f>
        <v>0</v>
      </c>
      <c r="AY57" s="256">
        <f t="shared" si="499"/>
        <v>113</v>
      </c>
      <c r="AZ57" s="256">
        <f t="shared" si="499"/>
        <v>680</v>
      </c>
      <c r="BA57" s="256">
        <f t="shared" ref="BA57:BB57" si="500">BA56</f>
        <v>0</v>
      </c>
      <c r="BB57" s="256">
        <f t="shared" si="500"/>
        <v>0</v>
      </c>
      <c r="BC57" s="256"/>
      <c r="BD57" s="66"/>
      <c r="BE57" s="66"/>
      <c r="BF57" s="261"/>
      <c r="BG57" s="66"/>
      <c r="BH57" s="175"/>
      <c r="BI57" s="66"/>
      <c r="BJ57" s="66"/>
      <c r="BK57" s="65">
        <f t="shared" ref="BK57:BM57" si="501" xml:space="preserve"> BK56</f>
        <v>0</v>
      </c>
      <c r="BL57" s="267">
        <f t="shared" si="501"/>
        <v>0</v>
      </c>
      <c r="BM57" s="267">
        <f t="shared" si="501"/>
        <v>0</v>
      </c>
      <c r="BN57" s="45">
        <f t="shared" si="410"/>
        <v>1</v>
      </c>
      <c r="BO57" s="59"/>
      <c r="BP57" s="59"/>
      <c r="BR57" s="49">
        <f t="shared" si="460"/>
        <v>0</v>
      </c>
      <c r="BS57" s="49">
        <f t="shared" si="460"/>
        <v>0</v>
      </c>
      <c r="BT57" s="49">
        <f t="shared" si="460"/>
        <v>0</v>
      </c>
      <c r="BU57" s="49">
        <f t="shared" si="460"/>
        <v>0</v>
      </c>
      <c r="BV57" s="49">
        <f t="shared" si="460"/>
        <v>15</v>
      </c>
      <c r="BW57" s="49">
        <f t="shared" si="460"/>
        <v>0</v>
      </c>
      <c r="BX57" s="49">
        <f t="shared" si="460"/>
        <v>21.3</v>
      </c>
      <c r="BY57" s="549">
        <f>IF(COUNT(Q57:U57)&gt;1,MINA(Q57:U57)*BY$9,0)</f>
        <v>-7.5</v>
      </c>
      <c r="BZ57" s="85">
        <f t="shared" si="461"/>
        <v>0</v>
      </c>
      <c r="CA57" s="85">
        <f t="shared" si="461"/>
        <v>0</v>
      </c>
      <c r="CB57" s="85">
        <f t="shared" si="461"/>
        <v>50.56</v>
      </c>
      <c r="CC57" s="85">
        <f t="shared" si="461"/>
        <v>0</v>
      </c>
      <c r="CD57" s="85">
        <f t="shared" si="461"/>
        <v>0</v>
      </c>
      <c r="CE57" s="85">
        <f>IF(AC57=0,0,AC57*CE$9)</f>
        <v>0</v>
      </c>
      <c r="CF57" s="85">
        <f t="shared" si="462"/>
        <v>0</v>
      </c>
      <c r="CG57" s="85">
        <f t="shared" si="462"/>
        <v>0</v>
      </c>
      <c r="CH57" s="85">
        <f t="shared" si="463"/>
        <v>0</v>
      </c>
      <c r="CI57" s="85">
        <f t="shared" si="463"/>
        <v>0</v>
      </c>
      <c r="CJ57" s="85">
        <f t="shared" si="463"/>
        <v>0</v>
      </c>
      <c r="CK57" s="85">
        <f t="shared" si="463"/>
        <v>0</v>
      </c>
      <c r="CL57" s="100">
        <f>SUM(BR57:CK57)</f>
        <v>79.36</v>
      </c>
      <c r="CM57" s="50"/>
      <c r="CN57" s="104">
        <f>J57</f>
        <v>99.5</v>
      </c>
      <c r="CO57" s="101">
        <f>CL57/CN57</f>
        <v>0.79758793969849251</v>
      </c>
      <c r="CP57" s="51">
        <f>Seilareal/Lwl/Lwl</f>
        <v>0.73185657670592463</v>
      </c>
      <c r="CQ57" s="116">
        <f>Seilareal/Depl^0.667/K$7</f>
        <v>1.1661682555803179</v>
      </c>
      <c r="CR57" s="51">
        <f>Seilareal/Lwl/Lwl/SApRS1</f>
        <v>1.1104600876874735</v>
      </c>
      <c r="CS57" s="204"/>
      <c r="CT57" s="204">
        <f>(ROUND(TBF/CT$6,3)*CT$6)*CT$4</f>
        <v>112.5</v>
      </c>
      <c r="CU57" s="107">
        <f t="shared" si="83"/>
        <v>1.1241051688503663</v>
      </c>
      <c r="CV57" s="62">
        <f t="shared" si="13"/>
        <v>3.1571666592535208</v>
      </c>
      <c r="CW57" s="62">
        <f t="shared" si="84"/>
        <v>1.6119156734236881</v>
      </c>
      <c r="CX57" s="62">
        <f t="shared" si="15"/>
        <v>1.8478837127354022</v>
      </c>
      <c r="CY57" s="107">
        <f t="shared" si="85"/>
        <v>0.99903188895757034</v>
      </c>
      <c r="CZ57" s="168" t="str">
        <f t="shared" si="412"/>
        <v>-</v>
      </c>
      <c r="DA57" s="158"/>
      <c r="DB57" s="168" t="str">
        <f t="shared" si="413"/>
        <v>-</v>
      </c>
      <c r="DC57" s="160"/>
      <c r="DD57" s="190" t="s">
        <v>134</v>
      </c>
      <c r="DE57" s="62" t="s">
        <v>102</v>
      </c>
      <c r="DF57" s="62" t="s">
        <v>102</v>
      </c>
      <c r="DG57" s="62" t="s">
        <v>102</v>
      </c>
      <c r="DH57" s="150" t="s">
        <v>102</v>
      </c>
      <c r="DI57" s="62">
        <f t="shared" si="88"/>
        <v>1.8936190765247816</v>
      </c>
      <c r="DJ57" s="47">
        <f t="shared" si="89"/>
        <v>10.410641989589358</v>
      </c>
      <c r="DK57" s="48">
        <f t="shared" si="414"/>
        <v>0</v>
      </c>
      <c r="DM57" s="107">
        <f t="shared" si="381"/>
        <v>1.1013570725590407</v>
      </c>
      <c r="DN57" s="141" t="str">
        <f t="shared" si="415"/>
        <v>-</v>
      </c>
      <c r="DO57" s="107">
        <f t="shared" si="416"/>
        <v>4.8065318257112279</v>
      </c>
      <c r="DP57" s="133">
        <f>IF(SeilBeregnet=0,DP56,(SeilBeregnet^0.5/(Depl^0.3333))^DP$3*DP$7)</f>
        <v>3.1700154814175363</v>
      </c>
      <c r="DQ57" s="133">
        <f>IF(SeilBeregnet=0,DQ56,(SeilBeregnet^0.5/Lwl)^DQ$3*DQ$7)</f>
        <v>0</v>
      </c>
      <c r="DR57" s="133">
        <f>IF(SeilBeregnet=0,DR56,(0.1*Loa/Depl^0.3333)^DR$3*DR$7)</f>
        <v>0</v>
      </c>
      <c r="DS57" s="133">
        <f>IF(SeilBeregnet=0,DS56,((Loa)/Bredde)^DS$3*DS$7)</f>
        <v>1.6365163442936916</v>
      </c>
      <c r="DT57" s="107">
        <f>IF(SeilBeregnet=0,DT56,(Lwl)^DT$3)</f>
        <v>1.8478837127354022</v>
      </c>
      <c r="DU57" s="133">
        <f>IF(SeilBeregnet=0,DU56,(Dypg/Loa)^DU$3*5*DU$7)</f>
        <v>1.9050019050028575</v>
      </c>
      <c r="DW57" s="107">
        <f t="shared" si="247"/>
        <v>1.1588713080931612</v>
      </c>
      <c r="DX57" s="107">
        <f t="shared" si="93"/>
        <v>1.1081447757195815</v>
      </c>
      <c r="DZ57" s="107">
        <f t="shared" si="94"/>
        <v>1.0851221104866948</v>
      </c>
      <c r="EA57" s="122" t="str">
        <f t="shared" si="418"/>
        <v>-</v>
      </c>
      <c r="EB57" s="107">
        <f t="shared" si="419"/>
        <v>1.1235301245676961</v>
      </c>
      <c r="EC57" s="122" t="str">
        <f t="shared" si="420"/>
        <v>-</v>
      </c>
      <c r="ED57" s="107">
        <f t="shared" si="464"/>
        <v>3.1697206749101725</v>
      </c>
      <c r="EE57" s="107">
        <f t="shared" si="465"/>
        <v>2.2674129716058933</v>
      </c>
      <c r="EF57" s="107">
        <f t="shared" si="466"/>
        <v>1.5098321121096678</v>
      </c>
      <c r="EH57" s="107">
        <f t="shared" si="421"/>
        <v>1.1110389062121271</v>
      </c>
      <c r="EJ57" s="107">
        <f t="shared" si="467"/>
        <v>3.1697206749101725</v>
      </c>
      <c r="EK57" s="107">
        <f t="shared" si="468"/>
        <v>2.2675800519171947</v>
      </c>
      <c r="EL57" s="107">
        <f t="shared" si="469"/>
        <v>1.7319991990329835</v>
      </c>
      <c r="EM57" s="107">
        <f t="shared" si="422"/>
        <v>1.1176398520858077</v>
      </c>
      <c r="EO57" s="107">
        <f t="shared" si="470"/>
        <v>4.7857460613973073</v>
      </c>
      <c r="EP57" s="107">
        <f t="shared" si="471"/>
        <v>3.1697206749101725</v>
      </c>
      <c r="EQ57" s="107">
        <f t="shared" si="472"/>
        <v>1.5098321121096678</v>
      </c>
      <c r="ER57" s="107">
        <f t="shared" si="473"/>
        <v>1.8478837127354022</v>
      </c>
      <c r="ES57" s="107">
        <f t="shared" si="382"/>
        <v>1.1154764376372743</v>
      </c>
      <c r="EU57" s="107">
        <f t="shared" si="474"/>
        <v>1.7486621871029202</v>
      </c>
      <c r="EV57" s="107">
        <f t="shared" si="475"/>
        <v>3.1697206749101725</v>
      </c>
      <c r="EW57" s="107">
        <f t="shared" si="476"/>
        <v>0.96469681660205731</v>
      </c>
      <c r="EX57" s="107">
        <f t="shared" si="477"/>
        <v>1.8566172748144953</v>
      </c>
      <c r="EY57" s="107">
        <f t="shared" si="383"/>
        <v>1.0917236563980122</v>
      </c>
      <c r="FA57" s="107">
        <f t="shared" si="371"/>
        <v>1.7487435042060158</v>
      </c>
      <c r="FB57" s="107">
        <f t="shared" si="478"/>
        <v>3.1700154814175363</v>
      </c>
      <c r="FC57" s="107">
        <f t="shared" si="479"/>
        <v>0.96469681660205731</v>
      </c>
      <c r="FD57" s="107">
        <f t="shared" si="480"/>
        <v>1.8566172748144953</v>
      </c>
      <c r="FE57" s="107">
        <f t="shared" si="384"/>
        <v>1.0853240593833697</v>
      </c>
      <c r="FF57" s="141" t="str">
        <f t="shared" si="423"/>
        <v>-</v>
      </c>
      <c r="FG57" s="107">
        <f t="shared" si="372"/>
        <v>2.9501430426656046</v>
      </c>
      <c r="FH57" s="133">
        <f t="shared" si="481"/>
        <v>3.1700154814175363</v>
      </c>
      <c r="FI57" s="133">
        <f t="shared" si="482"/>
        <v>0.93063994796214333</v>
      </c>
      <c r="FJ57" s="107">
        <f t="shared" si="483"/>
        <v>1.0440526186904779</v>
      </c>
      <c r="FK57" s="107">
        <f t="shared" si="385"/>
        <v>1.1150040787656006</v>
      </c>
      <c r="FL57" s="141" t="str">
        <f t="shared" si="424"/>
        <v>-</v>
      </c>
      <c r="FM57" s="107">
        <f t="shared" si="373"/>
        <v>5.0705475187239237</v>
      </c>
      <c r="FN57" s="133">
        <f t="shared" si="484"/>
        <v>3.1700154814175363</v>
      </c>
      <c r="FO57" s="133">
        <f t="shared" si="485"/>
        <v>0.76401569301269601</v>
      </c>
      <c r="FP57" s="133">
        <f t="shared" si="486"/>
        <v>1.6365163442936916</v>
      </c>
      <c r="FQ57" s="107">
        <f t="shared" si="487"/>
        <v>1.8478837127354022</v>
      </c>
      <c r="FR57" s="107">
        <f t="shared" si="386"/>
        <v>1.0865889910790072</v>
      </c>
      <c r="FS57" s="141" t="str">
        <f t="shared" si="425"/>
        <v>-</v>
      </c>
      <c r="FT57" s="107">
        <f t="shared" si="374"/>
        <v>5.1877821470038334</v>
      </c>
      <c r="FU57" s="133">
        <f t="shared" si="488"/>
        <v>3.1700154814175363</v>
      </c>
      <c r="FV57" s="133">
        <f t="shared" si="489"/>
        <v>1.6365163442936916</v>
      </c>
      <c r="FW57" s="107">
        <f t="shared" si="490"/>
        <v>1.8478837127354022</v>
      </c>
      <c r="FY57">
        <v>0.95</v>
      </c>
      <c r="FZ57" s="62">
        <f t="shared" si="48"/>
        <v>1.1019279799094552</v>
      </c>
      <c r="GA57" s="62">
        <f t="shared" si="49"/>
        <v>1.9050019050028575</v>
      </c>
      <c r="GB57" s="107">
        <f t="shared" si="50"/>
        <v>1.1091879026317943</v>
      </c>
      <c r="GC57" s="440"/>
      <c r="GD57" s="17"/>
      <c r="GE57" s="442"/>
      <c r="GF57" s="462"/>
      <c r="GG57" s="17"/>
      <c r="GH57" s="17"/>
      <c r="GI57" s="17"/>
      <c r="GJ57" s="17"/>
      <c r="GL57" s="17"/>
      <c r="GM57" s="442"/>
      <c r="GN57" s="8"/>
      <c r="GO57" s="8"/>
      <c r="GP57" s="8"/>
      <c r="GQ57" s="8"/>
      <c r="GS57" s="17"/>
      <c r="GT57" s="17"/>
      <c r="GU57" s="17"/>
      <c r="GV57" s="629"/>
      <c r="GW57" s="17"/>
      <c r="GX57" s="17"/>
      <c r="GY57" s="17"/>
      <c r="GZ57" s="17"/>
    </row>
    <row r="58" spans="1:208" ht="15.6" x14ac:dyDescent="0.3">
      <c r="A58" s="52" t="s">
        <v>825</v>
      </c>
      <c r="B58" s="218">
        <f t="shared" ref="B58" si="502">Loa/0.3048</f>
        <v>38.746719160104988</v>
      </c>
      <c r="C58" s="53" t="s">
        <v>19</v>
      </c>
      <c r="D58" s="53"/>
      <c r="E58" s="53"/>
      <c r="F58" s="53"/>
      <c r="G58" s="54"/>
      <c r="H58" s="112">
        <f>J59</f>
        <v>114.50000000000001</v>
      </c>
      <c r="I58" s="601">
        <f>H59/100</f>
        <v>1.19</v>
      </c>
      <c r="J58" s="651">
        <f>IF(DC59=0,"-",DC59)</f>
        <v>1.23</v>
      </c>
      <c r="K58" s="123" t="str">
        <f>A58</f>
        <v>Los Færder</v>
      </c>
      <c r="L58" s="116"/>
      <c r="M58" s="116"/>
      <c r="N58" s="92"/>
      <c r="O58" s="165"/>
      <c r="P58" s="165"/>
      <c r="Q58" s="165"/>
      <c r="R58" s="165">
        <v>26.5</v>
      </c>
      <c r="S58" s="165">
        <v>15.9</v>
      </c>
      <c r="T58" s="165"/>
      <c r="U58" s="165">
        <v>19.7</v>
      </c>
      <c r="V58" s="559"/>
      <c r="W58" s="559"/>
      <c r="X58" s="165">
        <v>54.6</v>
      </c>
      <c r="Y58" s="165">
        <v>42.2</v>
      </c>
      <c r="Z58" s="165">
        <v>32.299999999999997</v>
      </c>
      <c r="AA58" s="165">
        <v>13.7</v>
      </c>
      <c r="AB58" s="165"/>
      <c r="AC58" s="165"/>
      <c r="AD58" s="165"/>
      <c r="AE58" s="165"/>
      <c r="AF58" s="165"/>
      <c r="AG58" s="552"/>
      <c r="AH58" s="244"/>
      <c r="AI58" s="244">
        <v>11.2</v>
      </c>
      <c r="AJ58" s="554"/>
      <c r="AK58" s="339"/>
      <c r="AL58" s="268"/>
      <c r="AM58" s="339"/>
      <c r="AN58" s="268" t="s">
        <v>203</v>
      </c>
      <c r="AO58" s="45">
        <f>VLOOKUP(AN58,Skrogform!$1:$1048576,3,FALSE)</f>
        <v>0.97</v>
      </c>
      <c r="AP58" s="55">
        <v>11.81</v>
      </c>
      <c r="AQ58" s="55">
        <v>11.14</v>
      </c>
      <c r="AR58" s="55">
        <v>4.3499999999999996</v>
      </c>
      <c r="AS58" s="55">
        <v>1.95</v>
      </c>
      <c r="AT58" s="637">
        <v>18.5</v>
      </c>
      <c r="AU58" s="55">
        <v>18.5</v>
      </c>
      <c r="AV58" s="55">
        <v>3</v>
      </c>
      <c r="AW58" s="55">
        <v>2</v>
      </c>
      <c r="AX58" s="253"/>
      <c r="AY58" s="253">
        <v>70</v>
      </c>
      <c r="AZ58" s="253">
        <v>350</v>
      </c>
      <c r="BA58" s="253"/>
      <c r="BB58" s="253"/>
      <c r="BC58" s="244">
        <f>Depl+Diesel/1000*0.84+Vann/1000</f>
        <v>18.5</v>
      </c>
      <c r="BD58" s="95">
        <f>Bredde/(Loa+Lwl)*2</f>
        <v>0.37908496732026137</v>
      </c>
      <c r="BE58" s="95">
        <f>(Kjøl+Ballast)/Depl</f>
        <v>0.27027027027027029</v>
      </c>
      <c r="BF58" s="260">
        <f>BF$7*((Depl-Kjøl-Ballast-VektMotor/1000-VektAnnet/1000)/Lwl/Lwl/Bredde)</f>
        <v>0.91927561056965568</v>
      </c>
      <c r="BG58" s="95">
        <f>BG$7*(Depl/Loa/Lwl/Lwl)</f>
        <v>0.9288929874029318</v>
      </c>
      <c r="BH58" s="174">
        <f>BH$7*(Depl/Loa/Lwl/Bredde)</f>
        <v>0.87929363595671439</v>
      </c>
      <c r="BI58" s="95">
        <f>BI$7*Bredde/(Loa+Lwl)*2</f>
        <v>1.0814112024738209</v>
      </c>
      <c r="BJ58" s="95">
        <f>BJ$7*(Dypg/Lwl)</f>
        <v>0.95741940519865731</v>
      </c>
      <c r="BK58" s="56" t="s">
        <v>21</v>
      </c>
      <c r="BL58" s="268">
        <v>3</v>
      </c>
      <c r="BM58" s="268">
        <v>75</v>
      </c>
      <c r="BN58" s="45">
        <f t="shared" si="410"/>
        <v>1</v>
      </c>
      <c r="BO58" s="59"/>
      <c r="BP58" s="59"/>
      <c r="BR58" s="209"/>
      <c r="BS58" s="209"/>
      <c r="BT58" s="209" t="str">
        <f>$A58</f>
        <v>Los Færder</v>
      </c>
      <c r="BU58" s="10"/>
      <c r="BV58" s="10"/>
      <c r="BW58" s="10"/>
      <c r="BX58" s="10"/>
      <c r="BY58" s="549"/>
      <c r="BZ58" s="10"/>
      <c r="CA58" s="10"/>
      <c r="CB58" s="209" t="str">
        <f>$A58</f>
        <v>Los Færder</v>
      </c>
      <c r="CC58" s="10"/>
      <c r="CD58" s="10"/>
      <c r="CE58" s="10"/>
      <c r="CF58" s="10"/>
      <c r="CG58" s="10"/>
      <c r="CH58" s="10"/>
      <c r="CI58" s="10"/>
      <c r="CJ58" s="10"/>
      <c r="CK58" s="10"/>
      <c r="CL58" s="209"/>
      <c r="CM58" s="10"/>
      <c r="CN58" s="209" t="str">
        <f>$A58</f>
        <v>Los Færder</v>
      </c>
      <c r="CO58" s="207"/>
      <c r="CP58" s="207"/>
      <c r="CQ58" s="116"/>
      <c r="CR58" s="207"/>
      <c r="CS58" s="203"/>
      <c r="CT58" s="203" t="s">
        <v>23</v>
      </c>
      <c r="CU58" s="107" t="str">
        <f t="shared" si="83"/>
        <v>-</v>
      </c>
      <c r="CV58" s="62" t="str">
        <f t="shared" si="13"/>
        <v>-</v>
      </c>
      <c r="CW58" s="62" t="str">
        <f t="shared" si="84"/>
        <v>-</v>
      </c>
      <c r="CX58" s="62" t="str">
        <f t="shared" si="15"/>
        <v>-</v>
      </c>
      <c r="CY58" s="107" t="str">
        <f t="shared" si="85"/>
        <v>-</v>
      </c>
      <c r="CZ58" s="168">
        <f t="shared" si="412"/>
        <v>1.1223529411764706</v>
      </c>
      <c r="DA58" s="158">
        <v>0.9</v>
      </c>
      <c r="DB58" s="168" t="str">
        <f t="shared" si="413"/>
        <v>-</v>
      </c>
      <c r="DC58" s="160">
        <v>1.23</v>
      </c>
      <c r="DD58" s="190" t="s">
        <v>134</v>
      </c>
      <c r="DE58" s="29" t="s">
        <v>23</v>
      </c>
      <c r="DF58" s="29" t="s">
        <v>23</v>
      </c>
      <c r="DG58" s="29" t="s">
        <v>23</v>
      </c>
      <c r="DH58" s="149">
        <v>2022</v>
      </c>
      <c r="DI58" s="62" t="str">
        <f t="shared" si="88"/>
        <v>-</v>
      </c>
      <c r="DJ58" s="47">
        <f t="shared" si="89"/>
        <v>11.825348696179502</v>
      </c>
      <c r="DK58" s="48">
        <f t="shared" si="414"/>
        <v>0</v>
      </c>
      <c r="DM58" s="107" t="str">
        <f t="shared" si="381"/>
        <v>-</v>
      </c>
      <c r="DN58" s="141" t="str">
        <f t="shared" si="415"/>
        <v>-</v>
      </c>
      <c r="DO58" s="107">
        <f t="shared" si="416"/>
        <v>4.4507946939494163</v>
      </c>
      <c r="DP58" s="133">
        <f>IF(SeilBeregnet=0,DP53,(SeilBeregnet^0.5/(Depl^0.3333))^DP$3*DP$7)</f>
        <v>2.7859406071193473</v>
      </c>
      <c r="DQ58" s="133">
        <f>IF(SeilBeregnet=0,DQ53,(SeilBeregnet^0.5/Lwl)^DQ$3*DQ$7)</f>
        <v>0</v>
      </c>
      <c r="DR58" s="133">
        <f>IF(SeilBeregnet=0,DR53,(0.1*Loa/Depl^0.3333)^DR$3*DR$7)</f>
        <v>0</v>
      </c>
      <c r="DS58" s="133">
        <f>IF(SeilBeregnet=0,DS53,((Loa)/Bredde)^DS$3*DS$7)</f>
        <v>1.664854086830069</v>
      </c>
      <c r="DT58" s="107">
        <f>IF(SeilBeregnet=0,DT53,(Lwl)^DT$3)</f>
        <v>1.8374951981506853</v>
      </c>
      <c r="DU58" s="133">
        <f>IF(SeilBeregnet=0,DU53,(Dypg/Loa)^DU$3*5*DU$7)</f>
        <v>2.0291986247835694</v>
      </c>
      <c r="DW58" s="107" t="str">
        <f t="shared" si="417"/>
        <v>-</v>
      </c>
      <c r="DX58" s="107" t="str">
        <f t="shared" si="93"/>
        <v>-</v>
      </c>
      <c r="DZ58" s="107" t="str">
        <f t="shared" si="94"/>
        <v>-</v>
      </c>
      <c r="EA58" s="122" t="str">
        <f t="shared" si="418"/>
        <v>-</v>
      </c>
      <c r="EB58" s="107" t="str">
        <f t="shared" si="419"/>
        <v>-</v>
      </c>
      <c r="EC58" s="122" t="str">
        <f t="shared" si="420"/>
        <v>-</v>
      </c>
      <c r="ED58" s="107">
        <f t="shared" si="464"/>
        <v>3.1697206749101725</v>
      </c>
      <c r="EE58" s="107">
        <f t="shared" si="465"/>
        <v>2.2674129716058933</v>
      </c>
      <c r="EF58" s="107">
        <f t="shared" si="466"/>
        <v>1.5098321121096678</v>
      </c>
      <c r="EH58" s="107" t="str">
        <f t="shared" si="421"/>
        <v>-</v>
      </c>
      <c r="EJ58" s="107">
        <f t="shared" si="467"/>
        <v>3.1697206749101725</v>
      </c>
      <c r="EK58" s="107">
        <f t="shared" si="468"/>
        <v>2.2675800519171947</v>
      </c>
      <c r="EL58" s="107">
        <f t="shared" si="469"/>
        <v>1.7319991990329835</v>
      </c>
      <c r="EM58" s="107" t="str">
        <f t="shared" si="422"/>
        <v>-</v>
      </c>
      <c r="EO58" s="107">
        <f t="shared" si="470"/>
        <v>4.7857460613973073</v>
      </c>
      <c r="EP58" s="107">
        <f t="shared" si="471"/>
        <v>3.1697206749101725</v>
      </c>
      <c r="EQ58" s="107">
        <f t="shared" si="472"/>
        <v>1.5098321121096678</v>
      </c>
      <c r="ER58" s="107">
        <f t="shared" si="473"/>
        <v>1.8478837127354022</v>
      </c>
      <c r="ES58" s="107" t="str">
        <f t="shared" si="382"/>
        <v>-</v>
      </c>
      <c r="EU58" s="107">
        <f t="shared" si="474"/>
        <v>1.7486621871029202</v>
      </c>
      <c r="EV58" s="107">
        <f t="shared" si="475"/>
        <v>3.1697206749101725</v>
      </c>
      <c r="EW58" s="107">
        <f t="shared" si="476"/>
        <v>0.96469681660205731</v>
      </c>
      <c r="EX58" s="107">
        <f t="shared" si="477"/>
        <v>1.8566172748144953</v>
      </c>
      <c r="EY58" s="107" t="str">
        <f t="shared" si="383"/>
        <v>-</v>
      </c>
      <c r="FA58" s="107">
        <f t="shared" si="371"/>
        <v>1.7487435042060158</v>
      </c>
      <c r="FB58" s="107">
        <f t="shared" si="478"/>
        <v>3.1700154814175363</v>
      </c>
      <c r="FC58" s="107">
        <f t="shared" si="479"/>
        <v>0.96469681660205731</v>
      </c>
      <c r="FD58" s="107">
        <f t="shared" si="480"/>
        <v>1.8566172748144953</v>
      </c>
      <c r="FE58" s="107" t="str">
        <f t="shared" si="384"/>
        <v>-</v>
      </c>
      <c r="FF58" s="141" t="str">
        <f t="shared" si="423"/>
        <v>-</v>
      </c>
      <c r="FG58" s="107">
        <f t="shared" si="372"/>
        <v>2.9501430426656046</v>
      </c>
      <c r="FH58" s="133">
        <f t="shared" si="481"/>
        <v>3.1700154814175363</v>
      </c>
      <c r="FI58" s="133">
        <f t="shared" si="482"/>
        <v>0.93063994796214333</v>
      </c>
      <c r="FJ58" s="107">
        <f t="shared" si="483"/>
        <v>1.0440526186904779</v>
      </c>
      <c r="FK58" s="107" t="str">
        <f t="shared" si="385"/>
        <v>-</v>
      </c>
      <c r="FL58" s="141" t="str">
        <f t="shared" si="424"/>
        <v>-</v>
      </c>
      <c r="FM58" s="107">
        <f t="shared" si="373"/>
        <v>5.0705475187239237</v>
      </c>
      <c r="FN58" s="133">
        <f t="shared" si="484"/>
        <v>3.1700154814175363</v>
      </c>
      <c r="FO58" s="133">
        <f t="shared" si="485"/>
        <v>0.76401569301269601</v>
      </c>
      <c r="FP58" s="133">
        <f t="shared" si="486"/>
        <v>1.6365163442936916</v>
      </c>
      <c r="FQ58" s="107">
        <f t="shared" si="487"/>
        <v>1.8478837127354022</v>
      </c>
      <c r="FR58" s="107" t="str">
        <f t="shared" si="386"/>
        <v>-</v>
      </c>
      <c r="FS58" s="141" t="str">
        <f t="shared" si="425"/>
        <v>-</v>
      </c>
      <c r="FT58" s="107">
        <f t="shared" si="374"/>
        <v>5.1877821470038334</v>
      </c>
      <c r="FU58" s="133">
        <f t="shared" si="488"/>
        <v>3.1700154814175363</v>
      </c>
      <c r="FV58" s="133">
        <f t="shared" si="489"/>
        <v>1.6365163442936916</v>
      </c>
      <c r="FW58" s="107">
        <f t="shared" si="490"/>
        <v>1.8478837127354022</v>
      </c>
      <c r="FY58">
        <v>0.95</v>
      </c>
      <c r="FZ58" s="62" t="str">
        <f t="shared" si="48"/>
        <v>-</v>
      </c>
      <c r="GA58" s="62">
        <f t="shared" si="49"/>
        <v>2.0317130081956618</v>
      </c>
      <c r="GB58" s="107" t="str">
        <f t="shared" si="50"/>
        <v>-</v>
      </c>
      <c r="GC58" s="441" t="s">
        <v>759</v>
      </c>
      <c r="GD58" s="57"/>
      <c r="GE58" s="436"/>
      <c r="GF58" s="75"/>
      <c r="GG58" s="57"/>
      <c r="GH58" s="57" t="s">
        <v>863</v>
      </c>
      <c r="GI58" s="57" t="s">
        <v>416</v>
      </c>
      <c r="GJ58" s="57"/>
      <c r="GL58" s="57" t="s">
        <v>478</v>
      </c>
      <c r="GM58" s="436" t="s">
        <v>478</v>
      </c>
      <c r="GN58" s="58" t="s">
        <v>478</v>
      </c>
      <c r="GO58" s="58" t="s">
        <v>478</v>
      </c>
      <c r="GP58" s="58" t="s">
        <v>478</v>
      </c>
      <c r="GQ58" s="58" t="s">
        <v>478</v>
      </c>
      <c r="GS58" s="57" t="s">
        <v>470</v>
      </c>
      <c r="GT58" s="57" t="s">
        <v>860</v>
      </c>
      <c r="GU58" s="57" t="s">
        <v>862</v>
      </c>
      <c r="GV58" s="599" t="s">
        <v>923</v>
      </c>
      <c r="GW58" s="57" t="s">
        <v>861</v>
      </c>
      <c r="GX58" s="57" t="s">
        <v>431</v>
      </c>
      <c r="GY58" s="57" t="s">
        <v>438</v>
      </c>
      <c r="GZ58" s="57"/>
    </row>
    <row r="59" spans="1:208" ht="15.6" x14ac:dyDescent="0.3">
      <c r="A59" s="60" t="s">
        <v>28</v>
      </c>
      <c r="B59" s="218"/>
      <c r="C59" s="61" t="str">
        <f>C58</f>
        <v>Gaffel</v>
      </c>
      <c r="D59" s="61"/>
      <c r="E59" s="61"/>
      <c r="F59" s="61"/>
      <c r="G59" s="54"/>
      <c r="H59" s="204">
        <f>TBFavrundet</f>
        <v>119</v>
      </c>
      <c r="I59" s="63">
        <f>COUNTA(O59:AG59)</f>
        <v>4</v>
      </c>
      <c r="J59" s="222">
        <f>SUM(O59:AG59)</f>
        <v>114.50000000000001</v>
      </c>
      <c r="K59" s="116">
        <f>Seilareal/Depl^0.667/K$7</f>
        <v>1.5155054842108333</v>
      </c>
      <c r="L59" s="116">
        <f>Seilareal/Lwl/Lwl/L$7</f>
        <v>1.3999485620227099</v>
      </c>
      <c r="M59" s="92">
        <f>RiggF</f>
        <v>0.74681222707423578</v>
      </c>
      <c r="N59" s="242">
        <f>StHfaktor</f>
        <v>1.0006716684435335</v>
      </c>
      <c r="O59" s="143"/>
      <c r="P59" s="143"/>
      <c r="Q59" s="143"/>
      <c r="R59" s="165">
        <v>26.5</v>
      </c>
      <c r="S59" s="143"/>
      <c r="T59" s="143"/>
      <c r="U59" s="165">
        <v>19.7</v>
      </c>
      <c r="V59" s="559"/>
      <c r="W59" s="559"/>
      <c r="X59" s="165">
        <v>54.6</v>
      </c>
      <c r="Y59" s="143"/>
      <c r="Z59" s="143"/>
      <c r="AA59" s="165">
        <v>13.7</v>
      </c>
      <c r="AB59" s="143"/>
      <c r="AC59" s="143"/>
      <c r="AD59" s="143"/>
      <c r="AE59" s="143"/>
      <c r="AF59" s="143"/>
      <c r="AG59" s="551"/>
      <c r="AH59" s="557"/>
      <c r="AI59" s="557">
        <f t="shared" ref="AI59" si="503">AI58</f>
        <v>11.2</v>
      </c>
      <c r="AJ59" s="337">
        <f xml:space="preserve"> AJ58</f>
        <v>0</v>
      </c>
      <c r="AK59" s="339"/>
      <c r="AL59" s="337">
        <f xml:space="preserve"> AL58</f>
        <v>0</v>
      </c>
      <c r="AM59" s="339"/>
      <c r="AN59" s="267" t="str">
        <f t="shared" ref="AN59" si="504" xml:space="preserve"> AN58</f>
        <v>Los</v>
      </c>
      <c r="AO59" s="45">
        <f>VLOOKUP(AN59,Skrogform!$1:$1048576,3,FALSE)</f>
        <v>0.97</v>
      </c>
      <c r="AP59" s="64">
        <f t="shared" ref="AP59:AZ59" si="505">AP58</f>
        <v>11.81</v>
      </c>
      <c r="AQ59" s="64">
        <f t="shared" si="505"/>
        <v>11.14</v>
      </c>
      <c r="AR59" s="64">
        <f t="shared" si="505"/>
        <v>4.3499999999999996</v>
      </c>
      <c r="AS59" s="64">
        <f t="shared" si="505"/>
        <v>1.95</v>
      </c>
      <c r="AT59" s="64"/>
      <c r="AU59" s="64">
        <f t="shared" si="505"/>
        <v>18.5</v>
      </c>
      <c r="AV59" s="64">
        <f t="shared" si="505"/>
        <v>3</v>
      </c>
      <c r="AW59" s="64">
        <f t="shared" si="505"/>
        <v>2</v>
      </c>
      <c r="AX59" s="256">
        <f>AX58</f>
        <v>0</v>
      </c>
      <c r="AY59" s="256">
        <f t="shared" si="505"/>
        <v>70</v>
      </c>
      <c r="AZ59" s="256">
        <f t="shared" si="505"/>
        <v>350</v>
      </c>
      <c r="BA59" s="256">
        <f t="shared" ref="BA59:BB59" si="506">BA58</f>
        <v>0</v>
      </c>
      <c r="BB59" s="256">
        <f t="shared" si="506"/>
        <v>0</v>
      </c>
      <c r="BC59" s="256"/>
      <c r="BD59" s="66"/>
      <c r="BE59" s="66"/>
      <c r="BF59" s="261"/>
      <c r="BG59" s="66"/>
      <c r="BH59" s="175"/>
      <c r="BI59" s="66"/>
      <c r="BJ59" s="66"/>
      <c r="BK59" s="65" t="str">
        <f t="shared" ref="BK59:BM59" si="507" xml:space="preserve"> BK58</f>
        <v>Seilrett</v>
      </c>
      <c r="BL59" s="267">
        <f t="shared" si="507"/>
        <v>3</v>
      </c>
      <c r="BM59" s="267">
        <f t="shared" si="507"/>
        <v>75</v>
      </c>
      <c r="BN59" s="45">
        <f t="shared" si="410"/>
        <v>1</v>
      </c>
      <c r="BO59" s="59"/>
      <c r="BP59" s="59"/>
      <c r="BR59" s="49">
        <f t="shared" ref="BR59:BX61" si="508">IF(O59=0,0,O59*BR$9)</f>
        <v>0</v>
      </c>
      <c r="BS59" s="49">
        <f t="shared" si="508"/>
        <v>0</v>
      </c>
      <c r="BT59" s="49">
        <f t="shared" si="508"/>
        <v>0</v>
      </c>
      <c r="BU59" s="49">
        <f t="shared" si="508"/>
        <v>26.5</v>
      </c>
      <c r="BV59" s="49">
        <f t="shared" si="508"/>
        <v>0</v>
      </c>
      <c r="BW59" s="49">
        <f t="shared" si="508"/>
        <v>0</v>
      </c>
      <c r="BX59" s="49">
        <f t="shared" si="508"/>
        <v>19.7</v>
      </c>
      <c r="BY59" s="549">
        <f>IF(COUNT(Q59:U59)&gt;1,MINA(Q59:U59)*BY$9,0)</f>
        <v>-9.85</v>
      </c>
      <c r="BZ59" s="85">
        <f t="shared" ref="BZ59:CD61" si="509">IF(V59=0,0,V59*BZ$9)</f>
        <v>0</v>
      </c>
      <c r="CA59" s="85">
        <f t="shared" si="509"/>
        <v>0</v>
      </c>
      <c r="CB59" s="85">
        <f t="shared" si="509"/>
        <v>43.680000000000007</v>
      </c>
      <c r="CC59" s="85">
        <f t="shared" si="509"/>
        <v>0</v>
      </c>
      <c r="CD59" s="85">
        <f t="shared" si="509"/>
        <v>0</v>
      </c>
      <c r="CE59" s="85">
        <f>IF(AC59=0,0,AC59*CE$9)</f>
        <v>0</v>
      </c>
      <c r="CF59" s="85">
        <f t="shared" ref="CF59:CG61" si="510">IF(AA59=0,0,AA59*CF$9)</f>
        <v>5.48</v>
      </c>
      <c r="CG59" s="85">
        <f t="shared" si="510"/>
        <v>0</v>
      </c>
      <c r="CH59" s="85">
        <f t="shared" ref="CH59:CK61" si="511">IF(AD59=0,0,AD59*CH$9)</f>
        <v>0</v>
      </c>
      <c r="CI59" s="85">
        <f t="shared" si="511"/>
        <v>0</v>
      </c>
      <c r="CJ59" s="85">
        <f t="shared" si="511"/>
        <v>0</v>
      </c>
      <c r="CK59" s="85">
        <f t="shared" si="511"/>
        <v>0</v>
      </c>
      <c r="CL59" s="100">
        <f>SUM(BR59:CK59)</f>
        <v>85.51</v>
      </c>
      <c r="CM59" s="50"/>
      <c r="CN59" s="104">
        <f>J59</f>
        <v>114.50000000000001</v>
      </c>
      <c r="CO59" s="101">
        <f>CL59/CN59</f>
        <v>0.74681222707423578</v>
      </c>
      <c r="CP59" s="51">
        <f>Seilareal/Lwl/Lwl</f>
        <v>0.92264600369380734</v>
      </c>
      <c r="CQ59" s="116">
        <f>Seilareal/Depl^0.667/K$7</f>
        <v>1.5155054842108333</v>
      </c>
      <c r="CR59" s="51">
        <f>Seilareal/Lwl/Lwl/SApRS1</f>
        <v>1.3999485620227099</v>
      </c>
      <c r="CS59" s="204"/>
      <c r="CT59" s="204">
        <f>(ROUND(TBF/CT$6,3)*CT$6)*CT$4</f>
        <v>119</v>
      </c>
      <c r="CU59" s="107">
        <f t="shared" si="83"/>
        <v>1.1908898227617095</v>
      </c>
      <c r="CV59" s="62">
        <f t="shared" si="13"/>
        <v>3.4862044668954266</v>
      </c>
      <c r="CW59" s="62">
        <f t="shared" si="84"/>
        <v>1.6241708760111293</v>
      </c>
      <c r="CX59" s="62">
        <f t="shared" si="15"/>
        <v>1.8269274352463283</v>
      </c>
      <c r="CY59" s="107">
        <f t="shared" si="85"/>
        <v>1.0006716684435335</v>
      </c>
      <c r="CZ59" s="168">
        <f t="shared" si="412"/>
        <v>1.1223529411764706</v>
      </c>
      <c r="DA59" s="159">
        <f>DA58</f>
        <v>0.9</v>
      </c>
      <c r="DB59" s="168">
        <f t="shared" si="413"/>
        <v>1.1436842105263159</v>
      </c>
      <c r="DC59" s="159">
        <f>DC58</f>
        <v>1.23</v>
      </c>
      <c r="DD59" s="190" t="s">
        <v>134</v>
      </c>
      <c r="DE59" s="62">
        <v>0.94</v>
      </c>
      <c r="DF59" s="62">
        <v>0.91</v>
      </c>
      <c r="DG59" s="62">
        <v>0.95</v>
      </c>
      <c r="DH59" s="150">
        <v>0.99</v>
      </c>
      <c r="DI59" s="62">
        <f t="shared" si="88"/>
        <v>2.0138686341547749</v>
      </c>
      <c r="DJ59" s="47">
        <f t="shared" si="89"/>
        <v>11.825348696179502</v>
      </c>
      <c r="DK59" s="48">
        <f t="shared" si="414"/>
        <v>0</v>
      </c>
      <c r="DM59" s="107">
        <f t="shared" si="381"/>
        <v>1.1654122926939607</v>
      </c>
      <c r="DN59" s="141">
        <f t="shared" si="415"/>
        <v>-6.2309174070688256</v>
      </c>
      <c r="DO59" s="107">
        <f t="shared" si="416"/>
        <v>5.1444222961902657</v>
      </c>
      <c r="DP59" s="133">
        <f>IF(SeilBeregnet=0,DP58,(SeilBeregnet^0.5/(Depl^0.3333))^DP$3*DP$7)</f>
        <v>3.4967140305268218</v>
      </c>
      <c r="DQ59" s="133">
        <f>IF(SeilBeregnet=0,DQ58,(SeilBeregnet^0.5/Lwl)^DQ$3*DQ$7)</f>
        <v>0</v>
      </c>
      <c r="DR59" s="133">
        <f>IF(SeilBeregnet=0,DR58,(0.1*Loa/Depl^0.3333)^DR$3*DR$7)</f>
        <v>0</v>
      </c>
      <c r="DS59" s="133">
        <f>IF(SeilBeregnet=0,DS58,((Loa)/Bredde)^DS$3*DS$7)</f>
        <v>1.6477082656634434</v>
      </c>
      <c r="DT59" s="107">
        <f>IF(SeilBeregnet=0,DT58,(Lwl)^DT$3)</f>
        <v>1.8269274352463283</v>
      </c>
      <c r="DU59" s="133">
        <f>IF(SeilBeregnet=0,DU58,(Dypg/Loa)^DU$3*5*DU$7)</f>
        <v>2.0317130081956618</v>
      </c>
      <c r="DW59" s="107">
        <f t="shared" ref="DW59:DW311" si="512">IF(SeilBeregnet=0,"-",Skaleringsfaktor*(1*(LBf+SaDeplf)*Lf*PropF+Strikkf2)+ErfaringsF+Dyp_F)</f>
        <v>1.227721466764649</v>
      </c>
      <c r="DX59" s="107">
        <f t="shared" si="93"/>
        <v>1.1784068476827467</v>
      </c>
      <c r="DY59" s="122">
        <f>DX59-DW59</f>
        <v>-4.9314619081902267E-2</v>
      </c>
      <c r="DZ59" s="107">
        <f t="shared" si="94"/>
        <v>1.1426253970905733</v>
      </c>
      <c r="EA59" s="122">
        <f t="shared" si="418"/>
        <v>-8.5096069674075681E-2</v>
      </c>
      <c r="EB59" s="107">
        <f t="shared" si="419"/>
        <v>1.199914530544959</v>
      </c>
      <c r="EC59" s="122">
        <f t="shared" si="420"/>
        <v>-2.7806936219689993E-2</v>
      </c>
      <c r="ED59" s="107">
        <f t="shared" si="464"/>
        <v>3.4964079656267231</v>
      </c>
      <c r="EE59" s="107">
        <f t="shared" si="465"/>
        <v>2.2331959630580456</v>
      </c>
      <c r="EF59" s="107">
        <f t="shared" si="466"/>
        <v>1.515560780855169</v>
      </c>
      <c r="EH59" s="107">
        <f t="shared" si="421"/>
        <v>1.1799490945209472</v>
      </c>
      <c r="EJ59" s="107">
        <f t="shared" si="467"/>
        <v>3.4964079656267231</v>
      </c>
      <c r="EK59" s="107">
        <f t="shared" si="468"/>
        <v>2.2333574652932007</v>
      </c>
      <c r="EL59" s="107">
        <f t="shared" si="469"/>
        <v>1.7407660223285584</v>
      </c>
      <c r="EM59" s="107">
        <f t="shared" si="422"/>
        <v>1.1885444200040198</v>
      </c>
      <c r="EO59" s="107">
        <f t="shared" si="470"/>
        <v>5.2990187865734697</v>
      </c>
      <c r="EP59" s="107">
        <f t="shared" si="471"/>
        <v>3.4964079656267231</v>
      </c>
      <c r="EQ59" s="107">
        <f t="shared" si="472"/>
        <v>1.515560780855169</v>
      </c>
      <c r="ER59" s="107">
        <f t="shared" si="473"/>
        <v>1.8269274352463283</v>
      </c>
      <c r="ES59" s="107">
        <f t="shared" si="382"/>
        <v>1.1832480421648857</v>
      </c>
      <c r="EU59" s="107">
        <f t="shared" si="474"/>
        <v>1.8400466061903347</v>
      </c>
      <c r="EV59" s="107">
        <f t="shared" si="475"/>
        <v>3.4964079656267231</v>
      </c>
      <c r="EW59" s="107">
        <f t="shared" si="476"/>
        <v>0.96835710999350633</v>
      </c>
      <c r="EX59" s="107">
        <f t="shared" si="477"/>
        <v>1.83511310912736</v>
      </c>
      <c r="EY59" s="107">
        <f t="shared" si="383"/>
        <v>1.1354679710162718</v>
      </c>
      <c r="FA59" s="107">
        <f t="shared" si="371"/>
        <v>1.8401271404646742</v>
      </c>
      <c r="FB59" s="107">
        <f t="shared" si="478"/>
        <v>3.4967140305268218</v>
      </c>
      <c r="FC59" s="107">
        <f t="shared" si="479"/>
        <v>0.96835710999350633</v>
      </c>
      <c r="FD59" s="107">
        <f t="shared" si="480"/>
        <v>1.83511310912736</v>
      </c>
      <c r="FE59" s="107">
        <f t="shared" si="384"/>
        <v>1.1440037629845483</v>
      </c>
      <c r="FF59" s="141">
        <f t="shared" si="423"/>
        <v>-8.3717703780100692</v>
      </c>
      <c r="FG59" s="107">
        <f t="shared" si="372"/>
        <v>3.2789229191796161</v>
      </c>
      <c r="FH59" s="133">
        <f t="shared" si="481"/>
        <v>3.4967140305268218</v>
      </c>
      <c r="FI59" s="133">
        <f t="shared" si="482"/>
        <v>0.93771549247497576</v>
      </c>
      <c r="FJ59" s="107">
        <f t="shared" si="483"/>
        <v>1.0319599376608612</v>
      </c>
      <c r="FK59" s="107">
        <f t="shared" si="385"/>
        <v>1.1901820706430652</v>
      </c>
      <c r="FL59" s="141">
        <f t="shared" si="424"/>
        <v>-3.7539396121583746</v>
      </c>
      <c r="FM59" s="107">
        <f t="shared" si="373"/>
        <v>5.4745086271340515</v>
      </c>
      <c r="FN59" s="133">
        <f t="shared" si="484"/>
        <v>3.4967140305268218</v>
      </c>
      <c r="FO59" s="133">
        <f t="shared" si="485"/>
        <v>0.83008633094378548</v>
      </c>
      <c r="FP59" s="133">
        <f t="shared" si="486"/>
        <v>1.6477082656634434</v>
      </c>
      <c r="FQ59" s="107">
        <f t="shared" si="487"/>
        <v>1.8269274352463283</v>
      </c>
      <c r="FR59" s="107">
        <f t="shared" si="386"/>
        <v>1.1413548926929777</v>
      </c>
      <c r="FS59" s="141">
        <f t="shared" si="425"/>
        <v>-8.6366574071671245</v>
      </c>
      <c r="FT59" s="107">
        <f t="shared" si="374"/>
        <v>5.7615646107603782</v>
      </c>
      <c r="FU59" s="133">
        <f t="shared" si="488"/>
        <v>3.4967140305268218</v>
      </c>
      <c r="FV59" s="133">
        <f t="shared" si="489"/>
        <v>1.6477082656634434</v>
      </c>
      <c r="FW59" s="107">
        <f t="shared" si="490"/>
        <v>1.8269274352463283</v>
      </c>
      <c r="FY59">
        <v>0.95</v>
      </c>
      <c r="FZ59" s="62">
        <f t="shared" si="48"/>
        <v>1.1648481855044313</v>
      </c>
      <c r="GA59" s="62">
        <f t="shared" si="49"/>
        <v>2.0317130081956618</v>
      </c>
      <c r="GB59" s="107">
        <f t="shared" si="50"/>
        <v>1.1808279839460218</v>
      </c>
      <c r="GC59" s="440"/>
      <c r="GD59" s="17"/>
      <c r="GE59" s="442"/>
      <c r="GF59" s="462"/>
      <c r="GG59" s="17"/>
      <c r="GH59" s="17"/>
      <c r="GI59" s="17"/>
      <c r="GJ59" s="17"/>
      <c r="GL59" s="17"/>
      <c r="GM59" s="442"/>
      <c r="GN59" s="8"/>
      <c r="GO59" s="8"/>
      <c r="GP59" s="8"/>
      <c r="GQ59" s="8"/>
      <c r="GS59" s="17"/>
      <c r="GT59" s="17"/>
      <c r="GU59" s="17"/>
      <c r="GV59" s="629"/>
      <c r="GW59" s="17"/>
      <c r="GX59" s="17"/>
      <c r="GY59" s="17"/>
      <c r="GZ59" s="17"/>
    </row>
    <row r="60" spans="1:208" ht="15.6" x14ac:dyDescent="0.3">
      <c r="A60" s="60" t="s">
        <v>29</v>
      </c>
      <c r="B60" s="218"/>
      <c r="C60" s="14" t="str">
        <f>C58</f>
        <v>Gaffel</v>
      </c>
      <c r="G60" s="54"/>
      <c r="H60" s="204">
        <f>TBFavrundet</f>
        <v>116.5</v>
      </c>
      <c r="I60" s="63">
        <f>COUNTA(O60:AG60)</f>
        <v>3</v>
      </c>
      <c r="J60" s="222">
        <f>SUM(O60:AG60)</f>
        <v>100.80000000000001</v>
      </c>
      <c r="K60" s="116">
        <f>Seilareal/Depl^0.667/K$7</f>
        <v>1.3341742603358251</v>
      </c>
      <c r="L60" s="116">
        <f>Seilareal/Lwl/Lwl/L$7</f>
        <v>1.2324437995798176</v>
      </c>
      <c r="M60" s="92">
        <f>RiggF</f>
        <v>0.79394841269841265</v>
      </c>
      <c r="N60" s="242">
        <f>StHfaktor</f>
        <v>1.0006716684435335</v>
      </c>
      <c r="O60" s="143"/>
      <c r="P60" s="143"/>
      <c r="Q60" s="143"/>
      <c r="R60" s="165">
        <v>26.5</v>
      </c>
      <c r="S60" s="143"/>
      <c r="T60" s="143"/>
      <c r="U60" s="165">
        <v>19.7</v>
      </c>
      <c r="V60" s="559"/>
      <c r="W60" s="559"/>
      <c r="X60" s="165">
        <v>54.6</v>
      </c>
      <c r="Y60" s="143"/>
      <c r="Z60" s="143"/>
      <c r="AA60" s="143"/>
      <c r="AB60" s="143"/>
      <c r="AC60" s="143"/>
      <c r="AD60" s="143"/>
      <c r="AE60" s="143"/>
      <c r="AF60" s="143"/>
      <c r="AG60" s="551"/>
      <c r="AH60" s="557"/>
      <c r="AI60" s="557">
        <f t="shared" ref="AI60" si="513">AI59</f>
        <v>11.2</v>
      </c>
      <c r="AJ60" s="337">
        <f xml:space="preserve"> AJ59</f>
        <v>0</v>
      </c>
      <c r="AK60" s="339"/>
      <c r="AL60" s="337">
        <f xml:space="preserve"> AL59</f>
        <v>0</v>
      </c>
      <c r="AM60" s="339"/>
      <c r="AN60" s="267" t="str">
        <f t="shared" ref="AN60" si="514" xml:space="preserve"> AN59</f>
        <v>Los</v>
      </c>
      <c r="AO60" s="45">
        <f>VLOOKUP(AN60,Skrogform!$1:$1048576,3,FALSE)</f>
        <v>0.97</v>
      </c>
      <c r="AP60" s="64">
        <f t="shared" ref="AP60:AZ60" si="515">AP59</f>
        <v>11.81</v>
      </c>
      <c r="AQ60" s="64">
        <f t="shared" si="515"/>
        <v>11.14</v>
      </c>
      <c r="AR60" s="64">
        <f t="shared" si="515"/>
        <v>4.3499999999999996</v>
      </c>
      <c r="AS60" s="64">
        <f t="shared" si="515"/>
        <v>1.95</v>
      </c>
      <c r="AT60" s="64"/>
      <c r="AU60" s="64">
        <f t="shared" si="515"/>
        <v>18.5</v>
      </c>
      <c r="AV60" s="64">
        <f t="shared" si="515"/>
        <v>3</v>
      </c>
      <c r="AW60" s="64">
        <f t="shared" si="515"/>
        <v>2</v>
      </c>
      <c r="AX60" s="256">
        <f>AX59</f>
        <v>0</v>
      </c>
      <c r="AY60" s="256">
        <f t="shared" si="515"/>
        <v>70</v>
      </c>
      <c r="AZ60" s="256">
        <f t="shared" si="515"/>
        <v>350</v>
      </c>
      <c r="BA60" s="256">
        <f t="shared" ref="BA60:BB60" si="516">BA59</f>
        <v>0</v>
      </c>
      <c r="BB60" s="256">
        <f t="shared" si="516"/>
        <v>0</v>
      </c>
      <c r="BC60" s="256"/>
      <c r="BD60" s="66"/>
      <c r="BE60" s="66"/>
      <c r="BF60" s="261"/>
      <c r="BG60" s="66"/>
      <c r="BH60" s="175"/>
      <c r="BI60" s="66"/>
      <c r="BJ60" s="66"/>
      <c r="BK60" s="65" t="str">
        <f t="shared" ref="BK60:BM60" si="517" xml:space="preserve"> BK59</f>
        <v>Seilrett</v>
      </c>
      <c r="BL60" s="267">
        <f t="shared" si="517"/>
        <v>3</v>
      </c>
      <c r="BM60" s="267">
        <f t="shared" si="517"/>
        <v>75</v>
      </c>
      <c r="BN60" s="45">
        <f t="shared" si="410"/>
        <v>1</v>
      </c>
      <c r="BO60" s="59"/>
      <c r="BP60" s="59"/>
      <c r="BR60" s="49">
        <f t="shared" si="508"/>
        <v>0</v>
      </c>
      <c r="BS60" s="49">
        <f t="shared" si="508"/>
        <v>0</v>
      </c>
      <c r="BT60" s="49">
        <f t="shared" si="508"/>
        <v>0</v>
      </c>
      <c r="BU60" s="49">
        <f t="shared" si="508"/>
        <v>26.5</v>
      </c>
      <c r="BV60" s="49">
        <f t="shared" si="508"/>
        <v>0</v>
      </c>
      <c r="BW60" s="49">
        <f t="shared" si="508"/>
        <v>0</v>
      </c>
      <c r="BX60" s="49">
        <f t="shared" si="508"/>
        <v>19.7</v>
      </c>
      <c r="BY60" s="549">
        <f>IF(COUNT(Q60:U60)&gt;1,MINA(Q60:U60)*BY$9,0)</f>
        <v>-9.85</v>
      </c>
      <c r="BZ60" s="85">
        <f t="shared" si="509"/>
        <v>0</v>
      </c>
      <c r="CA60" s="85">
        <f t="shared" si="509"/>
        <v>0</v>
      </c>
      <c r="CB60" s="85">
        <f t="shared" si="509"/>
        <v>43.680000000000007</v>
      </c>
      <c r="CC60" s="85">
        <f t="shared" si="509"/>
        <v>0</v>
      </c>
      <c r="CD60" s="85">
        <f t="shared" si="509"/>
        <v>0</v>
      </c>
      <c r="CE60" s="85">
        <f>IF(AC60=0,0,AC60*CE$9)</f>
        <v>0</v>
      </c>
      <c r="CF60" s="85">
        <f t="shared" si="510"/>
        <v>0</v>
      </c>
      <c r="CG60" s="85">
        <f t="shared" si="510"/>
        <v>0</v>
      </c>
      <c r="CH60" s="85">
        <f t="shared" si="511"/>
        <v>0</v>
      </c>
      <c r="CI60" s="85">
        <f t="shared" si="511"/>
        <v>0</v>
      </c>
      <c r="CJ60" s="85">
        <f t="shared" si="511"/>
        <v>0</v>
      </c>
      <c r="CK60" s="85">
        <f t="shared" si="511"/>
        <v>0</v>
      </c>
      <c r="CL60" s="100">
        <f>SUM(BR60:CK60)</f>
        <v>80.03</v>
      </c>
      <c r="CM60" s="50"/>
      <c r="CN60" s="104">
        <f>J60</f>
        <v>100.80000000000001</v>
      </c>
      <c r="CO60" s="101">
        <f>CL60/CN60</f>
        <v>0.79394841269841265</v>
      </c>
      <c r="CP60" s="51">
        <f>Seilareal/Lwl/Lwl</f>
        <v>0.81225080499856561</v>
      </c>
      <c r="CQ60" s="116">
        <f>Seilareal/Depl^0.667/K$7</f>
        <v>1.3341742603358251</v>
      </c>
      <c r="CR60" s="51">
        <f>Seilareal/Lwl/Lwl/SApRS1</f>
        <v>1.2324437995798176</v>
      </c>
      <c r="CS60" s="204"/>
      <c r="CT60" s="204">
        <f>(ROUND(TBF/CT$6,3)*CT$6)*CT$4</f>
        <v>116.5</v>
      </c>
      <c r="CU60" s="107">
        <f t="shared" si="83"/>
        <v>1.1644269622833445</v>
      </c>
      <c r="CV60" s="62">
        <f t="shared" si="13"/>
        <v>3.3726463970331797</v>
      </c>
      <c r="CW60" s="62">
        <f t="shared" si="84"/>
        <v>1.6241708760111293</v>
      </c>
      <c r="CX60" s="62">
        <f t="shared" si="15"/>
        <v>1.8269274352463283</v>
      </c>
      <c r="CY60" s="107">
        <f t="shared" si="85"/>
        <v>1.0006716684435335</v>
      </c>
      <c r="CZ60" s="168" t="str">
        <f t="shared" si="412"/>
        <v>-</v>
      </c>
      <c r="DA60" s="158"/>
      <c r="DB60" s="168" t="str">
        <f t="shared" si="413"/>
        <v>-</v>
      </c>
      <c r="DC60" s="160"/>
      <c r="DD60" s="190" t="s">
        <v>134</v>
      </c>
      <c r="DE60" s="62">
        <v>0.91</v>
      </c>
      <c r="DF60" s="62">
        <v>0.89</v>
      </c>
      <c r="DG60" s="62">
        <v>0.92</v>
      </c>
      <c r="DH60" s="150">
        <v>0.96</v>
      </c>
      <c r="DI60" s="62">
        <f t="shared" si="88"/>
        <v>2.0138686341547749</v>
      </c>
      <c r="DJ60" s="47">
        <f t="shared" si="89"/>
        <v>11.825348696179502</v>
      </c>
      <c r="DK60" s="48">
        <f t="shared" si="414"/>
        <v>0</v>
      </c>
      <c r="DM60" s="107">
        <f t="shared" si="381"/>
        <v>1.1396094089152831</v>
      </c>
      <c r="DN60" s="141" t="str">
        <f t="shared" si="415"/>
        <v>-</v>
      </c>
      <c r="DO60" s="107">
        <f t="shared" si="416"/>
        <v>5.0305218924883341</v>
      </c>
      <c r="DP60" s="133">
        <f>IF(SeilBeregnet=0,DP59,(SeilBeregnet^0.5/(Depl^0.3333))^DP$3*DP$7)</f>
        <v>3.3828136268248912</v>
      </c>
      <c r="DQ60" s="133">
        <f>IF(SeilBeregnet=0,DQ59,(SeilBeregnet^0.5/Lwl)^DQ$3*DQ$7)</f>
        <v>0</v>
      </c>
      <c r="DR60" s="133">
        <f>IF(SeilBeregnet=0,DR59,(0.1*Loa/Depl^0.3333)^DR$3*DR$7)</f>
        <v>0</v>
      </c>
      <c r="DS60" s="133">
        <f>IF(SeilBeregnet=0,DS59,((Loa)/Bredde)^DS$3*DS$7)</f>
        <v>1.6477082656634434</v>
      </c>
      <c r="DT60" s="107">
        <f>IF(SeilBeregnet=0,DT59,(Lwl)^DT$3)</f>
        <v>1.8269274352463283</v>
      </c>
      <c r="DU60" s="133">
        <f>IF(SeilBeregnet=0,DU59,(Dypg/Loa)^DU$3*5*DU$7)</f>
        <v>2.0317130081956618</v>
      </c>
      <c r="DW60" s="107">
        <f t="shared" si="512"/>
        <v>1.200440167302417</v>
      </c>
      <c r="DX60" s="107">
        <f t="shared" si="93"/>
        <v>1.1479784530862103</v>
      </c>
      <c r="DZ60" s="107">
        <f t="shared" si="94"/>
        <v>1.1188762814248217</v>
      </c>
      <c r="EA60" s="122" t="str">
        <f t="shared" si="418"/>
        <v>-</v>
      </c>
      <c r="EB60" s="107">
        <f t="shared" si="419"/>
        <v>1.1699459366841731</v>
      </c>
      <c r="EC60" s="122" t="str">
        <f t="shared" si="420"/>
        <v>-</v>
      </c>
      <c r="ED60" s="107">
        <f t="shared" si="464"/>
        <v>3.3825175315463789</v>
      </c>
      <c r="EE60" s="107">
        <f t="shared" si="465"/>
        <v>2.2331959630580456</v>
      </c>
      <c r="EF60" s="107">
        <f t="shared" si="466"/>
        <v>1.515560780855169</v>
      </c>
      <c r="EH60" s="107">
        <f t="shared" si="421"/>
        <v>1.1532839182728769</v>
      </c>
      <c r="EJ60" s="107">
        <f t="shared" si="467"/>
        <v>3.3825175315463789</v>
      </c>
      <c r="EK60" s="107">
        <f t="shared" si="468"/>
        <v>2.2333574652932007</v>
      </c>
      <c r="EL60" s="107">
        <f t="shared" si="469"/>
        <v>1.7407660223285584</v>
      </c>
      <c r="EM60" s="107">
        <f t="shared" si="422"/>
        <v>1.1604376110034595</v>
      </c>
      <c r="EO60" s="107">
        <f t="shared" si="470"/>
        <v>5.1264109113667287</v>
      </c>
      <c r="EP60" s="107">
        <f t="shared" si="471"/>
        <v>3.3825175315463789</v>
      </c>
      <c r="EQ60" s="107">
        <f t="shared" si="472"/>
        <v>1.515560780855169</v>
      </c>
      <c r="ER60" s="107">
        <f t="shared" si="473"/>
        <v>1.8269274352463283</v>
      </c>
      <c r="ES60" s="107">
        <f t="shared" si="382"/>
        <v>1.1565671410023983</v>
      </c>
      <c r="EU60" s="107">
        <f t="shared" si="474"/>
        <v>1.8098300752696703</v>
      </c>
      <c r="EV60" s="107">
        <f t="shared" si="475"/>
        <v>3.3825175315463789</v>
      </c>
      <c r="EW60" s="107">
        <f t="shared" si="476"/>
        <v>0.96835710999350633</v>
      </c>
      <c r="EX60" s="107">
        <f t="shared" si="477"/>
        <v>1.83511310912736</v>
      </c>
      <c r="EY60" s="107">
        <f t="shared" si="383"/>
        <v>1.1168217568713632</v>
      </c>
      <c r="FA60" s="107">
        <f t="shared" si="371"/>
        <v>1.8099092870414262</v>
      </c>
      <c r="FB60" s="107">
        <f t="shared" si="478"/>
        <v>3.3828136268248912</v>
      </c>
      <c r="FC60" s="107">
        <f t="shared" si="479"/>
        <v>0.96835710999350633</v>
      </c>
      <c r="FD60" s="107">
        <f t="shared" si="480"/>
        <v>1.83511310912736</v>
      </c>
      <c r="FE60" s="107">
        <f t="shared" si="384"/>
        <v>1.1208576277094595</v>
      </c>
      <c r="FF60" s="141" t="str">
        <f t="shared" si="423"/>
        <v>-</v>
      </c>
      <c r="FG60" s="107">
        <f t="shared" si="372"/>
        <v>3.1721167460291615</v>
      </c>
      <c r="FH60" s="133">
        <f t="shared" si="481"/>
        <v>3.3828136268248912</v>
      </c>
      <c r="FI60" s="133">
        <f t="shared" si="482"/>
        <v>0.93771549247497576</v>
      </c>
      <c r="FJ60" s="107">
        <f t="shared" si="483"/>
        <v>1.0319599376608612</v>
      </c>
      <c r="FK60" s="107">
        <f t="shared" si="385"/>
        <v>1.1595412591037677</v>
      </c>
      <c r="FL60" s="141" t="str">
        <f t="shared" si="424"/>
        <v>-</v>
      </c>
      <c r="FM60" s="107">
        <f t="shared" si="373"/>
        <v>5.3335693614100776</v>
      </c>
      <c r="FN60" s="133">
        <f t="shared" si="484"/>
        <v>3.3828136268248912</v>
      </c>
      <c r="FO60" s="133">
        <f t="shared" si="485"/>
        <v>0.80304746892174383</v>
      </c>
      <c r="FP60" s="133">
        <f t="shared" si="486"/>
        <v>1.6477082656634434</v>
      </c>
      <c r="FQ60" s="107">
        <f t="shared" si="487"/>
        <v>1.8269274352463283</v>
      </c>
      <c r="FR60" s="107">
        <f t="shared" si="386"/>
        <v>1.1194113443677756</v>
      </c>
      <c r="FS60" s="141" t="str">
        <f t="shared" si="425"/>
        <v>-</v>
      </c>
      <c r="FT60" s="107">
        <f t="shared" si="374"/>
        <v>5.5738899741183046</v>
      </c>
      <c r="FU60" s="133">
        <f t="shared" si="488"/>
        <v>3.3828136268248912</v>
      </c>
      <c r="FV60" s="133">
        <f t="shared" si="489"/>
        <v>1.6477082656634434</v>
      </c>
      <c r="FW60" s="107">
        <f t="shared" si="490"/>
        <v>1.8269274352463283</v>
      </c>
      <c r="FY60">
        <v>0.95</v>
      </c>
      <c r="FZ60" s="62">
        <f t="shared" si="48"/>
        <v>1.1463605098003733</v>
      </c>
      <c r="GA60" s="62">
        <f t="shared" si="49"/>
        <v>2.0317130081956618</v>
      </c>
      <c r="GB60" s="107">
        <f t="shared" si="50"/>
        <v>1.1678649426487901</v>
      </c>
      <c r="GC60" s="440"/>
      <c r="GD60" s="17"/>
      <c r="GE60" s="442"/>
      <c r="GF60" s="462"/>
      <c r="GG60" s="17"/>
      <c r="GH60" s="17"/>
      <c r="GI60" s="17"/>
      <c r="GJ60" s="17"/>
      <c r="GL60" s="17"/>
      <c r="GM60" s="442"/>
      <c r="GN60" s="8"/>
      <c r="GO60" s="8"/>
      <c r="GP60" s="8"/>
      <c r="GQ60" s="8"/>
      <c r="GS60" s="17"/>
      <c r="GT60" s="17"/>
      <c r="GU60" s="17"/>
      <c r="GV60" s="629"/>
      <c r="GW60" s="17"/>
      <c r="GX60" s="17"/>
      <c r="GY60" s="17"/>
      <c r="GZ60" s="17"/>
    </row>
    <row r="61" spans="1:208" ht="15.6" x14ac:dyDescent="0.3">
      <c r="A61" s="60" t="s">
        <v>30</v>
      </c>
      <c r="B61" s="218"/>
      <c r="C61" s="14" t="str">
        <f>C59</f>
        <v>Gaffel</v>
      </c>
      <c r="G61" s="54"/>
      <c r="H61" s="204">
        <f>TBFavrundet</f>
        <v>112.00000000000001</v>
      </c>
      <c r="I61" s="63">
        <f>COUNTA(O61:AG61)</f>
        <v>3</v>
      </c>
      <c r="J61" s="222">
        <f>SUM(O61:AG61)</f>
        <v>90.2</v>
      </c>
      <c r="K61" s="116">
        <f>Seilareal/Depl^0.667/K$7</f>
        <v>1.1938741893084466</v>
      </c>
      <c r="L61" s="116">
        <f>Seilareal/Lwl/Lwl/L$7</f>
        <v>1.1028415746240035</v>
      </c>
      <c r="M61" s="92">
        <f>RiggF</f>
        <v>0.79079822616407991</v>
      </c>
      <c r="N61" s="242">
        <f>StHfaktor</f>
        <v>1.0006716684435335</v>
      </c>
      <c r="O61" s="143"/>
      <c r="P61" s="143"/>
      <c r="Q61" s="143"/>
      <c r="R61" s="143"/>
      <c r="S61" s="165">
        <v>15.9</v>
      </c>
      <c r="T61" s="143"/>
      <c r="U61" s="165">
        <v>19.7</v>
      </c>
      <c r="V61" s="559"/>
      <c r="W61" s="559"/>
      <c r="X61" s="165">
        <v>54.6</v>
      </c>
      <c r="Y61" s="143"/>
      <c r="Z61" s="143"/>
      <c r="AA61" s="143"/>
      <c r="AB61" s="143"/>
      <c r="AC61" s="143"/>
      <c r="AD61" s="143"/>
      <c r="AE61" s="143"/>
      <c r="AF61" s="143"/>
      <c r="AG61" s="551"/>
      <c r="AH61" s="557"/>
      <c r="AI61" s="557">
        <f t="shared" ref="AI61" si="518">AI60</f>
        <v>11.2</v>
      </c>
      <c r="AJ61" s="337">
        <f xml:space="preserve"> AJ60</f>
        <v>0</v>
      </c>
      <c r="AK61" s="339"/>
      <c r="AL61" s="337">
        <f xml:space="preserve"> AL60</f>
        <v>0</v>
      </c>
      <c r="AM61" s="339"/>
      <c r="AN61" s="267" t="str">
        <f t="shared" ref="AN61" si="519" xml:space="preserve"> AN60</f>
        <v>Los</v>
      </c>
      <c r="AO61" s="45">
        <f>VLOOKUP(AN61,Skrogform!$1:$1048576,3,FALSE)</f>
        <v>0.97</v>
      </c>
      <c r="AP61" s="64">
        <f t="shared" ref="AP61:AZ61" si="520">AP60</f>
        <v>11.81</v>
      </c>
      <c r="AQ61" s="64">
        <f t="shared" si="520"/>
        <v>11.14</v>
      </c>
      <c r="AR61" s="64">
        <f t="shared" si="520"/>
        <v>4.3499999999999996</v>
      </c>
      <c r="AS61" s="64">
        <f t="shared" si="520"/>
        <v>1.95</v>
      </c>
      <c r="AT61" s="64"/>
      <c r="AU61" s="64">
        <f t="shared" si="520"/>
        <v>18.5</v>
      </c>
      <c r="AV61" s="64">
        <f t="shared" si="520"/>
        <v>3</v>
      </c>
      <c r="AW61" s="64">
        <f t="shared" si="520"/>
        <v>2</v>
      </c>
      <c r="AX61" s="256">
        <f>AX60</f>
        <v>0</v>
      </c>
      <c r="AY61" s="256">
        <f t="shared" si="520"/>
        <v>70</v>
      </c>
      <c r="AZ61" s="256">
        <f t="shared" si="520"/>
        <v>350</v>
      </c>
      <c r="BA61" s="256">
        <f t="shared" ref="BA61:BB61" si="521">BA60</f>
        <v>0</v>
      </c>
      <c r="BB61" s="256">
        <f t="shared" si="521"/>
        <v>0</v>
      </c>
      <c r="BC61" s="256"/>
      <c r="BD61" s="66"/>
      <c r="BE61" s="66"/>
      <c r="BF61" s="261"/>
      <c r="BG61" s="66"/>
      <c r="BH61" s="175"/>
      <c r="BI61" s="66"/>
      <c r="BJ61" s="66"/>
      <c r="BK61" s="65" t="str">
        <f t="shared" ref="BK61:BM61" si="522" xml:space="preserve"> BK60</f>
        <v>Seilrett</v>
      </c>
      <c r="BL61" s="267">
        <f t="shared" si="522"/>
        <v>3</v>
      </c>
      <c r="BM61" s="267">
        <f t="shared" si="522"/>
        <v>75</v>
      </c>
      <c r="BN61" s="45">
        <f t="shared" si="410"/>
        <v>1</v>
      </c>
      <c r="BO61" s="59"/>
      <c r="BP61" s="59"/>
      <c r="BR61" s="49">
        <f t="shared" si="508"/>
        <v>0</v>
      </c>
      <c r="BS61" s="49">
        <f t="shared" si="508"/>
        <v>0</v>
      </c>
      <c r="BT61" s="49">
        <f t="shared" si="508"/>
        <v>0</v>
      </c>
      <c r="BU61" s="49">
        <f t="shared" si="508"/>
        <v>0</v>
      </c>
      <c r="BV61" s="49">
        <f t="shared" si="508"/>
        <v>15.9</v>
      </c>
      <c r="BW61" s="49">
        <f t="shared" si="508"/>
        <v>0</v>
      </c>
      <c r="BX61" s="49">
        <f t="shared" si="508"/>
        <v>19.7</v>
      </c>
      <c r="BY61" s="549">
        <f>IF(COUNT(Q61:U61)&gt;1,MINA(Q61:U61)*BY$9,0)</f>
        <v>-7.95</v>
      </c>
      <c r="BZ61" s="85">
        <f t="shared" si="509"/>
        <v>0</v>
      </c>
      <c r="CA61" s="85">
        <f t="shared" si="509"/>
        <v>0</v>
      </c>
      <c r="CB61" s="85">
        <f t="shared" si="509"/>
        <v>43.680000000000007</v>
      </c>
      <c r="CC61" s="85">
        <f t="shared" si="509"/>
        <v>0</v>
      </c>
      <c r="CD61" s="85">
        <f t="shared" si="509"/>
        <v>0</v>
      </c>
      <c r="CE61" s="85">
        <f>IF(AC61=0,0,AC61*CE$9)</f>
        <v>0</v>
      </c>
      <c r="CF61" s="85">
        <f t="shared" si="510"/>
        <v>0</v>
      </c>
      <c r="CG61" s="85">
        <f t="shared" si="510"/>
        <v>0</v>
      </c>
      <c r="CH61" s="85">
        <f t="shared" si="511"/>
        <v>0</v>
      </c>
      <c r="CI61" s="85">
        <f t="shared" si="511"/>
        <v>0</v>
      </c>
      <c r="CJ61" s="85">
        <f t="shared" si="511"/>
        <v>0</v>
      </c>
      <c r="CK61" s="85">
        <f t="shared" si="511"/>
        <v>0</v>
      </c>
      <c r="CL61" s="100">
        <f>SUM(BR61:CK61)</f>
        <v>71.330000000000013</v>
      </c>
      <c r="CM61" s="50"/>
      <c r="CN61" s="104">
        <f>J61</f>
        <v>90.2</v>
      </c>
      <c r="CO61" s="101">
        <f>CL61/CN61</f>
        <v>0.79079822616407991</v>
      </c>
      <c r="CP61" s="51">
        <f>Seilareal/Lwl/Lwl</f>
        <v>0.72683554177451004</v>
      </c>
      <c r="CQ61" s="116">
        <f>Seilareal/Depl^0.667/K$7</f>
        <v>1.1938741893084466</v>
      </c>
      <c r="CR61" s="51">
        <f>Seilareal/Lwl/Lwl/SApRS1</f>
        <v>1.1028415746240035</v>
      </c>
      <c r="CS61" s="204"/>
      <c r="CT61" s="204">
        <f>(ROUND(TBF/CT$6,3)*CT$6)*CT$4</f>
        <v>112.00000000000001</v>
      </c>
      <c r="CU61" s="107">
        <f t="shared" si="83"/>
        <v>1.1204787252422863</v>
      </c>
      <c r="CV61" s="62">
        <f t="shared" si="13"/>
        <v>3.184054654416721</v>
      </c>
      <c r="CW61" s="62">
        <f t="shared" si="84"/>
        <v>1.6241708760111293</v>
      </c>
      <c r="CX61" s="62">
        <f t="shared" si="15"/>
        <v>1.8269274352463283</v>
      </c>
      <c r="CY61" s="107">
        <f t="shared" si="85"/>
        <v>1.0006716684435335</v>
      </c>
      <c r="CZ61" s="168" t="str">
        <f t="shared" si="412"/>
        <v>-</v>
      </c>
      <c r="DA61" s="158"/>
      <c r="DB61" s="168" t="str">
        <f t="shared" si="413"/>
        <v>-</v>
      </c>
      <c r="DC61" s="160"/>
      <c r="DD61" s="190" t="s">
        <v>134</v>
      </c>
      <c r="DE61" s="62">
        <v>0.87</v>
      </c>
      <c r="DF61" s="62">
        <v>0.86</v>
      </c>
      <c r="DG61" s="62">
        <v>0.88</v>
      </c>
      <c r="DH61" s="150">
        <v>0.92</v>
      </c>
      <c r="DI61" s="62">
        <f t="shared" si="88"/>
        <v>2.0138686341547749</v>
      </c>
      <c r="DJ61" s="47">
        <f t="shared" si="89"/>
        <v>11.825348696179502</v>
      </c>
      <c r="DK61" s="48">
        <f t="shared" si="414"/>
        <v>0</v>
      </c>
      <c r="DM61" s="107">
        <f t="shared" si="381"/>
        <v>1.0967572292132699</v>
      </c>
      <c r="DN61" s="141" t="str">
        <f t="shared" si="415"/>
        <v>-</v>
      </c>
      <c r="DO61" s="107">
        <f t="shared" si="416"/>
        <v>4.8413616184107395</v>
      </c>
      <c r="DP61" s="133">
        <f>IF(SeilBeregnet=0,DP60,(SeilBeregnet^0.5/(Depl^0.3333))^DP$3*DP$7)</f>
        <v>3.1936533527472961</v>
      </c>
      <c r="DQ61" s="133">
        <f>IF(SeilBeregnet=0,DQ60,(SeilBeregnet^0.5/Lwl)^DQ$3*DQ$7)</f>
        <v>0</v>
      </c>
      <c r="DR61" s="133">
        <f>IF(SeilBeregnet=0,DR60,(0.1*Loa/Depl^0.3333)^DR$3*DR$7)</f>
        <v>0</v>
      </c>
      <c r="DS61" s="133">
        <f>IF(SeilBeregnet=0,DS60,((Loa)/Bredde)^DS$3*DS$7)</f>
        <v>1.6477082656634434</v>
      </c>
      <c r="DT61" s="107">
        <f>IF(SeilBeregnet=0,DT60,(Lwl)^DT$3)</f>
        <v>1.8269274352463283</v>
      </c>
      <c r="DU61" s="133">
        <f>IF(SeilBeregnet=0,DU60,(Dypg/Loa)^DU$3*5*DU$7)</f>
        <v>2.0317130081956618</v>
      </c>
      <c r="DW61" s="107">
        <f t="shared" si="512"/>
        <v>1.1551327064353467</v>
      </c>
      <c r="DX61" s="107">
        <f t="shared" si="93"/>
        <v>1.0974444490392647</v>
      </c>
      <c r="DZ61" s="107">
        <f t="shared" si="94"/>
        <v>1.0794349003372672</v>
      </c>
      <c r="EA61" s="122" t="str">
        <f t="shared" si="418"/>
        <v>-</v>
      </c>
      <c r="EB61" s="107">
        <f t="shared" si="419"/>
        <v>1.1201755474302297</v>
      </c>
      <c r="EC61" s="122" t="str">
        <f t="shared" si="420"/>
        <v>-</v>
      </c>
      <c r="ED61" s="107">
        <f t="shared" si="464"/>
        <v>3.1933738145334689</v>
      </c>
      <c r="EE61" s="107">
        <f t="shared" si="465"/>
        <v>2.2331959630580456</v>
      </c>
      <c r="EF61" s="107">
        <f t="shared" si="466"/>
        <v>1.515560780855169</v>
      </c>
      <c r="EH61" s="107">
        <f t="shared" si="421"/>
        <v>1.108999684999989</v>
      </c>
      <c r="EJ61" s="107">
        <f t="shared" si="467"/>
        <v>3.1933738145334689</v>
      </c>
      <c r="EK61" s="107">
        <f t="shared" si="468"/>
        <v>2.2333574652932007</v>
      </c>
      <c r="EL61" s="107">
        <f t="shared" si="469"/>
        <v>1.7407660223285584</v>
      </c>
      <c r="EM61" s="107">
        <f t="shared" si="422"/>
        <v>1.1137591838759668</v>
      </c>
      <c r="EO61" s="107">
        <f t="shared" si="470"/>
        <v>4.8397521119167939</v>
      </c>
      <c r="EP61" s="107">
        <f t="shared" si="471"/>
        <v>3.1933738145334689</v>
      </c>
      <c r="EQ61" s="107">
        <f t="shared" si="472"/>
        <v>1.515560780855169</v>
      </c>
      <c r="ER61" s="107">
        <f t="shared" si="473"/>
        <v>1.8269274352463283</v>
      </c>
      <c r="ES61" s="107">
        <f t="shared" si="382"/>
        <v>1.1112441880396089</v>
      </c>
      <c r="EU61" s="107">
        <f t="shared" si="474"/>
        <v>1.7585011339690884</v>
      </c>
      <c r="EV61" s="107">
        <f t="shared" si="475"/>
        <v>3.1933738145334689</v>
      </c>
      <c r="EW61" s="107">
        <f t="shared" si="476"/>
        <v>0.96835710999350633</v>
      </c>
      <c r="EX61" s="107">
        <f t="shared" si="477"/>
        <v>1.83511310912736</v>
      </c>
      <c r="EY61" s="107">
        <f t="shared" si="383"/>
        <v>1.0851473587137783</v>
      </c>
      <c r="FA61" s="107">
        <f t="shared" si="371"/>
        <v>1.7585780992004432</v>
      </c>
      <c r="FB61" s="107">
        <f t="shared" si="478"/>
        <v>3.1936533527472961</v>
      </c>
      <c r="FC61" s="107">
        <f t="shared" si="479"/>
        <v>0.96835710999350633</v>
      </c>
      <c r="FD61" s="107">
        <f t="shared" si="480"/>
        <v>1.83511310912736</v>
      </c>
      <c r="FE61" s="107">
        <f t="shared" si="384"/>
        <v>1.0824176472513507</v>
      </c>
      <c r="FF61" s="141" t="str">
        <f t="shared" si="423"/>
        <v>-</v>
      </c>
      <c r="FG61" s="107">
        <f t="shared" si="372"/>
        <v>2.9947382264657882</v>
      </c>
      <c r="FH61" s="133">
        <f t="shared" si="481"/>
        <v>3.1936533527472961</v>
      </c>
      <c r="FI61" s="133">
        <f t="shared" si="482"/>
        <v>0.93771549247497576</v>
      </c>
      <c r="FJ61" s="107">
        <f t="shared" si="483"/>
        <v>1.0319599376608612</v>
      </c>
      <c r="FK61" s="107">
        <f t="shared" si="385"/>
        <v>1.1086544832860001</v>
      </c>
      <c r="FL61" s="141" t="str">
        <f t="shared" si="424"/>
        <v>-</v>
      </c>
      <c r="FM61" s="107">
        <f t="shared" si="373"/>
        <v>5.0995042548244225</v>
      </c>
      <c r="FN61" s="133">
        <f t="shared" si="484"/>
        <v>3.1936533527472961</v>
      </c>
      <c r="FO61" s="133">
        <f t="shared" si="485"/>
        <v>0.75814263641368351</v>
      </c>
      <c r="FP61" s="133">
        <f t="shared" si="486"/>
        <v>1.6477082656634434</v>
      </c>
      <c r="FQ61" s="107">
        <f t="shared" si="487"/>
        <v>1.8269274352463283</v>
      </c>
      <c r="FR61" s="107">
        <f t="shared" si="386"/>
        <v>1.0829685620727032</v>
      </c>
      <c r="FS61" s="141" t="str">
        <f t="shared" si="425"/>
        <v>-</v>
      </c>
      <c r="FT61" s="107">
        <f t="shared" si="374"/>
        <v>5.2622090269854889</v>
      </c>
      <c r="FU61" s="133">
        <f t="shared" si="488"/>
        <v>3.1936533527472961</v>
      </c>
      <c r="FV61" s="133">
        <f t="shared" si="489"/>
        <v>1.6477082656634434</v>
      </c>
      <c r="FW61" s="107">
        <f t="shared" si="490"/>
        <v>1.8269274352463283</v>
      </c>
      <c r="FY61">
        <v>0.95</v>
      </c>
      <c r="FZ61" s="62">
        <f t="shared" si="48"/>
        <v>1.1156570733807012</v>
      </c>
      <c r="GA61" s="62">
        <f t="shared" si="49"/>
        <v>2.0317130081956618</v>
      </c>
      <c r="GB61" s="107">
        <f t="shared" si="50"/>
        <v>1.145677866619687</v>
      </c>
      <c r="GC61" s="440"/>
      <c r="GD61" s="17"/>
      <c r="GE61" s="442"/>
      <c r="GF61" s="462"/>
      <c r="GG61" s="17"/>
      <c r="GH61" s="17"/>
      <c r="GI61" s="17"/>
      <c r="GJ61" s="17"/>
      <c r="GL61" s="17"/>
      <c r="GM61" s="442"/>
      <c r="GN61" s="8"/>
      <c r="GO61" s="8"/>
      <c r="GP61" s="8"/>
      <c r="GQ61" s="8"/>
      <c r="GS61" s="17"/>
      <c r="GT61" s="17"/>
      <c r="GU61" s="17"/>
      <c r="GV61" s="629"/>
      <c r="GW61" s="17"/>
      <c r="GX61" s="17"/>
      <c r="GY61" s="17"/>
      <c r="GZ61" s="17"/>
    </row>
    <row r="62" spans="1:208" ht="15.6" x14ac:dyDescent="0.3">
      <c r="A62" s="52" t="s">
        <v>892</v>
      </c>
      <c r="B62" s="218">
        <f t="shared" si="10"/>
        <v>37.073490813648291</v>
      </c>
      <c r="C62" s="53" t="s">
        <v>19</v>
      </c>
      <c r="D62" s="53"/>
      <c r="E62" s="53"/>
      <c r="F62" s="53"/>
      <c r="G62" s="54"/>
      <c r="H62" s="112">
        <f>J63</f>
        <v>94</v>
      </c>
      <c r="I62" s="601">
        <f>H63/100</f>
        <v>1.165</v>
      </c>
      <c r="J62" s="651" t="str">
        <f>IF(DC63=0,"-",DC63)</f>
        <v>-</v>
      </c>
      <c r="K62" s="123" t="str">
        <f>A62</f>
        <v>Los LEDA</v>
      </c>
      <c r="L62" s="116"/>
      <c r="M62" s="116"/>
      <c r="N62" s="92"/>
      <c r="O62" s="165"/>
      <c r="P62" s="165"/>
      <c r="Q62" s="165"/>
      <c r="R62" s="165">
        <v>24</v>
      </c>
      <c r="S62" s="165">
        <v>14.4</v>
      </c>
      <c r="T62" s="165"/>
      <c r="U62" s="165">
        <v>17</v>
      </c>
      <c r="V62" s="559"/>
      <c r="W62" s="559"/>
      <c r="X62" s="165">
        <v>43</v>
      </c>
      <c r="Y62" s="177">
        <f>StorS-StorS/6</f>
        <v>35.833333333333336</v>
      </c>
      <c r="Z62" s="177">
        <f>StorS-StorS/6*1.9</f>
        <v>29.383333333333333</v>
      </c>
      <c r="AA62" s="165">
        <v>10</v>
      </c>
      <c r="AB62" s="165"/>
      <c r="AC62" s="165"/>
      <c r="AD62" s="165"/>
      <c r="AE62" s="165"/>
      <c r="AF62" s="165"/>
      <c r="AG62" s="552"/>
      <c r="AH62" s="244"/>
      <c r="AI62" s="244">
        <v>10.55</v>
      </c>
      <c r="AJ62" s="554"/>
      <c r="AK62" s="339"/>
      <c r="AL62" s="268"/>
      <c r="AM62" s="339"/>
      <c r="AN62" s="268" t="s">
        <v>203</v>
      </c>
      <c r="AO62" s="45">
        <f>VLOOKUP(AN62,Skrogform!$1:$1048576,3,FALSE)</f>
        <v>0.97</v>
      </c>
      <c r="AP62" s="55">
        <v>11.3</v>
      </c>
      <c r="AQ62" s="55">
        <v>10.199999999999999</v>
      </c>
      <c r="AR62" s="55">
        <v>4.05</v>
      </c>
      <c r="AS62" s="55">
        <v>1.8</v>
      </c>
      <c r="AT62" s="637">
        <f>AU62</f>
        <v>14</v>
      </c>
      <c r="AU62" s="55">
        <v>14</v>
      </c>
      <c r="AV62" s="55">
        <v>1.8</v>
      </c>
      <c r="AW62" s="55">
        <v>2</v>
      </c>
      <c r="AX62" s="253"/>
      <c r="AY62" s="253">
        <v>30</v>
      </c>
      <c r="AZ62" s="253">
        <v>450</v>
      </c>
      <c r="BA62" s="253"/>
      <c r="BB62" s="253"/>
      <c r="BC62" s="244">
        <f>Depl+Diesel/1000*0.84+Vann/1000</f>
        <v>14</v>
      </c>
      <c r="BD62" s="95">
        <f>Bredde/(Loa+Lwl)*2</f>
        <v>0.37674418604651161</v>
      </c>
      <c r="BE62" s="95">
        <f>(Kjøl+Ballast)/Depl</f>
        <v>0.27142857142857141</v>
      </c>
      <c r="BF62" s="260">
        <f>BF$7*((Depl-Kjøl-Ballast-VektMotor/1000-VektAnnet/1000)/Lwl/Lwl/Bredde)</f>
        <v>0.8732304526748973</v>
      </c>
      <c r="BG62" s="95">
        <f>BG$7*(Depl/Loa/Lwl/Lwl)</f>
        <v>0.87632153392330381</v>
      </c>
      <c r="BH62" s="174">
        <f>BH$7*(Depl/Loa/Lwl/Bredde)</f>
        <v>0.81579482137004278</v>
      </c>
      <c r="BI62" s="95">
        <f>BI$7*Bredde/(Loa+Lwl)*2</f>
        <v>1.0747336834208552</v>
      </c>
      <c r="BJ62" s="95">
        <f>BJ$7*(Dypg/Lwl)</f>
        <v>0.96521739130434792</v>
      </c>
      <c r="BK62" s="56" t="s">
        <v>21</v>
      </c>
      <c r="BL62" s="268">
        <v>3</v>
      </c>
      <c r="BM62" s="268">
        <v>50</v>
      </c>
      <c r="BN62" s="45">
        <f>IF((BK62="Fast"),(1.006248-(0.06415*((BM62/100*SQRT(BL62))/POWER(AU62,(1/3))))),1)</f>
        <v>1</v>
      </c>
      <c r="BO62" s="59"/>
      <c r="BP62" s="59"/>
      <c r="BR62" s="209"/>
      <c r="BS62" s="209"/>
      <c r="BT62" s="209" t="str">
        <f>$A62</f>
        <v>Los LEDA</v>
      </c>
      <c r="BU62" s="10"/>
      <c r="BV62" s="10"/>
      <c r="BW62" s="10"/>
      <c r="BX62" s="10"/>
      <c r="BY62" s="549"/>
      <c r="BZ62" s="10"/>
      <c r="CA62" s="10"/>
      <c r="CB62" s="209" t="str">
        <f>$A62</f>
        <v>Los LEDA</v>
      </c>
      <c r="CC62" s="10"/>
      <c r="CD62" s="10"/>
      <c r="CE62" s="10"/>
      <c r="CF62" s="10"/>
      <c r="CG62" s="10"/>
      <c r="CH62" s="10"/>
      <c r="CI62" s="10"/>
      <c r="CJ62" s="10"/>
      <c r="CK62" s="10"/>
      <c r="CL62" s="209"/>
      <c r="CM62" s="10"/>
      <c r="CN62" s="209" t="str">
        <f>$A62</f>
        <v>Los LEDA</v>
      </c>
      <c r="CO62" s="207"/>
      <c r="CP62" s="207"/>
      <c r="CQ62" s="116"/>
      <c r="CR62" s="207"/>
      <c r="CS62" s="203"/>
      <c r="CT62" s="203" t="s">
        <v>23</v>
      </c>
      <c r="CU62" s="107" t="str">
        <f t="shared" si="83"/>
        <v>-</v>
      </c>
      <c r="CV62" s="62" t="str">
        <f t="shared" ref="CV62:CV229" si="523">IF(SeilBeregnet=0,"-",(SeilBeregnet)^(1/2)*StHfaktor/(Depl+DeplTillegg/1000+Vann/1000+Diesel/1000*0.84)^(1/3))</f>
        <v>-</v>
      </c>
      <c r="CW62" s="62" t="str">
        <f t="shared" si="84"/>
        <v>-</v>
      </c>
      <c r="CX62" s="62" t="str">
        <f t="shared" ref="CX62:CX229" si="524">IF(SeilBeregnet=0,"-",(Lwl)^(1/CX$7))</f>
        <v>-</v>
      </c>
      <c r="CY62" s="107" t="str">
        <f t="shared" si="85"/>
        <v>-</v>
      </c>
      <c r="CZ62" s="168" t="str">
        <f>IF(DA62=0,"-",IF(CP62="TBF","-",CZ$7*DA62))</f>
        <v>-</v>
      </c>
      <c r="DA62" s="158"/>
      <c r="DB62" s="168" t="str">
        <f>IF(DC62=0,"-",IF(CT62="TBF","-",DB$7*DC62))</f>
        <v>-</v>
      </c>
      <c r="DC62" s="160"/>
      <c r="DD62" s="190" t="s">
        <v>134</v>
      </c>
      <c r="DE62" s="29" t="s">
        <v>23</v>
      </c>
      <c r="DF62" s="29" t="s">
        <v>23</v>
      </c>
      <c r="DG62" s="29" t="s">
        <v>23</v>
      </c>
      <c r="DH62" s="149">
        <v>2022</v>
      </c>
      <c r="DI62" s="62" t="str">
        <f t="shared" si="88"/>
        <v>-</v>
      </c>
      <c r="DJ62" s="47">
        <f t="shared" si="89"/>
        <v>11.803278688524591</v>
      </c>
      <c r="DK62" s="48">
        <f>DJ$7*IF(DJ62&lt;DJ$5,-0.04,IF(DJ62&lt;DJ$5*1.1,-0.03,IF(DJ62&lt;DJ$5*1.2,-0.02,IF(DJ62&lt;DJ$5*1.3,-0.01,0))))</f>
        <v>0</v>
      </c>
      <c r="DM62" s="107" t="str">
        <f t="shared" si="381"/>
        <v>-</v>
      </c>
      <c r="DN62" s="141" t="str">
        <f>IF($DY62=0,"-",(DM62-$DW62)*100)</f>
        <v>-</v>
      </c>
      <c r="DO62" s="107" t="e">
        <f>SUM(DP62:DS62)^DO$3+DO$7</f>
        <v>#REF!</v>
      </c>
      <c r="DP62" s="133" t="e">
        <f>IF(SeilBeregnet=0,#REF!,(SeilBeregnet^0.5/(Depl^0.3333))^DP$3*DP$7)</f>
        <v>#REF!</v>
      </c>
      <c r="DQ62" s="133" t="e">
        <f>IF(SeilBeregnet=0,#REF!,(SeilBeregnet^0.5/Lwl)^DQ$3*DQ$7)</f>
        <v>#REF!</v>
      </c>
      <c r="DR62" s="133" t="e">
        <f>IF(SeilBeregnet=0,#REF!,(0.1*Loa/Depl^0.3333)^DR$3*DR$7)</f>
        <v>#REF!</v>
      </c>
      <c r="DS62" s="133" t="e">
        <f>IF(SeilBeregnet=0,#REF!,((Loa)/Bredde)^DS$3*DS$7)</f>
        <v>#REF!</v>
      </c>
      <c r="DT62" s="107" t="e">
        <f>IF(SeilBeregnet=0,#REF!,(Lwl)^DT$3)</f>
        <v>#REF!</v>
      </c>
      <c r="DU62" s="133" t="e">
        <f>IF(SeilBeregnet=0,#REF!,(Dypg/Loa)^DU$3*5*DU$7)</f>
        <v>#REF!</v>
      </c>
      <c r="DW62" s="107" t="str">
        <f t="shared" si="247"/>
        <v>-</v>
      </c>
      <c r="DX62" s="107" t="str">
        <f t="shared" si="93"/>
        <v>-</v>
      </c>
      <c r="DZ62" s="107" t="str">
        <f t="shared" si="94"/>
        <v>-</v>
      </c>
      <c r="EA62" s="122" t="str">
        <f>IF($DY62=0,"-",DZ62-$DW62)</f>
        <v>-</v>
      </c>
      <c r="EB62" s="107" t="str">
        <f>IF(SeilBeregnet=0,"-",EB$7*(EB$4*ED62*EE62*EF62*PropF+EB$6)+ErfaringsF+Dyp_F)</f>
        <v>-</v>
      </c>
      <c r="EC62" s="122" t="str">
        <f>IF($DY62=0,"-",EB62-$DW62)</f>
        <v>-</v>
      </c>
      <c r="ED62" s="107">
        <f>IF(SeilBeregnet=0,ED70,SeilBeregnet^0.5/Depl^0.33333)</f>
        <v>2.9174052889977342</v>
      </c>
      <c r="EE62" s="107">
        <f>IF(SeilBeregnet=0,EE70,Lwl^0.3333)</f>
        <v>2.1895879451208748</v>
      </c>
      <c r="EF62" s="107">
        <f>IF(SeilBeregnet=0,EF70,((Loa+Lwl)/Bredde)^EF$3)</f>
        <v>1.5376252189841919</v>
      </c>
      <c r="EH62" s="107" t="str">
        <f>IF(SeilBeregnet=0,"-",EH$7*(EH$4*EJ62*EK62*EL62*PropF+EH$6)+ErfaringsF+Dyp_F)</f>
        <v>-</v>
      </c>
      <c r="EJ62" s="107">
        <f>IF(SeilBeregnet=0,EJ70,SeilBeregnet^0.5/Depl^0.33333)</f>
        <v>2.9174052889977342</v>
      </c>
      <c r="EK62" s="107">
        <f>IF(SeilBeregnet=0,EK70,Lwl^EK$3)</f>
        <v>2.1897424068563001</v>
      </c>
      <c r="EL62" s="107">
        <f>IF(SeilBeregnet=0,EL70,((Loa+Lwl)/Bredde)^EL$3)</f>
        <v>1.7746351436830421</v>
      </c>
      <c r="EM62" s="107" t="str">
        <f>IF(SeilBeregnet=0,"-",EM$7*(EM$4*EO62+EM$6)*ER62*PropF+ErfaringsF+Dyp_F)</f>
        <v>-</v>
      </c>
      <c r="EO62" s="107">
        <f>IF(SeilBeregnet=0,EO70,(EP62*EQ62)^EO$3)</f>
        <v>4.4858759463607809</v>
      </c>
      <c r="EP62" s="107">
        <f>IF(SeilBeregnet=0,EP70,SeilBeregnet^0.5/Depl^0.33333)</f>
        <v>2.9174052889977342</v>
      </c>
      <c r="EQ62" s="107">
        <f>IF(SeilBeregnet=0,EQ70,((Loa+Lwl)/Bredde)^EQ$3)</f>
        <v>1.5376252189841919</v>
      </c>
      <c r="ER62" s="107">
        <f>IF(SeilBeregnet=0,ER70,Lwl^ER$3)</f>
        <v>1.800102871839254</v>
      </c>
      <c r="ES62" s="107" t="str">
        <f t="shared" si="382"/>
        <v>-</v>
      </c>
      <c r="EU62" s="107">
        <f>IF(SeilBeregnet=0,EU70,(EV:EV*EW:EW)^EU$3)</f>
        <v>1.6929912883507234</v>
      </c>
      <c r="EV62" s="107">
        <f>IF(SeilBeregnet=0,EV70,SeilBeregnet^0.5/Depl^0.33333)</f>
        <v>2.9174052889977342</v>
      </c>
      <c r="EW62" s="107">
        <f>IF(SeilBeregnet=0,EW70,((Loa+Lwl)/Bredde/6)^EW$3)</f>
        <v>0.98245503058511408</v>
      </c>
      <c r="EX62" s="107">
        <f>IF(SeilBeregnet=0,EX70,(Lwl*0.7+Loa*0.3)^EX$3)</f>
        <v>1.813831525361854</v>
      </c>
      <c r="EY62" s="107" t="str">
        <f t="shared" si="383"/>
        <v>-</v>
      </c>
      <c r="FA62" s="107">
        <f t="shared" si="371"/>
        <v>1.693056426157538</v>
      </c>
      <c r="FB62" s="107">
        <f>IF(SeilBeregnet=0,FB70,SeilBeregnet^0.5/Depl^0.3333)</f>
        <v>2.9176297875396786</v>
      </c>
      <c r="FC62" s="107">
        <f>IF(SeilBeregnet=0,FC70,((Loa+Lwl)/Bredde/6)^FC$3)</f>
        <v>0.98245503058511408</v>
      </c>
      <c r="FD62" s="107">
        <f>IF(SeilBeregnet=0,FD70,(Lwl*0.7+Loa*0.3)^FD$3)</f>
        <v>1.813831525361854</v>
      </c>
      <c r="FE62" s="107" t="str">
        <f t="shared" si="384"/>
        <v>-</v>
      </c>
      <c r="FF62" s="141" t="str">
        <f>IF($DY62=0,"-",(FE62-$DW62)*100)</f>
        <v>-</v>
      </c>
      <c r="FG62" s="107">
        <f t="shared" si="372"/>
        <v>2.8161484589332511</v>
      </c>
      <c r="FH62" s="133">
        <f>IF(SeilBeregnet=0,FH70,(SeilBeregnet^0.5/(Depl^0.3333))^FH$3)</f>
        <v>2.9176297875396786</v>
      </c>
      <c r="FI62" s="133">
        <f>IF(SeilBeregnet=0,FI70,((Loa+Lwl)/Bredde/6)^FI$3)</f>
        <v>0.96521788712199752</v>
      </c>
      <c r="FJ62" s="107">
        <f>IF(SeilBeregnet=0,FJ70,(Lwl*0.07+Loa*0.03)^FJ$3)</f>
        <v>1.0199924236440172</v>
      </c>
      <c r="FK62" s="107" t="str">
        <f t="shared" si="385"/>
        <v>-</v>
      </c>
      <c r="FL62" s="141" t="str">
        <f>IF($DY62=0,"-",(FK62-$DW62)*100)</f>
        <v>-</v>
      </c>
      <c r="FM62" s="107">
        <f t="shared" si="373"/>
        <v>4.7831430162169317</v>
      </c>
      <c r="FN62" s="133">
        <f>IF(SeilBeregnet=0,FN70,(SeilBeregnet^0.5/(Depl^0.3333))^FN$3)</f>
        <v>2.9176297875396786</v>
      </c>
      <c r="FO62" s="133">
        <f>IF(SeilBeregnet=0,FO70,(SeilBeregnet^0.5/Lwl*FO$7)^FO$3)</f>
        <v>0.65330834326772536</v>
      </c>
      <c r="FP62" s="133">
        <f>IF(SeilBeregnet=0,FP70,((Loa)/Bredde)^FP$3*FP$7)</f>
        <v>1.7122048854095275</v>
      </c>
      <c r="FQ62" s="107">
        <f>IF(SeilBeregnet=0,FQ70,(Lwl)^FQ$3)</f>
        <v>1.800102871839254</v>
      </c>
      <c r="FR62" s="107" t="str">
        <f t="shared" si="386"/>
        <v>-</v>
      </c>
      <c r="FS62" s="141" t="str">
        <f>IF($DY62=0,"-",(FR62-$DW62)*100)</f>
        <v>-</v>
      </c>
      <c r="FT62" s="107">
        <f t="shared" si="374"/>
        <v>4.9955799760417996</v>
      </c>
      <c r="FU62" s="133">
        <f>IF(SeilBeregnet=0,FU70,(SeilBeregnet^0.5/(Depl^0.3333))^FU$3)</f>
        <v>2.9176297875396786</v>
      </c>
      <c r="FV62" s="133">
        <f>IF(SeilBeregnet=0,FV70,(Loa/Bredde)^FV$3)</f>
        <v>1.7122048854095275</v>
      </c>
      <c r="FW62" s="107">
        <f>IF(SeilBeregnet=0,FW70,Lwl^FW$3)</f>
        <v>1.800102871839254</v>
      </c>
      <c r="FY62">
        <v>0.95</v>
      </c>
      <c r="FZ62" s="62" t="str">
        <f t="shared" si="48"/>
        <v>-</v>
      </c>
      <c r="GA62" s="62">
        <f t="shared" si="49"/>
        <v>1.9955703157132179</v>
      </c>
      <c r="GB62" s="107" t="str">
        <f t="shared" ref="GB62:GB239" si="525">IF(SeilBeregnet=0,"-",GB$7*(((SeilBeregnet*StHfaktor)/(Depl+DeplTillegg/1000+Vann/1000+Diesel/1000*0.84))^(1/3)/Bredde)^(1/GB$5)*Lwl^(1/GB$4)*Skrogfaktor*PropF*(Mast+1)+ErfaringsF)</f>
        <v>-</v>
      </c>
      <c r="GC62" s="441" t="s">
        <v>896</v>
      </c>
      <c r="GD62" s="57" t="s">
        <v>893</v>
      </c>
      <c r="GE62" s="436"/>
      <c r="GF62" s="75"/>
      <c r="GG62" s="57"/>
      <c r="GH62" s="57" t="s">
        <v>894</v>
      </c>
      <c r="GI62" s="57" t="s">
        <v>416</v>
      </c>
      <c r="GJ62" s="57"/>
      <c r="GL62" s="57" t="s">
        <v>478</v>
      </c>
      <c r="GM62" s="436" t="s">
        <v>478</v>
      </c>
      <c r="GN62" s="58" t="s">
        <v>478</v>
      </c>
      <c r="GO62" s="58" t="s">
        <v>478</v>
      </c>
      <c r="GP62" s="58" t="s">
        <v>478</v>
      </c>
      <c r="GQ62" s="58" t="s">
        <v>478</v>
      </c>
      <c r="GS62" s="57" t="s">
        <v>470</v>
      </c>
      <c r="GT62" s="57" t="s">
        <v>860</v>
      </c>
      <c r="GU62" s="57" t="s">
        <v>465</v>
      </c>
      <c r="GV62" s="632" t="s">
        <v>465</v>
      </c>
      <c r="GW62" s="57">
        <v>1891</v>
      </c>
      <c r="GX62" s="57" t="s">
        <v>431</v>
      </c>
      <c r="GY62" s="57" t="s">
        <v>438</v>
      </c>
      <c r="GZ62" s="550" t="s">
        <v>895</v>
      </c>
    </row>
    <row r="63" spans="1:208" ht="15.6" x14ac:dyDescent="0.3">
      <c r="A63" s="60" t="s">
        <v>28</v>
      </c>
      <c r="B63" s="218"/>
      <c r="C63" s="61" t="str">
        <f>C62</f>
        <v>Gaffel</v>
      </c>
      <c r="D63" s="61"/>
      <c r="E63" s="61"/>
      <c r="F63" s="61"/>
      <c r="G63" s="54"/>
      <c r="H63" s="204">
        <f>IF(StH=0,0,TBFavrundet)</f>
        <v>116.5</v>
      </c>
      <c r="I63" s="63">
        <f>COUNTA(O63:AG63)</f>
        <v>4</v>
      </c>
      <c r="J63" s="222">
        <f>SUM(O63:AG63)</f>
        <v>94</v>
      </c>
      <c r="K63" s="116">
        <f>Seilareal/Depl^0.667/K$7</f>
        <v>1.4983594880533608</v>
      </c>
      <c r="L63" s="116">
        <f>Seilareal/Lwl/Lwl/L$7</f>
        <v>1.3708959198892086</v>
      </c>
      <c r="M63" s="92">
        <f>RiggF</f>
        <v>0.75425531914893618</v>
      </c>
      <c r="N63" s="242">
        <f>StHfaktor</f>
        <v>1.0042261726404875</v>
      </c>
      <c r="O63" s="143"/>
      <c r="P63" s="143"/>
      <c r="Q63" s="143"/>
      <c r="R63" s="165">
        <v>24</v>
      </c>
      <c r="S63" s="143"/>
      <c r="T63" s="143"/>
      <c r="U63" s="165">
        <v>17</v>
      </c>
      <c r="V63" s="559"/>
      <c r="W63" s="559"/>
      <c r="X63" s="165">
        <v>43</v>
      </c>
      <c r="Y63" s="143"/>
      <c r="Z63" s="143"/>
      <c r="AA63" s="165">
        <v>10</v>
      </c>
      <c r="AB63" s="143"/>
      <c r="AC63" s="143"/>
      <c r="AD63" s="143"/>
      <c r="AE63" s="143"/>
      <c r="AF63" s="143"/>
      <c r="AG63" s="551"/>
      <c r="AH63" s="557"/>
      <c r="AI63" s="557">
        <f t="shared" ref="AI63" si="526">AI62</f>
        <v>10.55</v>
      </c>
      <c r="AJ63" s="337">
        <f xml:space="preserve"> AJ62</f>
        <v>0</v>
      </c>
      <c r="AK63" s="339"/>
      <c r="AL63" s="337">
        <f xml:space="preserve"> AL62</f>
        <v>0</v>
      </c>
      <c r="AM63" s="339"/>
      <c r="AN63" s="267" t="str">
        <f t="shared" ref="AN63" si="527" xml:space="preserve"> AN62</f>
        <v>Los</v>
      </c>
      <c r="AO63" s="45">
        <f>VLOOKUP(AN63,Skrogform!$1:$1048576,3,FALSE)</f>
        <v>0.97</v>
      </c>
      <c r="AP63" s="64">
        <f t="shared" ref="AP63:AZ63" si="528">AP62</f>
        <v>11.3</v>
      </c>
      <c r="AQ63" s="64">
        <f t="shared" si="528"/>
        <v>10.199999999999999</v>
      </c>
      <c r="AR63" s="64">
        <f t="shared" si="528"/>
        <v>4.05</v>
      </c>
      <c r="AS63" s="64">
        <f t="shared" si="528"/>
        <v>1.8</v>
      </c>
      <c r="AT63" s="64">
        <f t="shared" ref="AT63" si="529">AT62</f>
        <v>14</v>
      </c>
      <c r="AU63" s="64">
        <f t="shared" si="528"/>
        <v>14</v>
      </c>
      <c r="AV63" s="64">
        <f t="shared" si="528"/>
        <v>1.8</v>
      </c>
      <c r="AW63" s="64">
        <f t="shared" si="528"/>
        <v>2</v>
      </c>
      <c r="AX63" s="256">
        <f>AX62</f>
        <v>0</v>
      </c>
      <c r="AY63" s="256">
        <f t="shared" si="528"/>
        <v>30</v>
      </c>
      <c r="AZ63" s="256">
        <f t="shared" si="528"/>
        <v>450</v>
      </c>
      <c r="BA63" s="256">
        <f t="shared" ref="BA63:BB63" si="530">BA62</f>
        <v>0</v>
      </c>
      <c r="BB63" s="256">
        <f t="shared" si="530"/>
        <v>0</v>
      </c>
      <c r="BC63" s="256"/>
      <c r="BD63" s="66"/>
      <c r="BE63" s="66"/>
      <c r="BF63" s="261"/>
      <c r="BG63" s="66"/>
      <c r="BH63" s="175"/>
      <c r="BI63" s="66"/>
      <c r="BJ63" s="66"/>
      <c r="BK63" s="65" t="str">
        <f t="shared" ref="BK63:BM63" si="531" xml:space="preserve"> BK62</f>
        <v>Seilrett</v>
      </c>
      <c r="BL63" s="267">
        <f t="shared" si="531"/>
        <v>3</v>
      </c>
      <c r="BM63" s="267">
        <f t="shared" si="531"/>
        <v>50</v>
      </c>
      <c r="BN63" s="45">
        <f>IF((BK63="Fast"),(1.006248-(0.06415*((BM63/100*SQRT(BL63))/POWER(AU63,(1/3))))),1)</f>
        <v>1</v>
      </c>
      <c r="BO63" s="59"/>
      <c r="BP63" s="59"/>
      <c r="BR63" s="49">
        <f t="shared" ref="BR63:BX65" si="532">IF(O63=0,0,O63*BR$9)</f>
        <v>0</v>
      </c>
      <c r="BS63" s="49">
        <f t="shared" si="532"/>
        <v>0</v>
      </c>
      <c r="BT63" s="49">
        <f t="shared" si="532"/>
        <v>0</v>
      </c>
      <c r="BU63" s="49">
        <f t="shared" si="532"/>
        <v>24</v>
      </c>
      <c r="BV63" s="49">
        <f t="shared" si="532"/>
        <v>0</v>
      </c>
      <c r="BW63" s="49">
        <f t="shared" si="532"/>
        <v>0</v>
      </c>
      <c r="BX63" s="49">
        <f t="shared" si="532"/>
        <v>17</v>
      </c>
      <c r="BY63" s="549">
        <f>IF(COUNT(Q63:U63)&gt;1,MINA(Q63:U63)*BY$9,0)</f>
        <v>-8.5</v>
      </c>
      <c r="BZ63" s="85">
        <f t="shared" ref="BZ63:CD65" si="533">IF(V63=0,0,V63*BZ$9)</f>
        <v>0</v>
      </c>
      <c r="CA63" s="85">
        <f t="shared" si="533"/>
        <v>0</v>
      </c>
      <c r="CB63" s="85">
        <f t="shared" si="533"/>
        <v>34.4</v>
      </c>
      <c r="CC63" s="85">
        <f t="shared" si="533"/>
        <v>0</v>
      </c>
      <c r="CD63" s="85">
        <f t="shared" si="533"/>
        <v>0</v>
      </c>
      <c r="CE63" s="85">
        <f>IF(AC63=0,0,AC63*CE$9)</f>
        <v>0</v>
      </c>
      <c r="CF63" s="85">
        <f t="shared" ref="CF63:CG65" si="534">IF(AA63=0,0,AA63*CF$9)</f>
        <v>4</v>
      </c>
      <c r="CG63" s="85">
        <f t="shared" si="534"/>
        <v>0</v>
      </c>
      <c r="CH63" s="85">
        <f t="shared" ref="CH63:CK65" si="535">IF(AD63=0,0,AD63*CH$9)</f>
        <v>0</v>
      </c>
      <c r="CI63" s="85">
        <f t="shared" si="535"/>
        <v>0</v>
      </c>
      <c r="CJ63" s="85">
        <f t="shared" si="535"/>
        <v>0</v>
      </c>
      <c r="CK63" s="85">
        <f t="shared" si="535"/>
        <v>0</v>
      </c>
      <c r="CL63" s="100">
        <f>SUM(BR63:CK63)</f>
        <v>70.900000000000006</v>
      </c>
      <c r="CM63" s="50"/>
      <c r="CN63" s="104">
        <f>J63</f>
        <v>94</v>
      </c>
      <c r="CO63" s="101">
        <f>CL63/CN63</f>
        <v>0.75425531914893618</v>
      </c>
      <c r="CP63" s="51">
        <f>Seilareal/Lwl/Lwl</f>
        <v>0.90349865436370647</v>
      </c>
      <c r="CQ63" s="116">
        <f>Seilareal/Depl^0.667/K$7</f>
        <v>1.4983594880533608</v>
      </c>
      <c r="CR63" s="51">
        <f>Seilareal/Lwl/Lwl/SApRS1</f>
        <v>1.3708959198892086</v>
      </c>
      <c r="CS63" s="204"/>
      <c r="CT63" s="204">
        <f>(ROUND(TBF/CT$6,3)*CT$6)*CT$4</f>
        <v>116.5</v>
      </c>
      <c r="CU63" s="107">
        <f t="shared" si="83"/>
        <v>1.167372079430278</v>
      </c>
      <c r="CV63" s="62">
        <f t="shared" si="523"/>
        <v>3.4918737945677392</v>
      </c>
      <c r="CW63" s="62">
        <f t="shared" si="84"/>
        <v>1.6292086998461313</v>
      </c>
      <c r="CX63" s="62">
        <f t="shared" si="524"/>
        <v>1.7871048890689831</v>
      </c>
      <c r="CY63" s="107">
        <f t="shared" si="85"/>
        <v>1.0042261726404875</v>
      </c>
      <c r="CZ63" s="168" t="str">
        <f>IF(DA63=0,"-",IF(CP63="TBF","-",CZ$7*DA63))</f>
        <v>-</v>
      </c>
      <c r="DA63" s="159">
        <f>DA62</f>
        <v>0</v>
      </c>
      <c r="DB63" s="168" t="str">
        <f>IF(DC63=0,"-",IF(CT63="TBF","-",DB$7*DC63))</f>
        <v>-</v>
      </c>
      <c r="DC63" s="159">
        <f>DC62</f>
        <v>0</v>
      </c>
      <c r="DD63" s="190" t="s">
        <v>134</v>
      </c>
      <c r="DE63" s="62">
        <v>0.9</v>
      </c>
      <c r="DF63" s="62">
        <v>0.88</v>
      </c>
      <c r="DG63" s="62">
        <v>0.92</v>
      </c>
      <c r="DH63" s="150" t="s">
        <v>102</v>
      </c>
      <c r="DI63" s="62">
        <f t="shared" si="88"/>
        <v>2.0246022142804243</v>
      </c>
      <c r="DJ63" s="47">
        <f t="shared" si="89"/>
        <v>11.803278688524591</v>
      </c>
      <c r="DK63" s="48">
        <f>DJ$7*IF(DJ63&lt;DJ$5,-0.04,IF(DJ63&lt;DJ$5*1.1,-0.03,IF(DJ63&lt;DJ$5*1.2,-0.02,IF(DJ63&lt;DJ$5*1.3,-0.01,0))))</f>
        <v>0</v>
      </c>
      <c r="DM63" s="107">
        <f t="shared" si="381"/>
        <v>1.144421170680908</v>
      </c>
      <c r="DN63" s="141" t="str">
        <f>IF($DY63=0,"-",(DM63-$DW63)*100)</f>
        <v>-</v>
      </c>
      <c r="DO63" s="107">
        <f>SUM(DP63:DS63)^DO$3+DO$7</f>
        <v>5.1643320130863959</v>
      </c>
      <c r="DP63" s="133">
        <f>IF(SeilBeregnet=0,DP62,(SeilBeregnet^0.5/(Depl^0.3333))^DP$3*DP$7)</f>
        <v>3.4939657488227396</v>
      </c>
      <c r="DQ63" s="133">
        <f>IF(SeilBeregnet=0,DQ62,(SeilBeregnet^0.5/Lwl)^DQ$3*DQ$7)</f>
        <v>0</v>
      </c>
      <c r="DR63" s="133">
        <f>IF(SeilBeregnet=0,DR62,(0.1*Loa/Depl^0.3333)^DR$3*DR$7)</f>
        <v>0</v>
      </c>
      <c r="DS63" s="133">
        <f>IF(SeilBeregnet=0,DS62,((Loa)/Bredde)^DS$3*DS$7)</f>
        <v>1.6703662642636565</v>
      </c>
      <c r="DT63" s="107">
        <f>IF(SeilBeregnet=0,DT62,(Lwl)^DT$3)</f>
        <v>1.7871048890689831</v>
      </c>
      <c r="DU63" s="133">
        <f>IF(SeilBeregnet=0,DU62,(Dypg/Loa)^DU$3*5*DU$7)</f>
        <v>1.9955703157132179</v>
      </c>
      <c r="DW63" s="107">
        <f t="shared" si="247"/>
        <v>1.2034763705466784</v>
      </c>
      <c r="DX63" s="107">
        <f t="shared" si="93"/>
        <v>1.1471777780013754</v>
      </c>
      <c r="DZ63" s="107">
        <f t="shared" si="94"/>
        <v>1.1158954338769362</v>
      </c>
      <c r="EA63" s="122" t="str">
        <f>IF($DY63=0,"-",DZ63-$DW63)</f>
        <v>-</v>
      </c>
      <c r="EB63" s="107">
        <f>IF(SeilBeregnet=0,"-",EB$7*(EB$4*ED63*EE63*EF63*PropF+EB$6)+ErfaringsF+Dyp_F)</f>
        <v>1.1739643117045631</v>
      </c>
      <c r="EC63" s="122" t="str">
        <f>IF($DY63=0,"-",EB63-$DW63)</f>
        <v>-</v>
      </c>
      <c r="ED63" s="107">
        <f>IF(SeilBeregnet=0,ED62,SeilBeregnet^0.5/Depl^0.33333)</f>
        <v>3.4936891364952545</v>
      </c>
      <c r="EE63" s="107">
        <f>IF(SeilBeregnet=0,EE62,Lwl^0.3333)</f>
        <v>2.1685350061166324</v>
      </c>
      <c r="EF63" s="107">
        <f>IF(SeilBeregnet=0,EF62,((Loa+Lwl)/Bredde)^EF$3)</f>
        <v>1.5179094305190397</v>
      </c>
      <c r="EH63" s="107">
        <f>IF(SeilBeregnet=0,"-",EH$7*(EH$4*EJ63*EK63*EL63*PropF+EH$6)+ErfaringsF+Dyp_F)</f>
        <v>1.1572678080299976</v>
      </c>
      <c r="EJ63" s="107">
        <f>IF(SeilBeregnet=0,EJ62,SeilBeregnet^0.5/Depl^0.33333)</f>
        <v>3.4936891364952545</v>
      </c>
      <c r="EK63" s="107">
        <f>IF(SeilBeregnet=0,EK62,Lwl^EK$3)</f>
        <v>2.1686860967520136</v>
      </c>
      <c r="EL63" s="107">
        <f>IF(SeilBeregnet=0,EL62,((Loa+Lwl)/Bredde)^EL$3)</f>
        <v>1.7443634548832085</v>
      </c>
      <c r="EM63" s="107">
        <f>IF(SeilBeregnet=0,"-",EM$7*(EM$4*EO63+EM$6)*ER63*PropF+ErfaringsF+Dyp_F)</f>
        <v>1.1632877315912633</v>
      </c>
      <c r="EO63" s="107">
        <f>IF(SeilBeregnet=0,EO62,(EP63*EQ63)^EO$3)</f>
        <v>5.3031036875880675</v>
      </c>
      <c r="EP63" s="107">
        <f>IF(SeilBeregnet=0,EP62,SeilBeregnet^0.5/Depl^0.33333)</f>
        <v>3.4936891364952545</v>
      </c>
      <c r="EQ63" s="107">
        <f>IF(SeilBeregnet=0,EQ62,((Loa+Lwl)/Bredde)^EQ$3)</f>
        <v>1.5179094305190397</v>
      </c>
      <c r="ER63" s="107">
        <f>IF(SeilBeregnet=0,ER62,Lwl^ER$3)</f>
        <v>1.7871048890689831</v>
      </c>
      <c r="ES63" s="107">
        <f t="shared" si="382"/>
        <v>1.1621168472468315</v>
      </c>
      <c r="EU63" s="107">
        <f>IF(SeilBeregnet=0,EU62,(EV:EV*EW:EW)^EU$3)</f>
        <v>1.8407556959812388</v>
      </c>
      <c r="EV63" s="107">
        <f>IF(SeilBeregnet=0,EV62,SeilBeregnet^0.5/Depl^0.33333)</f>
        <v>3.4936891364952545</v>
      </c>
      <c r="EW63" s="107">
        <f>IF(SeilBeregnet=0,EW62,((Loa+Lwl)/Bredde/6)^EW$3)</f>
        <v>0.96985776350052699</v>
      </c>
      <c r="EX63" s="107">
        <f>IF(SeilBeregnet=0,EX62,(Lwl*0.7+Loa*0.3)^EX$3)</f>
        <v>1.8013872842666538</v>
      </c>
      <c r="EY63" s="107">
        <f t="shared" si="383"/>
        <v>1.1150251352588392</v>
      </c>
      <c r="FA63" s="107">
        <f t="shared" si="371"/>
        <v>1.8408285653206999</v>
      </c>
      <c r="FB63" s="107">
        <f>IF(SeilBeregnet=0,FB62,SeilBeregnet^0.5/Depl^0.3333)</f>
        <v>3.4939657488227396</v>
      </c>
      <c r="FC63" s="107">
        <f>IF(SeilBeregnet=0,FC62,((Loa+Lwl)/Bredde/6)^FC$3)</f>
        <v>0.96985776350052699</v>
      </c>
      <c r="FD63" s="107">
        <f>IF(SeilBeregnet=0,FD62,(Lwl*0.7+Loa*0.3)^FD$3)</f>
        <v>1.8013872842666538</v>
      </c>
      <c r="FE63" s="107">
        <f t="shared" si="384"/>
        <v>1.1245928236415714</v>
      </c>
      <c r="FF63" s="141" t="str">
        <f>IF($DY63=0,"-",(FE63-$DW63)*100)</f>
        <v>-</v>
      </c>
      <c r="FG63" s="107">
        <f t="shared" si="372"/>
        <v>3.2865083230071725</v>
      </c>
      <c r="FH63" s="133">
        <f>IF(SeilBeregnet=0,FH62,(SeilBeregnet^0.5/(Depl^0.3333))^FH$3)</f>
        <v>3.4939657488227396</v>
      </c>
      <c r="FI63" s="133">
        <f>IF(SeilBeregnet=0,FI62,((Loa+Lwl)/Bredde/6)^FI$3)</f>
        <v>0.94062408142224407</v>
      </c>
      <c r="FJ63" s="107">
        <f>IF(SeilBeregnet=0,FJ62,(Lwl*0.07+Loa*0.03)^FJ$3)</f>
        <v>1.0129945126155542</v>
      </c>
      <c r="FK63" s="107">
        <f t="shared" si="385"/>
        <v>1.1675001421974167</v>
      </c>
      <c r="FL63" s="141" t="str">
        <f>IF($DY63=0,"-",(FK63-$DW63)*100)</f>
        <v>-</v>
      </c>
      <c r="FM63" s="107">
        <f t="shared" si="373"/>
        <v>5.4898431674009407</v>
      </c>
      <c r="FN63" s="133">
        <f>IF(SeilBeregnet=0,FN62,(SeilBeregnet^0.5/(Depl^0.3333))^FN$3)</f>
        <v>3.4939657488227396</v>
      </c>
      <c r="FO63" s="133">
        <f>IF(SeilBeregnet=0,FO62,(SeilBeregnet^0.5/Lwl*FO$7)^FO$3)</f>
        <v>0.82551115431454458</v>
      </c>
      <c r="FP63" s="133">
        <f>IF(SeilBeregnet=0,FP62,((Loa)/Bredde)^FP$3*FP$7)</f>
        <v>1.6703662642636565</v>
      </c>
      <c r="FQ63" s="107">
        <f>IF(SeilBeregnet=0,FQ62,(Lwl)^FQ$3)</f>
        <v>1.7871048890689831</v>
      </c>
      <c r="FR63" s="107">
        <f t="shared" si="386"/>
        <v>1.1250128387207743</v>
      </c>
      <c r="FS63" s="141" t="str">
        <f>IF($DY63=0,"-",(FR63-$DW63)*100)</f>
        <v>-</v>
      </c>
      <c r="FT63" s="107">
        <f t="shared" si="374"/>
        <v>5.8362025153262085</v>
      </c>
      <c r="FU63" s="133">
        <f>IF(SeilBeregnet=0,FU62,(SeilBeregnet^0.5/(Depl^0.3333))^FU$3)</f>
        <v>3.4939657488227396</v>
      </c>
      <c r="FV63" s="133">
        <f>IF(SeilBeregnet=0,FV62,(Loa/Bredde)^FV$3)</f>
        <v>1.6703662642636565</v>
      </c>
      <c r="FW63" s="107">
        <f>IF(SeilBeregnet=0,FW62,Lwl^FW$3)</f>
        <v>1.7871048890689831</v>
      </c>
      <c r="FY63">
        <v>0.95</v>
      </c>
      <c r="FZ63" s="62">
        <f t="shared" si="48"/>
        <v>1.1368848795779971</v>
      </c>
      <c r="GA63" s="62">
        <f t="shared" si="49"/>
        <v>1.9955703157132179</v>
      </c>
      <c r="GB63" s="107">
        <f t="shared" si="525"/>
        <v>1.2154942797566655</v>
      </c>
      <c r="GC63" s="440"/>
      <c r="GD63" s="17"/>
      <c r="GE63" s="442"/>
      <c r="GF63" s="462"/>
      <c r="GG63" s="17"/>
      <c r="GH63" s="17"/>
      <c r="GI63" s="17"/>
      <c r="GJ63" s="17"/>
      <c r="GL63" s="17"/>
      <c r="GM63" s="442"/>
      <c r="GN63" s="8"/>
      <c r="GO63" s="8"/>
      <c r="GP63" s="8"/>
      <c r="GQ63" s="8"/>
      <c r="GS63" s="17"/>
      <c r="GT63" s="17"/>
      <c r="GU63" s="17"/>
      <c r="GV63" s="629"/>
      <c r="GW63" s="17"/>
      <c r="GX63" s="17"/>
      <c r="GY63" s="17"/>
      <c r="GZ63" s="17"/>
    </row>
    <row r="64" spans="1:208" ht="15.6" x14ac:dyDescent="0.3">
      <c r="A64" s="60" t="s">
        <v>29</v>
      </c>
      <c r="B64" s="218"/>
      <c r="C64" s="14" t="str">
        <f>C62</f>
        <v>Gaffel</v>
      </c>
      <c r="G64" s="54"/>
      <c r="H64" s="204">
        <f>IF(StH=0,0,TBFavrundet)</f>
        <v>114.5</v>
      </c>
      <c r="I64" s="63">
        <f>COUNTA(O64:AG64)</f>
        <v>3</v>
      </c>
      <c r="J64" s="222">
        <f>SUM(O64:AG64)</f>
        <v>84</v>
      </c>
      <c r="K64" s="116">
        <f>Seilareal/Depl^0.667/K$7</f>
        <v>1.3389595425157692</v>
      </c>
      <c r="L64" s="116">
        <f>Seilareal/Lwl/Lwl/L$7</f>
        <v>1.2250559284116334</v>
      </c>
      <c r="M64" s="92">
        <f>RiggF</f>
        <v>0.79642857142857149</v>
      </c>
      <c r="N64" s="242">
        <f>StHfaktor</f>
        <v>1.0042261726404875</v>
      </c>
      <c r="O64" s="143"/>
      <c r="P64" s="143"/>
      <c r="Q64" s="143"/>
      <c r="R64" s="165">
        <v>24</v>
      </c>
      <c r="S64" s="143"/>
      <c r="T64" s="143"/>
      <c r="U64" s="165">
        <v>17</v>
      </c>
      <c r="V64" s="559"/>
      <c r="W64" s="559"/>
      <c r="X64" s="165">
        <v>43</v>
      </c>
      <c r="Y64" s="143"/>
      <c r="Z64" s="143"/>
      <c r="AA64" s="143"/>
      <c r="AB64" s="143"/>
      <c r="AC64" s="143"/>
      <c r="AD64" s="143"/>
      <c r="AE64" s="143"/>
      <c r="AF64" s="143"/>
      <c r="AG64" s="551"/>
      <c r="AH64" s="557"/>
      <c r="AI64" s="557">
        <f t="shared" ref="AI64" si="536">AI63</f>
        <v>10.55</v>
      </c>
      <c r="AJ64" s="337">
        <f xml:space="preserve"> AJ63</f>
        <v>0</v>
      </c>
      <c r="AK64" s="339"/>
      <c r="AL64" s="337">
        <f xml:space="preserve"> AL63</f>
        <v>0</v>
      </c>
      <c r="AM64" s="339"/>
      <c r="AN64" s="267" t="str">
        <f t="shared" ref="AN64" si="537" xml:space="preserve"> AN63</f>
        <v>Los</v>
      </c>
      <c r="AO64" s="45">
        <f>VLOOKUP(AN64,Skrogform!$1:$1048576,3,FALSE)</f>
        <v>0.97</v>
      </c>
      <c r="AP64" s="64">
        <f t="shared" ref="AP64:AZ64" si="538">AP63</f>
        <v>11.3</v>
      </c>
      <c r="AQ64" s="64">
        <f t="shared" si="538"/>
        <v>10.199999999999999</v>
      </c>
      <c r="AR64" s="64">
        <f t="shared" si="538"/>
        <v>4.05</v>
      </c>
      <c r="AS64" s="64">
        <f t="shared" si="538"/>
        <v>1.8</v>
      </c>
      <c r="AT64" s="64">
        <f t="shared" ref="AT64" si="539">AT63</f>
        <v>14</v>
      </c>
      <c r="AU64" s="64">
        <f t="shared" si="538"/>
        <v>14</v>
      </c>
      <c r="AV64" s="64">
        <f t="shared" si="538"/>
        <v>1.8</v>
      </c>
      <c r="AW64" s="64">
        <f t="shared" si="538"/>
        <v>2</v>
      </c>
      <c r="AX64" s="256">
        <f>AX63</f>
        <v>0</v>
      </c>
      <c r="AY64" s="256">
        <f t="shared" si="538"/>
        <v>30</v>
      </c>
      <c r="AZ64" s="256">
        <f t="shared" si="538"/>
        <v>450</v>
      </c>
      <c r="BA64" s="256">
        <f t="shared" ref="BA64:BB64" si="540">BA63</f>
        <v>0</v>
      </c>
      <c r="BB64" s="256">
        <f t="shared" si="540"/>
        <v>0</v>
      </c>
      <c r="BC64" s="256"/>
      <c r="BD64" s="66"/>
      <c r="BE64" s="66"/>
      <c r="BF64" s="261"/>
      <c r="BG64" s="66"/>
      <c r="BH64" s="175"/>
      <c r="BI64" s="66"/>
      <c r="BJ64" s="66"/>
      <c r="BK64" s="65" t="str">
        <f t="shared" ref="BK64:BM64" si="541" xml:space="preserve"> BK63</f>
        <v>Seilrett</v>
      </c>
      <c r="BL64" s="267">
        <f t="shared" si="541"/>
        <v>3</v>
      </c>
      <c r="BM64" s="267">
        <f t="shared" si="541"/>
        <v>50</v>
      </c>
      <c r="BN64" s="45">
        <f>IF((BK64="Fast"),(1.006248-(0.06415*((BM64/100*SQRT(BL64))/POWER(AU64,(1/3))))),1)</f>
        <v>1</v>
      </c>
      <c r="BO64" s="59"/>
      <c r="BP64" s="59"/>
      <c r="BR64" s="49">
        <f t="shared" si="532"/>
        <v>0</v>
      </c>
      <c r="BS64" s="49">
        <f t="shared" si="532"/>
        <v>0</v>
      </c>
      <c r="BT64" s="49">
        <f t="shared" si="532"/>
        <v>0</v>
      </c>
      <c r="BU64" s="49">
        <f t="shared" si="532"/>
        <v>24</v>
      </c>
      <c r="BV64" s="49">
        <f t="shared" si="532"/>
        <v>0</v>
      </c>
      <c r="BW64" s="49">
        <f t="shared" si="532"/>
        <v>0</v>
      </c>
      <c r="BX64" s="49">
        <f t="shared" si="532"/>
        <v>17</v>
      </c>
      <c r="BY64" s="549">
        <f>IF(COUNT(Q64:U64)&gt;1,MINA(Q64:U64)*BY$9,0)</f>
        <v>-8.5</v>
      </c>
      <c r="BZ64" s="85">
        <f t="shared" si="533"/>
        <v>0</v>
      </c>
      <c r="CA64" s="85">
        <f t="shared" si="533"/>
        <v>0</v>
      </c>
      <c r="CB64" s="85">
        <f t="shared" si="533"/>
        <v>34.4</v>
      </c>
      <c r="CC64" s="85">
        <f t="shared" si="533"/>
        <v>0</v>
      </c>
      <c r="CD64" s="85">
        <f t="shared" si="533"/>
        <v>0</v>
      </c>
      <c r="CE64" s="85">
        <f>IF(AC64=0,0,AC64*CE$9)</f>
        <v>0</v>
      </c>
      <c r="CF64" s="85">
        <f t="shared" si="534"/>
        <v>0</v>
      </c>
      <c r="CG64" s="85">
        <f t="shared" si="534"/>
        <v>0</v>
      </c>
      <c r="CH64" s="85">
        <f t="shared" si="535"/>
        <v>0</v>
      </c>
      <c r="CI64" s="85">
        <f t="shared" si="535"/>
        <v>0</v>
      </c>
      <c r="CJ64" s="85">
        <f t="shared" si="535"/>
        <v>0</v>
      </c>
      <c r="CK64" s="85">
        <f t="shared" si="535"/>
        <v>0</v>
      </c>
      <c r="CL64" s="100">
        <f>SUM(BR64:CK64)</f>
        <v>66.900000000000006</v>
      </c>
      <c r="CM64" s="50"/>
      <c r="CN64" s="104">
        <f>J64</f>
        <v>84</v>
      </c>
      <c r="CO64" s="101">
        <f>CL64/CN64</f>
        <v>0.79642857142857149</v>
      </c>
      <c r="CP64" s="51">
        <f>Seilareal/Lwl/Lwl</f>
        <v>0.80738177623990792</v>
      </c>
      <c r="CQ64" s="116">
        <f>Seilareal/Depl^0.667/K$7</f>
        <v>1.3389595425157692</v>
      </c>
      <c r="CR64" s="51">
        <f>Seilareal/Lwl/Lwl/SApRS1</f>
        <v>1.2250559284116334</v>
      </c>
      <c r="CS64" s="204"/>
      <c r="CT64" s="204">
        <f>(ROUND(TBF/CT$6,3)*CT$6)*CT$4</f>
        <v>114.5</v>
      </c>
      <c r="CU64" s="107">
        <f t="shared" si="83"/>
        <v>1.1445923221429031</v>
      </c>
      <c r="CV64" s="62">
        <f t="shared" si="523"/>
        <v>3.3919424887510825</v>
      </c>
      <c r="CW64" s="62">
        <f t="shared" si="84"/>
        <v>1.6292086998461313</v>
      </c>
      <c r="CX64" s="62">
        <f t="shared" si="524"/>
        <v>1.7871048890689831</v>
      </c>
      <c r="CY64" s="107">
        <f t="shared" si="85"/>
        <v>1.0042261726404875</v>
      </c>
      <c r="CZ64" s="168" t="str">
        <f>IF(DA64=0,"-",IF(CP64="TBF","-",CZ$7*DA64))</f>
        <v>-</v>
      </c>
      <c r="DA64" s="158"/>
      <c r="DB64" s="168" t="str">
        <f>IF(DC64=0,"-",IF(CT64="TBF","-",DB$7*DC64))</f>
        <v>-</v>
      </c>
      <c r="DC64" s="160"/>
      <c r="DD64" s="190" t="s">
        <v>134</v>
      </c>
      <c r="DE64" s="62">
        <v>0.88</v>
      </c>
      <c r="DF64" s="62">
        <v>0.87</v>
      </c>
      <c r="DG64" s="62">
        <v>0.9</v>
      </c>
      <c r="DH64" s="150" t="s">
        <v>102</v>
      </c>
      <c r="DI64" s="62">
        <f t="shared" ref="DI64:DI218" si="542">IF(SeilBeregnet=0,"-",((Dypg/(Lwl+DI$6-Bredde*DI$5))^(1/DI$4)*5)*DI$3*DI$7)</f>
        <v>2.0246022142804243</v>
      </c>
      <c r="DJ64" s="47">
        <f t="shared" ref="DJ64:DJ218" si="543">(Dypg/(Lwl+Bredde+DJ$8)*100)</f>
        <v>11.803278688524591</v>
      </c>
      <c r="DK64" s="48">
        <f>DJ$7*IF(DJ64&lt;DJ$5,-0.04,IF(DJ64&lt;DJ$5*1.1,-0.03,IF(DJ64&lt;DJ$5*1.2,-0.02,IF(DJ64&lt;DJ$5*1.3,-0.01,0))))</f>
        <v>0</v>
      </c>
      <c r="DM64" s="107">
        <f t="shared" si="381"/>
        <v>1.1222630259335964</v>
      </c>
      <c r="DN64" s="141" t="str">
        <f>IF($DY64=0,"-",(DM64-$DW64)*100)</f>
        <v>-</v>
      </c>
      <c r="DO64" s="107">
        <f>SUM(DP64:DS64)^DO$3+DO$7</f>
        <v>5.0643408392067135</v>
      </c>
      <c r="DP64" s="133">
        <f>IF(SeilBeregnet=0,DP63,(SeilBeregnet^0.5/(Depl^0.3333))^DP$3*DP$7)</f>
        <v>3.3939745749430572</v>
      </c>
      <c r="DQ64" s="133">
        <f>IF(SeilBeregnet=0,DQ63,(SeilBeregnet^0.5/Lwl)^DQ$3*DQ$7)</f>
        <v>0</v>
      </c>
      <c r="DR64" s="133">
        <f>IF(SeilBeregnet=0,DR63,(0.1*Loa/Depl^0.3333)^DR$3*DR$7)</f>
        <v>0</v>
      </c>
      <c r="DS64" s="133">
        <f>IF(SeilBeregnet=0,DS63,((Loa)/Bredde)^DS$3*DS$7)</f>
        <v>1.6703662642636565</v>
      </c>
      <c r="DT64" s="107">
        <f>IF(SeilBeregnet=0,DT63,(Lwl)^DT$3)</f>
        <v>1.7871048890689831</v>
      </c>
      <c r="DU64" s="133">
        <f>IF(SeilBeregnet=0,DU63,(Dypg/Loa)^DU$3*5*DU$7)</f>
        <v>1.9955703157132179</v>
      </c>
      <c r="DW64" s="107">
        <f t="shared" si="247"/>
        <v>1.1799920846834051</v>
      </c>
      <c r="DX64" s="107">
        <f t="shared" ref="DX64:DX218" si="544">IF(SeilBeregnet=0,"-",DX$7*(DX$4*SeilBeregnet^0.5/(Depl^0.33333*Bredde*Lwl)^0.3333*((Loa*0.03+Lwl*0.07)^0.33)*PropF+DX$6)+ErfaringsF+Dyp_F)</f>
        <v>1.1213379318270784</v>
      </c>
      <c r="DZ64" s="107">
        <f t="shared" ref="DZ64:DZ218" si="545">IF(SeilBeregnet=0,"-",DZ$7*(DZ$4*SeilBeregnet^0.5/(Depl^0.33333*Bredde*Lwl)^0.3333*Lwl^0.3333*((Loa+Lwl)/Bredde/6)^0.25*PropF+DZ$6)+ErfaringsF+Dyp_F)</f>
        <v>1.0957950656143631</v>
      </c>
      <c r="EA64" s="122" t="str">
        <f>IF($DY64=0,"-",DZ64-$DW64)</f>
        <v>-</v>
      </c>
      <c r="EB64" s="107">
        <f>IF(SeilBeregnet=0,"-",EB$7*(EB$4*ED64*EE64*EF64*PropF+EB$6)+ErfaringsF+Dyp_F)</f>
        <v>1.1483773626084495</v>
      </c>
      <c r="EC64" s="122" t="str">
        <f>IF($DY64=0,"-",EB64-$DW64)</f>
        <v>-</v>
      </c>
      <c r="ED64" s="107">
        <f>IF(SeilBeregnet=0,ED63,SeilBeregnet^0.5/Depl^0.33333)</f>
        <v>3.3937058787754095</v>
      </c>
      <c r="EE64" s="107">
        <f>IF(SeilBeregnet=0,EE63,Lwl^0.3333)</f>
        <v>2.1685350061166324</v>
      </c>
      <c r="EF64" s="107">
        <f>IF(SeilBeregnet=0,EF63,((Loa+Lwl)/Bredde)^EF$3)</f>
        <v>1.5179094305190397</v>
      </c>
      <c r="EH64" s="107">
        <f>IF(SeilBeregnet=0,"-",EH$7*(EH$4*EJ64*EK64*EL64*PropF+EH$6)+ErfaringsF+Dyp_F)</f>
        <v>1.1344896015031791</v>
      </c>
      <c r="EJ64" s="107">
        <f>IF(SeilBeregnet=0,EJ63,SeilBeregnet^0.5/Depl^0.33333)</f>
        <v>3.3937058787754095</v>
      </c>
      <c r="EK64" s="107">
        <f>IF(SeilBeregnet=0,EK63,Lwl^EK$3)</f>
        <v>2.1686860967520136</v>
      </c>
      <c r="EL64" s="107">
        <f>IF(SeilBeregnet=0,EL63,((Loa+Lwl)/Bredde)^EL$3)</f>
        <v>1.7443634548832085</v>
      </c>
      <c r="EM64" s="107">
        <f>IF(SeilBeregnet=0,"-",EM$7*(EM$4*EO64+EM$6)*ER64*PropF+ErfaringsF+Dyp_F)</f>
        <v>1.1391134919211245</v>
      </c>
      <c r="EO64" s="107">
        <f>IF(SeilBeregnet=0,EO63,(EP64*EQ64)^EO$3)</f>
        <v>5.1513381578010993</v>
      </c>
      <c r="EP64" s="107">
        <f>IF(SeilBeregnet=0,EP63,SeilBeregnet^0.5/Depl^0.33333)</f>
        <v>3.3937058787754095</v>
      </c>
      <c r="EQ64" s="107">
        <f>IF(SeilBeregnet=0,EQ63,((Loa+Lwl)/Bredde)^EQ$3)</f>
        <v>1.5179094305190397</v>
      </c>
      <c r="ER64" s="107">
        <f>IF(SeilBeregnet=0,ER63,Lwl^ER$3)</f>
        <v>1.7871048890689831</v>
      </c>
      <c r="ES64" s="107">
        <f t="shared" si="382"/>
        <v>1.1391209478302546</v>
      </c>
      <c r="EU64" s="107">
        <f>IF(SeilBeregnet=0,EU63,(EV:EV*EW:EW)^EU$3)</f>
        <v>1.8142249015950886</v>
      </c>
      <c r="EV64" s="107">
        <f>IF(SeilBeregnet=0,EV63,SeilBeregnet^0.5/Depl^0.33333)</f>
        <v>3.3937058787754095</v>
      </c>
      <c r="EW64" s="107">
        <f>IF(SeilBeregnet=0,EW63,((Loa+Lwl)/Bredde/6)^EW$3)</f>
        <v>0.96985776350052699</v>
      </c>
      <c r="EX64" s="107">
        <f>IF(SeilBeregnet=0,EX63,(Lwl*0.7+Loa*0.3)^EX$3)</f>
        <v>1.8013872842666538</v>
      </c>
      <c r="EY64" s="107">
        <f t="shared" si="383"/>
        <v>1.0989542885606454</v>
      </c>
      <c r="FA64" s="107">
        <f t="shared" si="371"/>
        <v>1.8142967206694514</v>
      </c>
      <c r="FB64" s="107">
        <f>IF(SeilBeregnet=0,FB63,SeilBeregnet^0.5/Depl^0.3333)</f>
        <v>3.3939745749430572</v>
      </c>
      <c r="FC64" s="107">
        <f>IF(SeilBeregnet=0,FC63,((Loa+Lwl)/Bredde/6)^FC$3)</f>
        <v>0.96985776350052699</v>
      </c>
      <c r="FD64" s="107">
        <f>IF(SeilBeregnet=0,FD63,(Lwl*0.7+Loa*0.3)^FD$3)</f>
        <v>1.8013872842666538</v>
      </c>
      <c r="FE64" s="107">
        <f t="shared" si="384"/>
        <v>1.104584802038298</v>
      </c>
      <c r="FF64" s="141" t="str">
        <f>IF($DY64=0,"-",(FE64-$DW64)*100)</f>
        <v>-</v>
      </c>
      <c r="FG64" s="107">
        <f t="shared" si="372"/>
        <v>3.1924542169262646</v>
      </c>
      <c r="FH64" s="133">
        <f>IF(SeilBeregnet=0,FH63,(SeilBeregnet^0.5/(Depl^0.3333))^FH$3)</f>
        <v>3.3939745749430572</v>
      </c>
      <c r="FI64" s="133">
        <f>IF(SeilBeregnet=0,FI63,((Loa+Lwl)/Bredde/6)^FI$3)</f>
        <v>0.94062408142224407</v>
      </c>
      <c r="FJ64" s="107">
        <f>IF(SeilBeregnet=0,FJ63,(Lwl*0.07+Loa*0.03)^FJ$3)</f>
        <v>1.0129945126155542</v>
      </c>
      <c r="FK64" s="107">
        <f t="shared" si="385"/>
        <v>1.1412113166709068</v>
      </c>
      <c r="FL64" s="141" t="str">
        <f>IF($DY64=0,"-",(FK64-$DW64)*100)</f>
        <v>-</v>
      </c>
      <c r="FM64" s="107">
        <f t="shared" si="373"/>
        <v>5.3662273116254804</v>
      </c>
      <c r="FN64" s="133">
        <f>IF(SeilBeregnet=0,FN63,(SeilBeregnet^0.5/(Depl^0.3333))^FN$3)</f>
        <v>3.3939745749430572</v>
      </c>
      <c r="FO64" s="133">
        <f>IF(SeilBeregnet=0,FO63,(SeilBeregnet^0.5/Lwl*FO$7)^FO$3)</f>
        <v>0.80188647241876609</v>
      </c>
      <c r="FP64" s="133">
        <f>IF(SeilBeregnet=0,FP63,((Loa)/Bredde)^FP$3*FP$7)</f>
        <v>1.6703662642636565</v>
      </c>
      <c r="FQ64" s="107">
        <f>IF(SeilBeregnet=0,FQ63,(Lwl)^FQ$3)</f>
        <v>1.7871048890689831</v>
      </c>
      <c r="FR64" s="107">
        <f t="shared" si="386"/>
        <v>1.1059097587390554</v>
      </c>
      <c r="FS64" s="141" t="str">
        <f>IF($DY64=0,"-",(FR64-$DW64)*100)</f>
        <v>-</v>
      </c>
      <c r="FT64" s="107">
        <f t="shared" si="374"/>
        <v>5.6691806317534663</v>
      </c>
      <c r="FU64" s="133">
        <f>IF(SeilBeregnet=0,FU63,(SeilBeregnet^0.5/(Depl^0.3333))^FU$3)</f>
        <v>3.3939745749430572</v>
      </c>
      <c r="FV64" s="133">
        <f>IF(SeilBeregnet=0,FV63,(Loa/Bredde)^FV$3)</f>
        <v>1.6703662642636565</v>
      </c>
      <c r="FW64" s="107">
        <f>IF(SeilBeregnet=0,FW63,Lwl^FW$3)</f>
        <v>1.7871048890689831</v>
      </c>
      <c r="FY64">
        <v>0.95</v>
      </c>
      <c r="FZ64" s="62">
        <f t="shared" si="48"/>
        <v>1.1210084991052189</v>
      </c>
      <c r="GA64" s="62">
        <f t="shared" si="49"/>
        <v>1.9955703157132179</v>
      </c>
      <c r="GB64" s="107">
        <f t="shared" si="525"/>
        <v>1.203786771291669</v>
      </c>
      <c r="GC64" s="440"/>
      <c r="GD64" s="17"/>
      <c r="GE64" s="442"/>
      <c r="GF64" s="462"/>
      <c r="GG64" s="17"/>
      <c r="GH64" s="17"/>
      <c r="GI64" s="17"/>
      <c r="GJ64" s="17"/>
      <c r="GL64" s="17"/>
      <c r="GM64" s="442"/>
      <c r="GN64" s="8"/>
      <c r="GO64" s="8"/>
      <c r="GP64" s="8"/>
      <c r="GQ64" s="8"/>
      <c r="GS64" s="17"/>
      <c r="GT64" s="17"/>
      <c r="GU64" s="17"/>
      <c r="GV64" s="629"/>
      <c r="GW64" s="17"/>
      <c r="GX64" s="17"/>
      <c r="GY64" s="17"/>
      <c r="GZ64" s="17"/>
    </row>
    <row r="65" spans="1:208" ht="15.6" x14ac:dyDescent="0.3">
      <c r="A65" s="60" t="s">
        <v>110</v>
      </c>
      <c r="B65" s="218"/>
      <c r="C65" s="14" t="str">
        <f>C63</f>
        <v>Gaffel</v>
      </c>
      <c r="G65" s="54"/>
      <c r="H65" s="204">
        <f>IF(StH=0,0,TBFavrundet)</f>
        <v>109.5</v>
      </c>
      <c r="I65" s="63">
        <f>COUNTA(O65:AG65)</f>
        <v>3</v>
      </c>
      <c r="J65" s="222">
        <f>SUM(O65:AG65)</f>
        <v>74.400000000000006</v>
      </c>
      <c r="K65" s="116">
        <f>Seilareal/Depl^0.667/K$7</f>
        <v>1.1859355947996815</v>
      </c>
      <c r="L65" s="116">
        <f>Seilareal/Lwl/Lwl/L$7</f>
        <v>1.0850495365931609</v>
      </c>
      <c r="M65" s="92">
        <f>RiggF</f>
        <v>0.78763440860215039</v>
      </c>
      <c r="N65" s="242">
        <f>StHfaktor</f>
        <v>1.0042261726404875</v>
      </c>
      <c r="O65" s="143"/>
      <c r="P65" s="143"/>
      <c r="Q65" s="143"/>
      <c r="R65" s="143"/>
      <c r="S65" s="165">
        <v>14.4</v>
      </c>
      <c r="T65" s="143"/>
      <c r="U65" s="165">
        <v>17</v>
      </c>
      <c r="V65" s="559"/>
      <c r="W65" s="559"/>
      <c r="X65" s="165">
        <v>43</v>
      </c>
      <c r="Y65" s="143"/>
      <c r="Z65" s="143"/>
      <c r="AA65" s="143"/>
      <c r="AB65" s="143"/>
      <c r="AC65" s="143"/>
      <c r="AD65" s="143"/>
      <c r="AE65" s="143"/>
      <c r="AF65" s="143"/>
      <c r="AG65" s="551"/>
      <c r="AH65" s="557"/>
      <c r="AI65" s="557">
        <f t="shared" ref="AI65" si="546">AI64</f>
        <v>10.55</v>
      </c>
      <c r="AJ65" s="337">
        <f xml:space="preserve"> AJ64</f>
        <v>0</v>
      </c>
      <c r="AK65" s="339"/>
      <c r="AL65" s="337">
        <f xml:space="preserve"> AL64</f>
        <v>0</v>
      </c>
      <c r="AM65" s="339"/>
      <c r="AN65" s="267" t="str">
        <f t="shared" ref="AN65" si="547" xml:space="preserve"> AN64</f>
        <v>Los</v>
      </c>
      <c r="AO65" s="45">
        <f>VLOOKUP(AN65,Skrogform!$1:$1048576,3,FALSE)</f>
        <v>0.97</v>
      </c>
      <c r="AP65" s="64">
        <f t="shared" ref="AP65:AZ65" si="548">AP64</f>
        <v>11.3</v>
      </c>
      <c r="AQ65" s="64">
        <f t="shared" si="548"/>
        <v>10.199999999999999</v>
      </c>
      <c r="AR65" s="64">
        <f t="shared" si="548"/>
        <v>4.05</v>
      </c>
      <c r="AS65" s="64">
        <f t="shared" si="548"/>
        <v>1.8</v>
      </c>
      <c r="AT65" s="64">
        <f t="shared" ref="AT65" si="549">AT64</f>
        <v>14</v>
      </c>
      <c r="AU65" s="64">
        <f t="shared" si="548"/>
        <v>14</v>
      </c>
      <c r="AV65" s="64">
        <f t="shared" si="548"/>
        <v>1.8</v>
      </c>
      <c r="AW65" s="64">
        <f t="shared" si="548"/>
        <v>2</v>
      </c>
      <c r="AX65" s="256">
        <f>AX64</f>
        <v>0</v>
      </c>
      <c r="AY65" s="256">
        <f t="shared" si="548"/>
        <v>30</v>
      </c>
      <c r="AZ65" s="256">
        <f t="shared" si="548"/>
        <v>450</v>
      </c>
      <c r="BA65" s="256">
        <f t="shared" ref="BA65:BB65" si="550">BA64</f>
        <v>0</v>
      </c>
      <c r="BB65" s="256">
        <f t="shared" si="550"/>
        <v>0</v>
      </c>
      <c r="BC65" s="256"/>
      <c r="BD65" s="66"/>
      <c r="BE65" s="66"/>
      <c r="BF65" s="261"/>
      <c r="BG65" s="66"/>
      <c r="BH65" s="175"/>
      <c r="BI65" s="66"/>
      <c r="BJ65" s="66"/>
      <c r="BK65" s="65" t="str">
        <f t="shared" ref="BK65:BM65" si="551" xml:space="preserve"> BK64</f>
        <v>Seilrett</v>
      </c>
      <c r="BL65" s="267">
        <f t="shared" si="551"/>
        <v>3</v>
      </c>
      <c r="BM65" s="267">
        <f t="shared" si="551"/>
        <v>50</v>
      </c>
      <c r="BN65" s="45">
        <f>IF((BK65="Fast"),(1.006248-(0.06415*((BM65/100*SQRT(BL65))/POWER(AU65,(1/3))))),1)</f>
        <v>1</v>
      </c>
      <c r="BO65" s="59"/>
      <c r="BP65" s="59"/>
      <c r="BR65" s="49">
        <f t="shared" si="532"/>
        <v>0</v>
      </c>
      <c r="BS65" s="49">
        <f t="shared" si="532"/>
        <v>0</v>
      </c>
      <c r="BT65" s="49">
        <f t="shared" si="532"/>
        <v>0</v>
      </c>
      <c r="BU65" s="49">
        <f t="shared" si="532"/>
        <v>0</v>
      </c>
      <c r="BV65" s="49">
        <f t="shared" si="532"/>
        <v>14.4</v>
      </c>
      <c r="BW65" s="49">
        <f t="shared" si="532"/>
        <v>0</v>
      </c>
      <c r="BX65" s="49">
        <f t="shared" si="532"/>
        <v>17</v>
      </c>
      <c r="BY65" s="549">
        <f>IF(COUNT(Q65:U65)&gt;1,MINA(Q65:U65)*BY$9,0)</f>
        <v>-7.2</v>
      </c>
      <c r="BZ65" s="85">
        <f t="shared" si="533"/>
        <v>0</v>
      </c>
      <c r="CA65" s="85">
        <f t="shared" si="533"/>
        <v>0</v>
      </c>
      <c r="CB65" s="85">
        <f t="shared" si="533"/>
        <v>34.4</v>
      </c>
      <c r="CC65" s="85">
        <f t="shared" si="533"/>
        <v>0</v>
      </c>
      <c r="CD65" s="85">
        <f t="shared" si="533"/>
        <v>0</v>
      </c>
      <c r="CE65" s="85">
        <f>IF(AC65=0,0,AC65*CE$9)</f>
        <v>0</v>
      </c>
      <c r="CF65" s="85">
        <f t="shared" si="534"/>
        <v>0</v>
      </c>
      <c r="CG65" s="85">
        <f t="shared" si="534"/>
        <v>0</v>
      </c>
      <c r="CH65" s="85">
        <f t="shared" si="535"/>
        <v>0</v>
      </c>
      <c r="CI65" s="85">
        <f t="shared" si="535"/>
        <v>0</v>
      </c>
      <c r="CJ65" s="85">
        <f t="shared" si="535"/>
        <v>0</v>
      </c>
      <c r="CK65" s="85">
        <f t="shared" si="535"/>
        <v>0</v>
      </c>
      <c r="CL65" s="100">
        <f>SUM(BR65:CK65)</f>
        <v>58.599999999999994</v>
      </c>
      <c r="CM65" s="50"/>
      <c r="CN65" s="104">
        <f>J65</f>
        <v>74.400000000000006</v>
      </c>
      <c r="CO65" s="101">
        <f>CL65/CN65</f>
        <v>0.78763440860215039</v>
      </c>
      <c r="CP65" s="51">
        <f>Seilareal/Lwl/Lwl</f>
        <v>0.71510957324106128</v>
      </c>
      <c r="CQ65" s="116">
        <f>Seilareal/Depl^0.667/K$7</f>
        <v>1.1859355947996815</v>
      </c>
      <c r="CR65" s="51">
        <f>Seilareal/Lwl/Lwl/SApRS1</f>
        <v>1.0850495365931609</v>
      </c>
      <c r="CS65" s="204"/>
      <c r="CT65" s="204">
        <f>(ROUND(TBF/CT$6,3)*CT$6)*CT$4</f>
        <v>109.5</v>
      </c>
      <c r="CU65" s="107">
        <f t="shared" si="83"/>
        <v>1.0950402274109341</v>
      </c>
      <c r="CV65" s="62">
        <f t="shared" si="523"/>
        <v>3.1745650395514509</v>
      </c>
      <c r="CW65" s="62">
        <f t="shared" si="84"/>
        <v>1.6292086998461313</v>
      </c>
      <c r="CX65" s="62">
        <f t="shared" si="524"/>
        <v>1.7871048890689831</v>
      </c>
      <c r="CY65" s="107">
        <f t="shared" si="85"/>
        <v>1.0042261726404875</v>
      </c>
      <c r="CZ65" s="168" t="str">
        <f>IF(DA65=0,"-",IF(CP65="TBF","-",CZ$7*DA65))</f>
        <v>-</v>
      </c>
      <c r="DA65" s="158"/>
      <c r="DB65" s="168" t="str">
        <f>IF(DC65=0,"-",IF(CT65="TBF","-",DB$7*DC65))</f>
        <v>-</v>
      </c>
      <c r="DC65" s="160"/>
      <c r="DD65" s="190" t="s">
        <v>134</v>
      </c>
      <c r="DE65" s="62">
        <v>0.78</v>
      </c>
      <c r="DF65" s="62">
        <v>0.81</v>
      </c>
      <c r="DG65" s="62">
        <v>0.81</v>
      </c>
      <c r="DH65" s="150" t="s">
        <v>102</v>
      </c>
      <c r="DI65" s="62">
        <f t="shared" si="542"/>
        <v>2.0246022142804243</v>
      </c>
      <c r="DJ65" s="47">
        <f t="shared" si="543"/>
        <v>11.803278688524591</v>
      </c>
      <c r="DK65" s="48">
        <f>DJ$7*IF(DJ65&lt;DJ$5,-0.04,IF(DJ65&lt;DJ$5*1.1,-0.03,IF(DJ65&lt;DJ$5*1.2,-0.02,IF(DJ65&lt;DJ$5*1.3,-0.01,0))))</f>
        <v>0</v>
      </c>
      <c r="DM65" s="107">
        <f t="shared" si="381"/>
        <v>1.0740631055502483</v>
      </c>
      <c r="DN65" s="141" t="str">
        <f>IF($DY65=0,"-",(DM65-$DW65)*100)</f>
        <v>-</v>
      </c>
      <c r="DO65" s="107">
        <f>SUM(DP65:DS65)^DO$3+DO$7</f>
        <v>4.8468331608789557</v>
      </c>
      <c r="DP65" s="133">
        <f>IF(SeilBeregnet=0,DP64,(SeilBeregnet^0.5/(Depl^0.3333))^DP$3*DP$7)</f>
        <v>3.1764668966152989</v>
      </c>
      <c r="DQ65" s="133">
        <f>IF(SeilBeregnet=0,DQ64,(SeilBeregnet^0.5/Lwl)^DQ$3*DQ$7)</f>
        <v>0</v>
      </c>
      <c r="DR65" s="133">
        <f>IF(SeilBeregnet=0,DR64,(0.1*Loa/Depl^0.3333)^DR$3*DR$7)</f>
        <v>0</v>
      </c>
      <c r="DS65" s="133">
        <f>IF(SeilBeregnet=0,DS64,((Loa)/Bredde)^DS$3*DS$7)</f>
        <v>1.6703662642636565</v>
      </c>
      <c r="DT65" s="107">
        <f>IF(SeilBeregnet=0,DT64,(Lwl)^DT$3)</f>
        <v>1.7871048890689831</v>
      </c>
      <c r="DU65" s="133">
        <f>IF(SeilBeregnet=0,DU64,(Dypg/Loa)^DU$3*5*DU$7)</f>
        <v>1.9955703157132179</v>
      </c>
      <c r="DW65" s="107">
        <f t="shared" si="247"/>
        <v>1.1289074509391073</v>
      </c>
      <c r="DX65" s="107">
        <f t="shared" si="544"/>
        <v>1.065129321290307</v>
      </c>
      <c r="DZ65" s="107">
        <f t="shared" si="545"/>
        <v>1.0520713621644378</v>
      </c>
      <c r="EA65" s="122" t="str">
        <f>IF($DY65=0,"-",DZ65-$DW65)</f>
        <v>-</v>
      </c>
      <c r="EB65" s="107">
        <f>IF(SeilBeregnet=0,"-",EB$7*(EB$4*ED65*EE65*EF65*PropF+EB$6)+ErfaringsF+Dyp_F)</f>
        <v>1.0927188711891676</v>
      </c>
      <c r="EC65" s="122" t="str">
        <f>IF($DY65=0,"-",EB65-$DW65)</f>
        <v>-</v>
      </c>
      <c r="ED65" s="107">
        <f>IF(SeilBeregnet=0,ED64,SeilBeregnet^0.5/Depl^0.33333)</f>
        <v>3.1762154202229649</v>
      </c>
      <c r="EE65" s="107">
        <f>IF(SeilBeregnet=0,EE64,Lwl^0.3333)</f>
        <v>2.1685350061166324</v>
      </c>
      <c r="EF65" s="107">
        <f>IF(SeilBeregnet=0,EF64,((Loa+Lwl)/Bredde)^EF$3)</f>
        <v>1.5179094305190397</v>
      </c>
      <c r="EH65" s="107">
        <f>IF(SeilBeregnet=0,"-",EH$7*(EH$4*EJ65*EK65*EL65*PropF+EH$6)+ErfaringsF+Dyp_F)</f>
        <v>1.0849408800922264</v>
      </c>
      <c r="EJ65" s="107">
        <f>IF(SeilBeregnet=0,EJ64,SeilBeregnet^0.5/Depl^0.33333)</f>
        <v>3.1762154202229649</v>
      </c>
      <c r="EK65" s="107">
        <f>IF(SeilBeregnet=0,EK64,Lwl^EK$3)</f>
        <v>2.1686860967520136</v>
      </c>
      <c r="EL65" s="107">
        <f>IF(SeilBeregnet=0,EL64,((Loa+Lwl)/Bredde)^EL$3)</f>
        <v>1.7443634548832085</v>
      </c>
      <c r="EM65" s="107">
        <f>IF(SeilBeregnet=0,"-",EM$7*(EM$4*EO65+EM$6)*ER65*PropF+ErfaringsF+Dyp_F)</f>
        <v>1.0865280232044792</v>
      </c>
      <c r="EO65" s="107">
        <f>IF(SeilBeregnet=0,EO64,(EP65*EQ65)^EO$3)</f>
        <v>4.821207339716433</v>
      </c>
      <c r="EP65" s="107">
        <f>IF(SeilBeregnet=0,EP64,SeilBeregnet^0.5/Depl^0.33333)</f>
        <v>3.1762154202229649</v>
      </c>
      <c r="EQ65" s="107">
        <f>IF(SeilBeregnet=0,EQ64,((Loa+Lwl)/Bredde)^EQ$3)</f>
        <v>1.5179094305190397</v>
      </c>
      <c r="ER65" s="107">
        <f>IF(SeilBeregnet=0,ER64,Lwl^ER$3)</f>
        <v>1.7871048890689831</v>
      </c>
      <c r="ES65" s="107">
        <f t="shared" si="382"/>
        <v>1.0878986787511367</v>
      </c>
      <c r="EU65" s="107">
        <f>IF(SeilBeregnet=0,EU64,(EV:EV*EW:EW)^EU$3)</f>
        <v>1.7551288225806478</v>
      </c>
      <c r="EV65" s="107">
        <f>IF(SeilBeregnet=0,EV64,SeilBeregnet^0.5/Depl^0.33333)</f>
        <v>3.1762154202229649</v>
      </c>
      <c r="EW65" s="107">
        <f>IF(SeilBeregnet=0,EW64,((Loa+Lwl)/Bredde/6)^EW$3)</f>
        <v>0.96985776350052699</v>
      </c>
      <c r="EX65" s="107">
        <f>IF(SeilBeregnet=0,EX64,(Lwl*0.7+Loa*0.3)^EX$3)</f>
        <v>1.8013872842666538</v>
      </c>
      <c r="EY65" s="107">
        <f t="shared" si="383"/>
        <v>1.0631572440966768</v>
      </c>
      <c r="FA65" s="107">
        <f t="shared" si="371"/>
        <v>1.7551983022395998</v>
      </c>
      <c r="FB65" s="107">
        <f>IF(SeilBeregnet=0,FB64,SeilBeregnet^0.5/Depl^0.3333)</f>
        <v>3.1764668966152989</v>
      </c>
      <c r="FC65" s="107">
        <f>IF(SeilBeregnet=0,FC64,((Loa+Lwl)/Bredde/6)^FC$3)</f>
        <v>0.96985776350052699</v>
      </c>
      <c r="FD65" s="107">
        <f>IF(SeilBeregnet=0,FD64,(Lwl*0.7+Loa*0.3)^FD$3)</f>
        <v>1.8013872842666538</v>
      </c>
      <c r="FE65" s="107">
        <f t="shared" si="384"/>
        <v>1.0610619773928327</v>
      </c>
      <c r="FF65" s="141" t="str">
        <f>IF($DY65=0,"-",(FE65-$DW65)*100)</f>
        <v>-</v>
      </c>
      <c r="FG65" s="107">
        <f t="shared" si="372"/>
        <v>2.9878612567969318</v>
      </c>
      <c r="FH65" s="133">
        <f>IF(SeilBeregnet=0,FH64,(SeilBeregnet^0.5/(Depl^0.3333))^FH$3)</f>
        <v>3.1764668966152989</v>
      </c>
      <c r="FI65" s="133">
        <f>IF(SeilBeregnet=0,FI64,((Loa+Lwl)/Bredde/6)^FI$3)</f>
        <v>0.94062408142224407</v>
      </c>
      <c r="FJ65" s="107">
        <f>IF(SeilBeregnet=0,FJ64,(Lwl*0.07+Loa*0.03)^FJ$3)</f>
        <v>1.0129945126155542</v>
      </c>
      <c r="FK65" s="107">
        <f t="shared" si="385"/>
        <v>1.0840260553685932</v>
      </c>
      <c r="FL65" s="141" t="str">
        <f>IF($DY65=0,"-",(FK65-$DW65)*100)</f>
        <v>-</v>
      </c>
      <c r="FM65" s="107">
        <f t="shared" si="373"/>
        <v>5.0973296004477646</v>
      </c>
      <c r="FN65" s="133">
        <f>IF(SeilBeregnet=0,FN64,(SeilBeregnet^0.5/(Depl^0.3333))^FN$3)</f>
        <v>3.1764668966152989</v>
      </c>
      <c r="FO65" s="133">
        <f>IF(SeilBeregnet=0,FO64,(SeilBeregnet^0.5/Lwl*FO$7)^FO$3)</f>
        <v>0.75049643956880929</v>
      </c>
      <c r="FP65" s="133">
        <f>IF(SeilBeregnet=0,FP64,((Loa)/Bredde)^FP$3*FP$7)</f>
        <v>1.6703662642636565</v>
      </c>
      <c r="FQ65" s="107">
        <f>IF(SeilBeregnet=0,FQ64,(Lwl)^FQ$3)</f>
        <v>1.7871048890689831</v>
      </c>
      <c r="FR65" s="107">
        <f t="shared" si="386"/>
        <v>1.064355425346261</v>
      </c>
      <c r="FS65" s="141" t="str">
        <f>IF($DY65=0,"-",(FR65-$DW65)*100)</f>
        <v>-</v>
      </c>
      <c r="FT65" s="107">
        <f t="shared" si="374"/>
        <v>5.3058631436564676</v>
      </c>
      <c r="FU65" s="133">
        <f>IF(SeilBeregnet=0,FU64,(SeilBeregnet^0.5/(Depl^0.3333))^FU$3)</f>
        <v>3.1764668966152989</v>
      </c>
      <c r="FV65" s="133">
        <f>IF(SeilBeregnet=0,FV64,(Loa/Bredde)^FV$3)</f>
        <v>1.6703662642636565</v>
      </c>
      <c r="FW65" s="107">
        <f>IF(SeilBeregnet=0,FW64,Lwl^FW$3)</f>
        <v>1.7871048890689831</v>
      </c>
      <c r="FY65">
        <v>0.95</v>
      </c>
      <c r="FZ65" s="62">
        <f t="shared" si="48"/>
        <v>1.0864731044009086</v>
      </c>
      <c r="GA65" s="62">
        <f t="shared" si="49"/>
        <v>1.9955703157132179</v>
      </c>
      <c r="GB65" s="107">
        <f t="shared" si="525"/>
        <v>1.1775015373600755</v>
      </c>
      <c r="GC65" s="440"/>
      <c r="GD65" s="17"/>
      <c r="GE65" s="442"/>
      <c r="GF65" s="462"/>
      <c r="GG65" s="17"/>
      <c r="GH65" s="17"/>
      <c r="GI65" s="17"/>
      <c r="GJ65" s="17"/>
      <c r="GL65" s="17"/>
      <c r="GM65" s="442"/>
      <c r="GN65" s="8"/>
      <c r="GO65" s="8"/>
      <c r="GP65" s="8"/>
      <c r="GQ65" s="8"/>
      <c r="GS65" s="17"/>
      <c r="GT65" s="17"/>
      <c r="GU65" s="17"/>
      <c r="GV65" s="629"/>
      <c r="GW65" s="17"/>
      <c r="GX65" s="17"/>
      <c r="GY65" s="17"/>
      <c r="GZ65" s="17"/>
    </row>
    <row r="66" spans="1:208" ht="15.6" x14ac:dyDescent="0.3">
      <c r="A66" s="52" t="s">
        <v>202</v>
      </c>
      <c r="B66" s="218">
        <f t="shared" si="10"/>
        <v>37.99212598425197</v>
      </c>
      <c r="C66" s="53" t="s">
        <v>19</v>
      </c>
      <c r="D66" s="53"/>
      <c r="E66" s="53"/>
      <c r="F66" s="53"/>
      <c r="G66" s="54"/>
      <c r="H66" s="112">
        <f>J67</f>
        <v>80.3</v>
      </c>
      <c r="I66" s="601">
        <f>H67/100</f>
        <v>1.135</v>
      </c>
      <c r="J66" s="651">
        <f>IF(DC67=0,"-",DC67)</f>
        <v>1.18</v>
      </c>
      <c r="K66" s="123" t="str">
        <f>A66</f>
        <v>Los West Wind</v>
      </c>
      <c r="L66" s="116"/>
      <c r="M66" s="116"/>
      <c r="N66" s="92"/>
      <c r="O66" s="165"/>
      <c r="P66" s="165"/>
      <c r="Q66" s="165"/>
      <c r="R66" s="165">
        <v>22.1</v>
      </c>
      <c r="S66" s="165">
        <v>15</v>
      </c>
      <c r="T66" s="165">
        <v>7.1</v>
      </c>
      <c r="U66" s="165">
        <v>18</v>
      </c>
      <c r="V66" s="559"/>
      <c r="W66" s="559"/>
      <c r="X66" s="165">
        <v>39.700000000000003</v>
      </c>
      <c r="Y66" s="165">
        <v>32.700000000000003</v>
      </c>
      <c r="Z66" s="165">
        <v>26.1</v>
      </c>
      <c r="AA66" s="165">
        <v>7.6</v>
      </c>
      <c r="AB66" s="165"/>
      <c r="AC66" s="165"/>
      <c r="AD66" s="165"/>
      <c r="AE66" s="165"/>
      <c r="AF66" s="165"/>
      <c r="AG66" s="552"/>
      <c r="AH66" s="244"/>
      <c r="AI66" s="244">
        <v>10.119999999999999</v>
      </c>
      <c r="AJ66" s="554"/>
      <c r="AK66" s="339"/>
      <c r="AL66" s="268"/>
      <c r="AM66" s="339"/>
      <c r="AN66" s="268" t="s">
        <v>203</v>
      </c>
      <c r="AO66" s="45">
        <f>VLOOKUP(AN66,Skrogform!$1:$1048576,3,FALSE)</f>
        <v>0.97</v>
      </c>
      <c r="AP66" s="55">
        <v>11.58</v>
      </c>
      <c r="AQ66" s="55">
        <v>10.5</v>
      </c>
      <c r="AR66" s="55">
        <v>3.95</v>
      </c>
      <c r="AS66" s="55">
        <v>1.7</v>
      </c>
      <c r="AT66" s="637">
        <v>13</v>
      </c>
      <c r="AU66" s="171">
        <v>13</v>
      </c>
      <c r="AV66" s="55">
        <v>2</v>
      </c>
      <c r="AW66" s="55">
        <v>2</v>
      </c>
      <c r="AX66" s="253"/>
      <c r="AY66" s="253"/>
      <c r="AZ66" s="254">
        <v>350</v>
      </c>
      <c r="BA66" s="253"/>
      <c r="BB66" s="253"/>
      <c r="BC66" s="244">
        <f>Depl+Diesel/1000*0.84+Vann/1000</f>
        <v>13</v>
      </c>
      <c r="BD66" s="95">
        <f>Bredde/(Loa+Lwl)*2</f>
        <v>0.3577898550724638</v>
      </c>
      <c r="BE66" s="95">
        <f>(Kjøl+Ballast)/Depl</f>
        <v>0.30769230769230771</v>
      </c>
      <c r="BF66" s="260">
        <f>BF$7*((Depl-Kjøl-Ballast-VektMotor/1000-VektAnnet/1000)/Lwl/Lwl/Bredde)</f>
        <v>0.74958353321984428</v>
      </c>
      <c r="BG66" s="95">
        <f>BG$7*(Depl/Loa/Lwl/Lwl)</f>
        <v>0.74932535805341127</v>
      </c>
      <c r="BH66" s="174">
        <f>BH$7*(Depl/Loa/Lwl/Bredde)</f>
        <v>0.73626633810866771</v>
      </c>
      <c r="BI66" s="95">
        <f>BI$7*Bredde/(Loa+Lwl)*2</f>
        <v>1.0206628876422004</v>
      </c>
      <c r="BJ66" s="95">
        <f>BJ$7*(Dypg/Lwl)</f>
        <v>0.8855486542443064</v>
      </c>
      <c r="BK66" s="56" t="s">
        <v>21</v>
      </c>
      <c r="BL66" s="268">
        <v>3</v>
      </c>
      <c r="BM66" s="268"/>
      <c r="BN66" s="45">
        <f t="shared" si="410"/>
        <v>1</v>
      </c>
      <c r="BO66" s="59"/>
      <c r="BP66" s="59"/>
      <c r="BR66" s="209"/>
      <c r="BS66" s="209"/>
      <c r="BT66" s="209" t="str">
        <f>$A66</f>
        <v>Los West Wind</v>
      </c>
      <c r="BU66" s="10"/>
      <c r="BV66" s="10">
        <f>IF(S66=0,0,S66*BV$9)</f>
        <v>15</v>
      </c>
      <c r="BW66" s="10"/>
      <c r="BX66" s="10"/>
      <c r="BY66" s="549"/>
      <c r="BZ66" s="10"/>
      <c r="CA66" s="10"/>
      <c r="CB66" s="209" t="str">
        <f>$A66</f>
        <v>Los West Wind</v>
      </c>
      <c r="CC66" s="10"/>
      <c r="CD66" s="10"/>
      <c r="CE66" s="10"/>
      <c r="CF66" s="10"/>
      <c r="CG66" s="10"/>
      <c r="CH66" s="10"/>
      <c r="CI66" s="10"/>
      <c r="CJ66" s="10"/>
      <c r="CK66" s="10"/>
      <c r="CL66" s="209"/>
      <c r="CM66" s="10"/>
      <c r="CN66" s="209" t="str">
        <f>$A66</f>
        <v>Los West Wind</v>
      </c>
      <c r="CO66" s="207"/>
      <c r="CP66" s="207"/>
      <c r="CQ66" s="116"/>
      <c r="CR66" s="207"/>
      <c r="CS66" s="203"/>
      <c r="CT66" s="203" t="s">
        <v>23</v>
      </c>
      <c r="CU66" s="107" t="str">
        <f t="shared" si="83"/>
        <v>-</v>
      </c>
      <c r="CV66" s="62" t="str">
        <f t="shared" si="13"/>
        <v>-</v>
      </c>
      <c r="CW66" s="62" t="str">
        <f t="shared" si="84"/>
        <v>-</v>
      </c>
      <c r="CX66" s="62" t="str">
        <f t="shared" si="15"/>
        <v>-</v>
      </c>
      <c r="CY66" s="107" t="str">
        <f t="shared" si="85"/>
        <v>-</v>
      </c>
      <c r="CZ66" s="168" t="str">
        <f t="shared" si="412"/>
        <v>-</v>
      </c>
      <c r="DA66" s="158"/>
      <c r="DB66" s="168" t="str">
        <f t="shared" si="413"/>
        <v>-</v>
      </c>
      <c r="DC66" s="160">
        <v>1.18</v>
      </c>
      <c r="DD66" s="190" t="s">
        <v>134</v>
      </c>
      <c r="DE66" s="29" t="s">
        <v>23</v>
      </c>
      <c r="DF66" s="29" t="s">
        <v>23</v>
      </c>
      <c r="DG66" s="29" t="s">
        <v>23</v>
      </c>
      <c r="DH66" s="149">
        <v>2022</v>
      </c>
      <c r="DI66" s="62" t="str">
        <f t="shared" si="88"/>
        <v>-</v>
      </c>
      <c r="DJ66" s="47">
        <f t="shared" si="89"/>
        <v>11.003236245954692</v>
      </c>
      <c r="DK66" s="48">
        <f t="shared" si="414"/>
        <v>0</v>
      </c>
      <c r="DM66" s="107" t="str">
        <f t="shared" si="381"/>
        <v>-</v>
      </c>
      <c r="DN66" s="141" t="str">
        <f t="shared" si="415"/>
        <v>-</v>
      </c>
      <c r="DO66" s="107" t="e">
        <f t="shared" si="416"/>
        <v>#REF!</v>
      </c>
      <c r="DP66" s="133" t="e">
        <f>IF(SeilBeregnet=0,#REF!,(SeilBeregnet^0.5/(Depl^0.3333))^DP$3*DP$7)</f>
        <v>#REF!</v>
      </c>
      <c r="DQ66" s="133" t="e">
        <f>IF(SeilBeregnet=0,#REF!,(SeilBeregnet^0.5/Lwl)^DQ$3*DQ$7)</f>
        <v>#REF!</v>
      </c>
      <c r="DR66" s="133" t="e">
        <f>IF(SeilBeregnet=0,#REF!,(0.1*Loa/Depl^0.3333)^DR$3*DR$7)</f>
        <v>#REF!</v>
      </c>
      <c r="DS66" s="133" t="e">
        <f>IF(SeilBeregnet=0,#REF!,((Loa)/Bredde)^DS$3*DS$7)</f>
        <v>#REF!</v>
      </c>
      <c r="DT66" s="107" t="e">
        <f>IF(SeilBeregnet=0,#REF!,(Lwl)^DT$3)</f>
        <v>#REF!</v>
      </c>
      <c r="DU66" s="133" t="e">
        <f>IF(SeilBeregnet=0,#REF!,(Dypg/Loa)^DU$3*5*DU$7)</f>
        <v>#REF!</v>
      </c>
      <c r="DW66" s="107" t="str">
        <f t="shared" si="247"/>
        <v>-</v>
      </c>
      <c r="DX66" s="107" t="str">
        <f t="shared" si="93"/>
        <v>-</v>
      </c>
      <c r="DZ66" s="107" t="str">
        <f t="shared" si="94"/>
        <v>-</v>
      </c>
      <c r="EA66" s="122" t="str">
        <f t="shared" si="418"/>
        <v>-</v>
      </c>
      <c r="EB66" s="107" t="str">
        <f t="shared" si="419"/>
        <v>-</v>
      </c>
      <c r="EC66" s="122" t="str">
        <f t="shared" si="420"/>
        <v>-</v>
      </c>
      <c r="ED66" s="107">
        <f>IF(SeilBeregnet=0,ED61,SeilBeregnet^0.5/Depl^0.33333)</f>
        <v>3.1933738145334689</v>
      </c>
      <c r="EE66" s="107">
        <f>IF(SeilBeregnet=0,EE61,Lwl^0.3333)</f>
        <v>2.2331959630580456</v>
      </c>
      <c r="EF66" s="107">
        <f>IF(SeilBeregnet=0,EF61,((Loa+Lwl)/Bredde)^EF$3)</f>
        <v>1.515560780855169</v>
      </c>
      <c r="EH66" s="107" t="str">
        <f t="shared" si="421"/>
        <v>-</v>
      </c>
      <c r="EJ66" s="107">
        <f>IF(SeilBeregnet=0,EJ61,SeilBeregnet^0.5/Depl^0.33333)</f>
        <v>3.1933738145334689</v>
      </c>
      <c r="EK66" s="107">
        <f>IF(SeilBeregnet=0,EK61,Lwl^EK$3)</f>
        <v>2.2333574652932007</v>
      </c>
      <c r="EL66" s="107">
        <f>IF(SeilBeregnet=0,EL61,((Loa+Lwl)/Bredde)^EL$3)</f>
        <v>1.7407660223285584</v>
      </c>
      <c r="EM66" s="107" t="str">
        <f t="shared" si="422"/>
        <v>-</v>
      </c>
      <c r="EO66" s="107">
        <f>IF(SeilBeregnet=0,EO61,(EP66*EQ66)^EO$3)</f>
        <v>4.8397521119167939</v>
      </c>
      <c r="EP66" s="107">
        <f>IF(SeilBeregnet=0,EP61,SeilBeregnet^0.5/Depl^0.33333)</f>
        <v>3.1933738145334689</v>
      </c>
      <c r="EQ66" s="107">
        <f>IF(SeilBeregnet=0,EQ61,((Loa+Lwl)/Bredde)^EQ$3)</f>
        <v>1.515560780855169</v>
      </c>
      <c r="ER66" s="107">
        <f>IF(SeilBeregnet=0,ER61,Lwl^ER$3)</f>
        <v>1.8269274352463283</v>
      </c>
      <c r="ES66" s="107" t="str">
        <f t="shared" si="382"/>
        <v>-</v>
      </c>
      <c r="EU66" s="107">
        <f>IF(SeilBeregnet=0,EU61,(EV:EV*EW:EW)^EU$3)</f>
        <v>1.7585011339690884</v>
      </c>
      <c r="EV66" s="107">
        <f>IF(SeilBeregnet=0,EV61,SeilBeregnet^0.5/Depl^0.33333)</f>
        <v>3.1933738145334689</v>
      </c>
      <c r="EW66" s="107">
        <f>IF(SeilBeregnet=0,EW61,((Loa+Lwl)/Bredde/6)^EW$3)</f>
        <v>0.96835710999350633</v>
      </c>
      <c r="EX66" s="107">
        <f>IF(SeilBeregnet=0,EX61,(Lwl*0.7+Loa*0.3)^EX$3)</f>
        <v>1.83511310912736</v>
      </c>
      <c r="EY66" s="107" t="str">
        <f t="shared" si="383"/>
        <v>-</v>
      </c>
      <c r="FA66" s="107">
        <f t="shared" si="371"/>
        <v>1.7585780992004432</v>
      </c>
      <c r="FB66" s="107">
        <f>IF(SeilBeregnet=0,FB61,SeilBeregnet^0.5/Depl^0.3333)</f>
        <v>3.1936533527472961</v>
      </c>
      <c r="FC66" s="107">
        <f>IF(SeilBeregnet=0,FC61,((Loa+Lwl)/Bredde/6)^FC$3)</f>
        <v>0.96835710999350633</v>
      </c>
      <c r="FD66" s="107">
        <f>IF(SeilBeregnet=0,FD61,(Lwl*0.7+Loa*0.3)^FD$3)</f>
        <v>1.83511310912736</v>
      </c>
      <c r="FE66" s="107" t="str">
        <f t="shared" si="384"/>
        <v>-</v>
      </c>
      <c r="FF66" s="141" t="str">
        <f t="shared" si="423"/>
        <v>-</v>
      </c>
      <c r="FG66" s="107">
        <f t="shared" si="372"/>
        <v>2.9947382264657882</v>
      </c>
      <c r="FH66" s="133">
        <f>IF(SeilBeregnet=0,FH61,(SeilBeregnet^0.5/(Depl^0.3333))^FH$3)</f>
        <v>3.1936533527472961</v>
      </c>
      <c r="FI66" s="133">
        <f>IF(SeilBeregnet=0,FI61,((Loa+Lwl)/Bredde/6)^FI$3)</f>
        <v>0.93771549247497576</v>
      </c>
      <c r="FJ66" s="107">
        <f>IF(SeilBeregnet=0,FJ61,(Lwl*0.07+Loa*0.03)^FJ$3)</f>
        <v>1.0319599376608612</v>
      </c>
      <c r="FK66" s="107" t="str">
        <f t="shared" si="385"/>
        <v>-</v>
      </c>
      <c r="FL66" s="141" t="str">
        <f t="shared" si="424"/>
        <v>-</v>
      </c>
      <c r="FM66" s="107">
        <f t="shared" si="373"/>
        <v>5.0995042548244225</v>
      </c>
      <c r="FN66" s="133">
        <f>IF(SeilBeregnet=0,FN61,(SeilBeregnet^0.5/(Depl^0.3333))^FN$3)</f>
        <v>3.1936533527472961</v>
      </c>
      <c r="FO66" s="133">
        <f>IF(SeilBeregnet=0,FO61,(SeilBeregnet^0.5/Lwl*FO$7)^FO$3)</f>
        <v>0.75814263641368351</v>
      </c>
      <c r="FP66" s="133">
        <f>IF(SeilBeregnet=0,FP61,((Loa)/Bredde)^FP$3*FP$7)</f>
        <v>1.6477082656634434</v>
      </c>
      <c r="FQ66" s="107">
        <f>IF(SeilBeregnet=0,FQ61,(Lwl)^FQ$3)</f>
        <v>1.8269274352463283</v>
      </c>
      <c r="FR66" s="107" t="str">
        <f t="shared" si="386"/>
        <v>-</v>
      </c>
      <c r="FS66" s="141" t="str">
        <f t="shared" si="425"/>
        <v>-</v>
      </c>
      <c r="FT66" s="107">
        <f t="shared" si="374"/>
        <v>5.2622090269854889</v>
      </c>
      <c r="FU66" s="133">
        <f>IF(SeilBeregnet=0,FU61,(SeilBeregnet^0.5/(Depl^0.3333))^FU$3)</f>
        <v>3.1936533527472961</v>
      </c>
      <c r="FV66" s="133">
        <f>IF(SeilBeregnet=0,FV61,(Loa/Bredde)^FV$3)</f>
        <v>1.6477082656634434</v>
      </c>
      <c r="FW66" s="107">
        <f>IF(SeilBeregnet=0,FW61,Lwl^FW$3)</f>
        <v>1.8269274352463283</v>
      </c>
      <c r="FY66">
        <v>0.95</v>
      </c>
      <c r="FZ66" s="62" t="str">
        <f t="shared" si="48"/>
        <v>-</v>
      </c>
      <c r="GA66" s="62">
        <f t="shared" si="49"/>
        <v>1.9157559599542351</v>
      </c>
      <c r="GB66" s="107" t="str">
        <f t="shared" si="50"/>
        <v>-</v>
      </c>
      <c r="GC66" s="441"/>
      <c r="GD66" s="57" t="s">
        <v>1026</v>
      </c>
      <c r="GE66" s="436"/>
      <c r="GF66" s="75"/>
      <c r="GG66" s="57"/>
      <c r="GH66" s="57" t="s">
        <v>864</v>
      </c>
      <c r="GI66" s="57" t="s">
        <v>416</v>
      </c>
      <c r="GJ66" s="57"/>
      <c r="GL66" s="57" t="s">
        <v>478</v>
      </c>
      <c r="GM66" s="436" t="s">
        <v>478</v>
      </c>
      <c r="GN66" s="58" t="s">
        <v>478</v>
      </c>
      <c r="GO66" s="58" t="s">
        <v>478</v>
      </c>
      <c r="GP66" s="58" t="s">
        <v>478</v>
      </c>
      <c r="GQ66" s="58" t="s">
        <v>478</v>
      </c>
      <c r="GS66" s="57" t="s">
        <v>470</v>
      </c>
      <c r="GT66" s="57" t="s">
        <v>860</v>
      </c>
      <c r="GU66" s="57" t="s">
        <v>465</v>
      </c>
      <c r="GV66" s="632" t="s">
        <v>465</v>
      </c>
      <c r="GW66" s="57">
        <v>1889</v>
      </c>
      <c r="GX66" s="57" t="s">
        <v>431</v>
      </c>
      <c r="GY66" s="57" t="s">
        <v>438</v>
      </c>
      <c r="GZ66" s="57" t="s">
        <v>930</v>
      </c>
    </row>
    <row r="67" spans="1:208" ht="15.6" x14ac:dyDescent="0.3">
      <c r="A67" s="60" t="s">
        <v>115</v>
      </c>
      <c r="B67" s="218"/>
      <c r="C67" s="61" t="str">
        <f>C66</f>
        <v>Gaffel</v>
      </c>
      <c r="D67" s="61"/>
      <c r="E67" s="61"/>
      <c r="F67" s="61"/>
      <c r="G67" s="54"/>
      <c r="H67" s="204">
        <f>TBFavrundet</f>
        <v>113.5</v>
      </c>
      <c r="I67" s="63">
        <f>COUNTA(O67:AG67)</f>
        <v>4</v>
      </c>
      <c r="J67" s="222">
        <f>SUM(O67:AG67)</f>
        <v>80.3</v>
      </c>
      <c r="K67" s="116">
        <f>Seilareal/Depl^0.667/K$7</f>
        <v>1.344840866370417</v>
      </c>
      <c r="L67" s="116">
        <f>Seilareal/Lwl/Lwl/L$7</f>
        <v>1.105131405786987</v>
      </c>
      <c r="M67" s="92">
        <f>RiggF</f>
        <v>0.75093399750934009</v>
      </c>
      <c r="N67" s="242">
        <f>StHfaktor</f>
        <v>0.99540289999727238</v>
      </c>
      <c r="O67" s="143"/>
      <c r="P67" s="143"/>
      <c r="Q67" s="143"/>
      <c r="R67" s="143"/>
      <c r="S67" s="165">
        <v>15</v>
      </c>
      <c r="T67" s="143"/>
      <c r="U67" s="165">
        <v>18</v>
      </c>
      <c r="V67" s="559"/>
      <c r="W67" s="559"/>
      <c r="X67" s="165">
        <v>39.700000000000003</v>
      </c>
      <c r="Y67" s="143"/>
      <c r="Z67" s="143"/>
      <c r="AA67" s="165">
        <v>7.6</v>
      </c>
      <c r="AB67" s="143"/>
      <c r="AC67" s="143"/>
      <c r="AD67" s="143"/>
      <c r="AE67" s="143"/>
      <c r="AF67" s="143"/>
      <c r="AG67" s="551"/>
      <c r="AH67" s="557"/>
      <c r="AI67" s="557">
        <f t="shared" ref="AI67" si="552">AI66</f>
        <v>10.119999999999999</v>
      </c>
      <c r="AJ67" s="337">
        <f xml:space="preserve"> AJ66</f>
        <v>0</v>
      </c>
      <c r="AK67" s="339"/>
      <c r="AL67" s="337">
        <f xml:space="preserve"> AL66</f>
        <v>0</v>
      </c>
      <c r="AM67" s="339"/>
      <c r="AN67" s="267" t="str">
        <f t="shared" ref="AN67" si="553" xml:space="preserve"> AN66</f>
        <v>Los</v>
      </c>
      <c r="AO67" s="45">
        <f>VLOOKUP(AN67,Skrogform!$1:$1048576,3,FALSE)</f>
        <v>0.97</v>
      </c>
      <c r="AP67" s="64">
        <f t="shared" ref="AP67:AZ67" si="554">AP66</f>
        <v>11.58</v>
      </c>
      <c r="AQ67" s="64">
        <f t="shared" si="554"/>
        <v>10.5</v>
      </c>
      <c r="AR67" s="64">
        <f t="shared" si="554"/>
        <v>3.95</v>
      </c>
      <c r="AS67" s="64">
        <f t="shared" si="554"/>
        <v>1.7</v>
      </c>
      <c r="AT67" s="64">
        <f t="shared" ref="AT67" si="555">AT66</f>
        <v>13</v>
      </c>
      <c r="AU67" s="64">
        <f t="shared" si="554"/>
        <v>13</v>
      </c>
      <c r="AV67" s="64">
        <f t="shared" si="554"/>
        <v>2</v>
      </c>
      <c r="AW67" s="64">
        <f t="shared" si="554"/>
        <v>2</v>
      </c>
      <c r="AX67" s="256">
        <f>AX66</f>
        <v>0</v>
      </c>
      <c r="AY67" s="256">
        <f t="shared" si="554"/>
        <v>0</v>
      </c>
      <c r="AZ67" s="256">
        <f t="shared" si="554"/>
        <v>350</v>
      </c>
      <c r="BA67" s="256">
        <f t="shared" ref="BA67:BB67" si="556">BA66</f>
        <v>0</v>
      </c>
      <c r="BB67" s="256">
        <f t="shared" si="556"/>
        <v>0</v>
      </c>
      <c r="BC67" s="256"/>
      <c r="BD67" s="66"/>
      <c r="BE67" s="66"/>
      <c r="BF67" s="261"/>
      <c r="BG67" s="66"/>
      <c r="BH67" s="175"/>
      <c r="BI67" s="66"/>
      <c r="BJ67" s="66"/>
      <c r="BK67" s="65" t="str">
        <f t="shared" ref="BK67:BM67" si="557" xml:space="preserve"> BK66</f>
        <v>Seilrett</v>
      </c>
      <c r="BL67" s="267">
        <f t="shared" si="557"/>
        <v>3</v>
      </c>
      <c r="BM67" s="267">
        <f t="shared" si="557"/>
        <v>0</v>
      </c>
      <c r="BN67" s="45">
        <f t="shared" si="410"/>
        <v>1</v>
      </c>
      <c r="BO67" s="59"/>
      <c r="BP67" s="59"/>
      <c r="BR67" s="49">
        <f t="shared" ref="BR67:BU70" si="558">IF(O67=0,0,O67*BR$9)</f>
        <v>0</v>
      </c>
      <c r="BS67" s="49">
        <f t="shared" si="558"/>
        <v>0</v>
      </c>
      <c r="BT67" s="49">
        <f t="shared" si="558"/>
        <v>0</v>
      </c>
      <c r="BU67" s="49">
        <f t="shared" si="558"/>
        <v>0</v>
      </c>
      <c r="BV67" s="49">
        <f>IF(S67=0,0,S67*BV$9)</f>
        <v>15</v>
      </c>
      <c r="BW67" s="49">
        <f t="shared" ref="BW67:BX70" si="559">IF(T67=0,0,T67*BW$9)</f>
        <v>0</v>
      </c>
      <c r="BX67" s="49">
        <f t="shared" si="559"/>
        <v>18</v>
      </c>
      <c r="BY67" s="549">
        <f>IF(COUNT(Q67:U67)&gt;1,MINA(Q67:U67)*BY$9,0)</f>
        <v>-7.5</v>
      </c>
      <c r="BZ67" s="85">
        <f t="shared" ref="BZ67:CD70" si="560">IF(V67=0,0,V67*BZ$9)</f>
        <v>0</v>
      </c>
      <c r="CA67" s="85">
        <f t="shared" si="560"/>
        <v>0</v>
      </c>
      <c r="CB67" s="85">
        <f t="shared" si="560"/>
        <v>31.760000000000005</v>
      </c>
      <c r="CC67" s="85">
        <f t="shared" si="560"/>
        <v>0</v>
      </c>
      <c r="CD67" s="85">
        <f t="shared" si="560"/>
        <v>0</v>
      </c>
      <c r="CE67" s="85">
        <f>IF(AC67=0,0,AC67*CE$9)</f>
        <v>0</v>
      </c>
      <c r="CF67" s="85">
        <f t="shared" ref="CF67:CG70" si="561">IF(AA67=0,0,AA67*CF$9)</f>
        <v>3.04</v>
      </c>
      <c r="CG67" s="85">
        <f t="shared" si="561"/>
        <v>0</v>
      </c>
      <c r="CH67" s="85">
        <f t="shared" ref="CH67:CK70" si="562">IF(AD67=0,0,AD67*CH$9)</f>
        <v>0</v>
      </c>
      <c r="CI67" s="85">
        <f t="shared" si="562"/>
        <v>0</v>
      </c>
      <c r="CJ67" s="85">
        <f t="shared" si="562"/>
        <v>0</v>
      </c>
      <c r="CK67" s="85">
        <f t="shared" si="562"/>
        <v>0</v>
      </c>
      <c r="CL67" s="100">
        <f>SUM(BR67:CK67)</f>
        <v>60.300000000000004</v>
      </c>
      <c r="CM67" s="50"/>
      <c r="CN67" s="104">
        <f>J67</f>
        <v>80.3</v>
      </c>
      <c r="CO67" s="101">
        <f>CL67/CN67</f>
        <v>0.75093399750934009</v>
      </c>
      <c r="CP67" s="51">
        <f>Seilareal/Lwl/Lwl</f>
        <v>0.72834467120181401</v>
      </c>
      <c r="CQ67" s="116">
        <f>Seilareal/Depl^0.667/K$7</f>
        <v>1.344840866370417</v>
      </c>
      <c r="CR67" s="51">
        <f>Seilareal/Lwl/Lwl/SApRS1</f>
        <v>1.105131405786987</v>
      </c>
      <c r="CS67" s="204"/>
      <c r="CT67" s="204">
        <f>(ROUND(TBF/CT$6,3)*CT$6)*CT$4</f>
        <v>113.5</v>
      </c>
      <c r="CU67" s="107">
        <f t="shared" si="83"/>
        <v>1.1348459038680676</v>
      </c>
      <c r="CV67" s="62">
        <f t="shared" si="13"/>
        <v>3.2706412813047909</v>
      </c>
      <c r="CW67" s="62">
        <f t="shared" si="84"/>
        <v>1.6718064208695813</v>
      </c>
      <c r="CX67" s="62">
        <f t="shared" si="15"/>
        <v>1.800102871839254</v>
      </c>
      <c r="CY67" s="107">
        <f t="shared" si="85"/>
        <v>0.99540289999727238</v>
      </c>
      <c r="CZ67" s="168" t="str">
        <f t="shared" si="412"/>
        <v>-</v>
      </c>
      <c r="DA67" s="159">
        <f>DA66</f>
        <v>0</v>
      </c>
      <c r="DB67" s="168">
        <f t="shared" si="413"/>
        <v>1.0971929824561404</v>
      </c>
      <c r="DC67" s="159">
        <f>DC66</f>
        <v>1.18</v>
      </c>
      <c r="DD67" s="190" t="s">
        <v>134</v>
      </c>
      <c r="DE67" s="62">
        <v>0.9</v>
      </c>
      <c r="DF67" s="62">
        <v>0.88</v>
      </c>
      <c r="DG67" s="62">
        <v>0.92</v>
      </c>
      <c r="DH67" s="150" t="s">
        <v>102</v>
      </c>
      <c r="DI67" s="62">
        <f t="shared" si="88"/>
        <v>1.9315295957092926</v>
      </c>
      <c r="DJ67" s="47">
        <f t="shared" si="89"/>
        <v>11.003236245954692</v>
      </c>
      <c r="DK67" s="48">
        <f t="shared" si="414"/>
        <v>0</v>
      </c>
      <c r="DM67" s="107">
        <f t="shared" si="381"/>
        <v>1.1194114680889173</v>
      </c>
      <c r="DN67" s="141" t="str">
        <f t="shared" si="415"/>
        <v>-</v>
      </c>
      <c r="DO67" s="107">
        <f t="shared" si="416"/>
        <v>5.0149977429917092</v>
      </c>
      <c r="DP67" s="133">
        <f>IF(SeilBeregnet=0,DP66,(SeilBeregnet^0.5/(Depl^0.3333))^DP$3*DP$7)</f>
        <v>3.3027928575821819</v>
      </c>
      <c r="DQ67" s="133">
        <f>IF(SeilBeregnet=0,DQ66,(SeilBeregnet^0.5/Lwl)^DQ$3*DQ$7)</f>
        <v>0</v>
      </c>
      <c r="DR67" s="133">
        <f>IF(SeilBeregnet=0,DR66,(0.1*Loa/Depl^0.3333)^DR$3*DR$7)</f>
        <v>0</v>
      </c>
      <c r="DS67" s="133">
        <f>IF(SeilBeregnet=0,DS66,((Loa)/Bredde)^DS$3*DS$7)</f>
        <v>1.7122048854095275</v>
      </c>
      <c r="DT67" s="107">
        <f>IF(SeilBeregnet=0,DT66,(Lwl)^DT$3)</f>
        <v>1.800102871839254</v>
      </c>
      <c r="DU67" s="133">
        <f>IF(SeilBeregnet=0,DU66,(Dypg/Loa)^DU$3*5*DU$7)</f>
        <v>1.9157559599542351</v>
      </c>
      <c r="DW67" s="107">
        <f t="shared" si="247"/>
        <v>1.1699442307918224</v>
      </c>
      <c r="DX67" s="107">
        <f t="shared" si="93"/>
        <v>1.090374445964809</v>
      </c>
      <c r="DZ67" s="107">
        <f t="shared" si="94"/>
        <v>1.0806409137782984</v>
      </c>
      <c r="EA67" s="122" t="str">
        <f t="shared" si="418"/>
        <v>-</v>
      </c>
      <c r="EB67" s="107">
        <f t="shared" si="419"/>
        <v>1.1443358673810837</v>
      </c>
      <c r="EC67" s="122" t="str">
        <f t="shared" si="420"/>
        <v>-</v>
      </c>
      <c r="ED67" s="107">
        <f t="shared" si="464"/>
        <v>3.3025387224674261</v>
      </c>
      <c r="EE67" s="107">
        <f t="shared" si="465"/>
        <v>2.1895879451208748</v>
      </c>
      <c r="EF67" s="107">
        <f t="shared" si="466"/>
        <v>1.5376252189841919</v>
      </c>
      <c r="EH67" s="107">
        <f t="shared" si="421"/>
        <v>1.134208638996743</v>
      </c>
      <c r="EJ67" s="107">
        <f t="shared" si="467"/>
        <v>3.3025387224674261</v>
      </c>
      <c r="EK67" s="107">
        <f t="shared" si="468"/>
        <v>2.1897424068563001</v>
      </c>
      <c r="EL67" s="107">
        <f t="shared" si="469"/>
        <v>1.7746351436830421</v>
      </c>
      <c r="EM67" s="107">
        <f t="shared" si="422"/>
        <v>1.1356424597271373</v>
      </c>
      <c r="EO67" s="107">
        <f t="shared" si="470"/>
        <v>5.0780668263377491</v>
      </c>
      <c r="EP67" s="107">
        <f t="shared" si="471"/>
        <v>3.3025387224674261</v>
      </c>
      <c r="EQ67" s="107">
        <f t="shared" si="472"/>
        <v>1.5376252189841919</v>
      </c>
      <c r="ER67" s="107">
        <f t="shared" si="473"/>
        <v>1.800102871839254</v>
      </c>
      <c r="ES67" s="107">
        <f t="shared" si="382"/>
        <v>1.1356891348219897</v>
      </c>
      <c r="EU67" s="107">
        <f>IF(SeilBeregnet=0,EU66,(EV:EV*EW:EW)^EU$3)</f>
        <v>1.8012761536172788</v>
      </c>
      <c r="EV67" s="107">
        <f t="shared" si="475"/>
        <v>3.3025387224674261</v>
      </c>
      <c r="EW67" s="107">
        <f t="shared" si="476"/>
        <v>0.98245503058511408</v>
      </c>
      <c r="EX67" s="107">
        <f t="shared" si="477"/>
        <v>1.813831525361854</v>
      </c>
      <c r="EY67" s="107">
        <f t="shared" si="383"/>
        <v>1.0986470006663211</v>
      </c>
      <c r="FA67" s="107">
        <f t="shared" si="371"/>
        <v>1.8013454576821735</v>
      </c>
      <c r="FB67" s="107">
        <f t="shared" si="478"/>
        <v>3.3027928575821819</v>
      </c>
      <c r="FC67" s="107">
        <f t="shared" si="479"/>
        <v>0.98245503058511408</v>
      </c>
      <c r="FD67" s="107">
        <f t="shared" si="480"/>
        <v>1.813831525361854</v>
      </c>
      <c r="FE67" s="107">
        <f t="shared" si="384"/>
        <v>1.111243083925828</v>
      </c>
      <c r="FF67" s="141" t="str">
        <f t="shared" si="423"/>
        <v>-</v>
      </c>
      <c r="FG67" s="107">
        <f t="shared" si="372"/>
        <v>3.1879147435970983</v>
      </c>
      <c r="FH67" s="133">
        <f t="shared" si="481"/>
        <v>3.3027928575821819</v>
      </c>
      <c r="FI67" s="133">
        <f t="shared" si="482"/>
        <v>0.96521788712199752</v>
      </c>
      <c r="FJ67" s="107">
        <f t="shared" si="483"/>
        <v>1.0199924236440172</v>
      </c>
      <c r="FK67" s="107">
        <f t="shared" si="385"/>
        <v>1.1255891136924421</v>
      </c>
      <c r="FL67" s="141" t="str">
        <f t="shared" si="424"/>
        <v>-</v>
      </c>
      <c r="FM67" s="107">
        <f t="shared" si="373"/>
        <v>5.2545508347371257</v>
      </c>
      <c r="FN67" s="133">
        <f t="shared" si="484"/>
        <v>3.3027928575821819</v>
      </c>
      <c r="FO67" s="133">
        <f t="shared" si="485"/>
        <v>0.73955309174541628</v>
      </c>
      <c r="FP67" s="133">
        <f t="shared" si="486"/>
        <v>1.7122048854095275</v>
      </c>
      <c r="FQ67" s="107">
        <f t="shared" si="487"/>
        <v>1.800102871839254</v>
      </c>
      <c r="FR67" s="107">
        <f t="shared" si="386"/>
        <v>1.112326256180967</v>
      </c>
      <c r="FS67" s="141" t="str">
        <f t="shared" si="425"/>
        <v>-</v>
      </c>
      <c r="FT67" s="107">
        <f t="shared" si="374"/>
        <v>5.6550580662479053</v>
      </c>
      <c r="FU67" s="133">
        <f t="shared" si="488"/>
        <v>3.3027928575821819</v>
      </c>
      <c r="FV67" s="133">
        <f t="shared" si="489"/>
        <v>1.7122048854095275</v>
      </c>
      <c r="FW67" s="107">
        <f t="shared" si="490"/>
        <v>1.800102871839254</v>
      </c>
      <c r="FY67">
        <v>0.95</v>
      </c>
      <c r="FZ67" s="62">
        <f t="shared" si="48"/>
        <v>1.1085061032864771</v>
      </c>
      <c r="GA67" s="62">
        <f t="shared" si="49"/>
        <v>1.9157559599542351</v>
      </c>
      <c r="GB67" s="107">
        <f t="shared" si="50"/>
        <v>1.2197045416425709</v>
      </c>
      <c r="GC67" s="440"/>
      <c r="GD67" s="17"/>
      <c r="GE67" s="442"/>
      <c r="GF67" s="462"/>
      <c r="GG67" s="17"/>
      <c r="GH67" s="17"/>
      <c r="GI67" s="17"/>
      <c r="GJ67" s="17"/>
      <c r="GL67" s="17"/>
      <c r="GM67" s="442"/>
      <c r="GN67" s="8"/>
      <c r="GO67" s="8"/>
      <c r="GP67" s="8"/>
      <c r="GQ67" s="8"/>
      <c r="GS67" s="17"/>
      <c r="GT67" s="17"/>
      <c r="GU67" s="17"/>
      <c r="GV67" s="629"/>
      <c r="GW67" s="17"/>
      <c r="GX67" s="17"/>
      <c r="GY67" s="17"/>
      <c r="GZ67" s="17"/>
    </row>
    <row r="68" spans="1:208" ht="15.6" x14ac:dyDescent="0.3">
      <c r="A68" s="60" t="s">
        <v>110</v>
      </c>
      <c r="B68" s="218"/>
      <c r="C68" s="14" t="str">
        <f>C66</f>
        <v>Gaffel</v>
      </c>
      <c r="G68" s="54"/>
      <c r="H68" s="204">
        <f>TBFavrundet</f>
        <v>111.5</v>
      </c>
      <c r="I68" s="63">
        <f>COUNTA(O68:AG68)</f>
        <v>3</v>
      </c>
      <c r="J68" s="222">
        <f>SUM(O68:AG68)</f>
        <v>72.7</v>
      </c>
      <c r="K68" s="116">
        <f>Seilareal/Depl^0.667/K$7</f>
        <v>1.2175582937126939</v>
      </c>
      <c r="L68" s="116">
        <f>Seilareal/Lwl/Lwl/L$7</f>
        <v>1.0005361544298128</v>
      </c>
      <c r="M68" s="92">
        <f>RiggF</f>
        <v>0.78762035763411287</v>
      </c>
      <c r="N68" s="242">
        <f>StHfaktor</f>
        <v>0.99540289999727238</v>
      </c>
      <c r="O68" s="143"/>
      <c r="P68" s="143"/>
      <c r="Q68" s="143"/>
      <c r="R68" s="143"/>
      <c r="S68" s="165">
        <v>15</v>
      </c>
      <c r="T68" s="143"/>
      <c r="U68" s="165">
        <v>18</v>
      </c>
      <c r="V68" s="559"/>
      <c r="W68" s="559"/>
      <c r="X68" s="165">
        <v>39.700000000000003</v>
      </c>
      <c r="Y68" s="143"/>
      <c r="Z68" s="143"/>
      <c r="AA68" s="143"/>
      <c r="AB68" s="143"/>
      <c r="AC68" s="143"/>
      <c r="AD68" s="143"/>
      <c r="AE68" s="143"/>
      <c r="AF68" s="143"/>
      <c r="AG68" s="551"/>
      <c r="AH68" s="557"/>
      <c r="AI68" s="557">
        <f t="shared" ref="AI68" si="563">AI67</f>
        <v>10.119999999999999</v>
      </c>
      <c r="AJ68" s="337">
        <f xml:space="preserve"> AJ67</f>
        <v>0</v>
      </c>
      <c r="AK68" s="339"/>
      <c r="AL68" s="337">
        <f xml:space="preserve"> AL67</f>
        <v>0</v>
      </c>
      <c r="AM68" s="339"/>
      <c r="AN68" s="267" t="str">
        <f t="shared" ref="AN68" si="564" xml:space="preserve"> AN67</f>
        <v>Los</v>
      </c>
      <c r="AO68" s="45">
        <f>VLOOKUP(AN68,Skrogform!$1:$1048576,3,FALSE)</f>
        <v>0.97</v>
      </c>
      <c r="AP68" s="64">
        <f t="shared" ref="AP68:AZ68" si="565">AP67</f>
        <v>11.58</v>
      </c>
      <c r="AQ68" s="64">
        <f t="shared" si="565"/>
        <v>10.5</v>
      </c>
      <c r="AR68" s="64">
        <f t="shared" si="565"/>
        <v>3.95</v>
      </c>
      <c r="AS68" s="64">
        <f t="shared" si="565"/>
        <v>1.7</v>
      </c>
      <c r="AT68" s="64">
        <f t="shared" ref="AT68" si="566">AT67</f>
        <v>13</v>
      </c>
      <c r="AU68" s="64">
        <f t="shared" si="565"/>
        <v>13</v>
      </c>
      <c r="AV68" s="64">
        <f t="shared" si="565"/>
        <v>2</v>
      </c>
      <c r="AW68" s="64">
        <f t="shared" si="565"/>
        <v>2</v>
      </c>
      <c r="AX68" s="256">
        <f>AX67</f>
        <v>0</v>
      </c>
      <c r="AY68" s="256">
        <f t="shared" si="565"/>
        <v>0</v>
      </c>
      <c r="AZ68" s="256">
        <f t="shared" si="565"/>
        <v>350</v>
      </c>
      <c r="BA68" s="256">
        <f t="shared" ref="BA68:BB68" si="567">BA67</f>
        <v>0</v>
      </c>
      <c r="BB68" s="256">
        <f t="shared" si="567"/>
        <v>0</v>
      </c>
      <c r="BC68" s="256"/>
      <c r="BD68" s="66"/>
      <c r="BE68" s="66"/>
      <c r="BF68" s="261"/>
      <c r="BG68" s="66"/>
      <c r="BH68" s="175"/>
      <c r="BI68" s="66"/>
      <c r="BJ68" s="66"/>
      <c r="BK68" s="65" t="str">
        <f t="shared" ref="BK68:BM68" si="568" xml:space="preserve"> BK67</f>
        <v>Seilrett</v>
      </c>
      <c r="BL68" s="267">
        <f t="shared" si="568"/>
        <v>3</v>
      </c>
      <c r="BM68" s="267">
        <f t="shared" si="568"/>
        <v>0</v>
      </c>
      <c r="BN68" s="45">
        <f t="shared" si="410"/>
        <v>1</v>
      </c>
      <c r="BO68" s="59"/>
      <c r="BP68" s="59"/>
      <c r="BR68" s="49">
        <f t="shared" si="558"/>
        <v>0</v>
      </c>
      <c r="BS68" s="49">
        <f t="shared" si="558"/>
        <v>0</v>
      </c>
      <c r="BT68" s="49">
        <f t="shared" si="558"/>
        <v>0</v>
      </c>
      <c r="BU68" s="49">
        <f t="shared" si="558"/>
        <v>0</v>
      </c>
      <c r="BV68" s="49">
        <f>IF(S68=0,0,S68*BV$9)</f>
        <v>15</v>
      </c>
      <c r="BW68" s="49">
        <f t="shared" si="559"/>
        <v>0</v>
      </c>
      <c r="BX68" s="49">
        <f t="shared" si="559"/>
        <v>18</v>
      </c>
      <c r="BY68" s="549">
        <f>IF(COUNT(Q68:U68)&gt;1,MINA(Q68:U68)*BY$9,0)</f>
        <v>-7.5</v>
      </c>
      <c r="BZ68" s="85">
        <f t="shared" si="560"/>
        <v>0</v>
      </c>
      <c r="CA68" s="85">
        <f t="shared" si="560"/>
        <v>0</v>
      </c>
      <c r="CB68" s="85">
        <f t="shared" si="560"/>
        <v>31.760000000000005</v>
      </c>
      <c r="CC68" s="85">
        <f t="shared" si="560"/>
        <v>0</v>
      </c>
      <c r="CD68" s="85">
        <f t="shared" si="560"/>
        <v>0</v>
      </c>
      <c r="CE68" s="85">
        <f>IF(AC68=0,0,AC68*CE$9)</f>
        <v>0</v>
      </c>
      <c r="CF68" s="85">
        <f t="shared" si="561"/>
        <v>0</v>
      </c>
      <c r="CG68" s="85">
        <f t="shared" si="561"/>
        <v>0</v>
      </c>
      <c r="CH68" s="85">
        <f t="shared" si="562"/>
        <v>0</v>
      </c>
      <c r="CI68" s="85">
        <f t="shared" si="562"/>
        <v>0</v>
      </c>
      <c r="CJ68" s="85">
        <f t="shared" si="562"/>
        <v>0</v>
      </c>
      <c r="CK68" s="85">
        <f t="shared" si="562"/>
        <v>0</v>
      </c>
      <c r="CL68" s="100">
        <f>SUM(BR68:CK68)</f>
        <v>57.260000000000005</v>
      </c>
      <c r="CM68" s="50"/>
      <c r="CN68" s="104">
        <f>J68</f>
        <v>72.7</v>
      </c>
      <c r="CO68" s="101">
        <f>CL68/CN68</f>
        <v>0.78762035763411287</v>
      </c>
      <c r="CP68" s="51">
        <f>Seilareal/Lwl/Lwl</f>
        <v>0.6594104308390023</v>
      </c>
      <c r="CQ68" s="116">
        <f>Seilareal/Depl^0.667/K$7</f>
        <v>1.2175582937126939</v>
      </c>
      <c r="CR68" s="51">
        <f>Seilareal/Lwl/Lwl/SApRS1</f>
        <v>1.0005361544298128</v>
      </c>
      <c r="CS68" s="204"/>
      <c r="CT68" s="204">
        <f>(ROUND(TBF/CT$6,3)*CT$6)*CT$4</f>
        <v>111.5</v>
      </c>
      <c r="CU68" s="107">
        <f t="shared" si="83"/>
        <v>1.1156709566439122</v>
      </c>
      <c r="CV68" s="62">
        <f t="shared" si="13"/>
        <v>3.1871311117528567</v>
      </c>
      <c r="CW68" s="62">
        <f t="shared" si="84"/>
        <v>1.6718064208695813</v>
      </c>
      <c r="CX68" s="62">
        <f t="shared" si="15"/>
        <v>1.800102871839254</v>
      </c>
      <c r="CY68" s="107">
        <f t="shared" si="85"/>
        <v>0.99540289999727238</v>
      </c>
      <c r="CZ68" s="168" t="str">
        <f t="shared" si="412"/>
        <v>-</v>
      </c>
      <c r="DA68" s="158"/>
      <c r="DB68" s="168" t="str">
        <f t="shared" si="413"/>
        <v>-</v>
      </c>
      <c r="DC68" s="160"/>
      <c r="DD68" s="190" t="s">
        <v>134</v>
      </c>
      <c r="DE68" s="62">
        <v>0.88</v>
      </c>
      <c r="DF68" s="62">
        <v>0.87</v>
      </c>
      <c r="DG68" s="62">
        <v>0.9</v>
      </c>
      <c r="DH68" s="150" t="s">
        <v>102</v>
      </c>
      <c r="DI68" s="62">
        <f t="shared" si="88"/>
        <v>1.9315295957092926</v>
      </c>
      <c r="DJ68" s="47">
        <f t="shared" si="89"/>
        <v>11.003236245954692</v>
      </c>
      <c r="DK68" s="48">
        <f t="shared" si="414"/>
        <v>0</v>
      </c>
      <c r="DM68" s="107">
        <f t="shared" si="381"/>
        <v>1.1005876898376707</v>
      </c>
      <c r="DN68" s="141" t="str">
        <f t="shared" si="415"/>
        <v>-</v>
      </c>
      <c r="DO68" s="107">
        <f t="shared" si="416"/>
        <v>4.9306666385357749</v>
      </c>
      <c r="DP68" s="133">
        <f>IF(SeilBeregnet=0,DP67,(SeilBeregnet^0.5/(Depl^0.3333))^DP$3*DP$7)</f>
        <v>3.2184617531262476</v>
      </c>
      <c r="DQ68" s="133">
        <f>IF(SeilBeregnet=0,DQ67,(SeilBeregnet^0.5/Lwl)^DQ$3*DQ$7)</f>
        <v>0</v>
      </c>
      <c r="DR68" s="133">
        <f>IF(SeilBeregnet=0,DR67,(0.1*Loa/Depl^0.3333)^DR$3*DR$7)</f>
        <v>0</v>
      </c>
      <c r="DS68" s="133">
        <f>IF(SeilBeregnet=0,DS67,((Loa)/Bredde)^DS$3*DS$7)</f>
        <v>1.7122048854095275</v>
      </c>
      <c r="DT68" s="107">
        <f>IF(SeilBeregnet=0,DT67,(Lwl)^DT$3)</f>
        <v>1.800102871839254</v>
      </c>
      <c r="DU68" s="133">
        <f>IF(SeilBeregnet=0,DU67,(Dypg/Loa)^DU$3*5*DU$7)</f>
        <v>1.9157559599542351</v>
      </c>
      <c r="DW68" s="107">
        <f t="shared" si="247"/>
        <v>1.1501762439627965</v>
      </c>
      <c r="DX68" s="107">
        <f t="shared" si="93"/>
        <v>1.0687704458956697</v>
      </c>
      <c r="DZ68" s="107">
        <f t="shared" si="94"/>
        <v>1.0636074785049359</v>
      </c>
      <c r="EA68" s="122" t="str">
        <f t="shared" si="418"/>
        <v>-</v>
      </c>
      <c r="EB68" s="107">
        <f t="shared" si="419"/>
        <v>1.1222636389459981</v>
      </c>
      <c r="EC68" s="122" t="str">
        <f t="shared" si="420"/>
        <v>-</v>
      </c>
      <c r="ED68" s="107">
        <f t="shared" si="464"/>
        <v>3.2182141069121988</v>
      </c>
      <c r="EE68" s="107">
        <f t="shared" si="465"/>
        <v>2.1895879451208748</v>
      </c>
      <c r="EF68" s="107">
        <f t="shared" si="466"/>
        <v>1.5376252189841919</v>
      </c>
      <c r="EH68" s="107">
        <f t="shared" si="421"/>
        <v>1.1144746425723733</v>
      </c>
      <c r="EJ68" s="107">
        <f t="shared" si="467"/>
        <v>3.2182141069121988</v>
      </c>
      <c r="EK68" s="107">
        <f t="shared" si="468"/>
        <v>2.1897424068563001</v>
      </c>
      <c r="EL68" s="107">
        <f t="shared" si="469"/>
        <v>1.7746351436830421</v>
      </c>
      <c r="EM68" s="107">
        <f t="shared" si="422"/>
        <v>1.1148391791612113</v>
      </c>
      <c r="EO68" s="107">
        <f t="shared" si="470"/>
        <v>4.9484071708788848</v>
      </c>
      <c r="EP68" s="107">
        <f t="shared" si="471"/>
        <v>3.2182141069121988</v>
      </c>
      <c r="EQ68" s="107">
        <f t="shared" si="472"/>
        <v>1.5376252189841919</v>
      </c>
      <c r="ER68" s="107">
        <f t="shared" si="473"/>
        <v>1.800102871839254</v>
      </c>
      <c r="ES68" s="107">
        <f t="shared" si="382"/>
        <v>1.1154893882045636</v>
      </c>
      <c r="EU68" s="107">
        <f>IF(SeilBeregnet=0,EU67,(EV:EV*EW:EW)^EU$3)</f>
        <v>1.778131220927148</v>
      </c>
      <c r="EV68" s="107">
        <f t="shared" si="475"/>
        <v>3.2182141069121988</v>
      </c>
      <c r="EW68" s="107">
        <f t="shared" si="476"/>
        <v>0.98245503058511408</v>
      </c>
      <c r="EX68" s="107">
        <f t="shared" si="477"/>
        <v>1.813831525361854</v>
      </c>
      <c r="EY68" s="107">
        <f t="shared" si="383"/>
        <v>1.0845302807899311</v>
      </c>
      <c r="FA68" s="107">
        <f t="shared" si="371"/>
        <v>1.7781996344912083</v>
      </c>
      <c r="FB68" s="107">
        <f t="shared" si="478"/>
        <v>3.2184617531262476</v>
      </c>
      <c r="FC68" s="107">
        <f t="shared" si="479"/>
        <v>0.98245503058511408</v>
      </c>
      <c r="FD68" s="107">
        <f t="shared" si="480"/>
        <v>1.813831525361854</v>
      </c>
      <c r="FE68" s="107">
        <f t="shared" si="384"/>
        <v>1.0938077852958215</v>
      </c>
      <c r="FF68" s="141" t="str">
        <f t="shared" si="423"/>
        <v>-</v>
      </c>
      <c r="FG68" s="107">
        <f t="shared" si="372"/>
        <v>3.1065168531354765</v>
      </c>
      <c r="FH68" s="133">
        <f t="shared" si="481"/>
        <v>3.2184617531262476</v>
      </c>
      <c r="FI68" s="133">
        <f t="shared" si="482"/>
        <v>0.96521788712199752</v>
      </c>
      <c r="FJ68" s="107">
        <f t="shared" si="483"/>
        <v>1.0199924236440172</v>
      </c>
      <c r="FK68" s="107">
        <f t="shared" si="385"/>
        <v>1.1034793441475268</v>
      </c>
      <c r="FL68" s="141" t="str">
        <f t="shared" si="424"/>
        <v>-</v>
      </c>
      <c r="FM68" s="107">
        <f t="shared" si="373"/>
        <v>5.1513365209126363</v>
      </c>
      <c r="FN68" s="133">
        <f t="shared" si="484"/>
        <v>3.2184617531262476</v>
      </c>
      <c r="FO68" s="133">
        <f t="shared" si="485"/>
        <v>0.72066988237686147</v>
      </c>
      <c r="FP68" s="133">
        <f t="shared" si="486"/>
        <v>1.7122048854095275</v>
      </c>
      <c r="FQ68" s="107">
        <f t="shared" si="487"/>
        <v>1.800102871839254</v>
      </c>
      <c r="FR68" s="107">
        <f t="shared" si="386"/>
        <v>1.0956913322668251</v>
      </c>
      <c r="FS68" s="141" t="str">
        <f t="shared" si="425"/>
        <v>-</v>
      </c>
      <c r="FT68" s="107">
        <f t="shared" si="374"/>
        <v>5.5106659372064737</v>
      </c>
      <c r="FU68" s="133">
        <f t="shared" si="488"/>
        <v>3.2184617531262476</v>
      </c>
      <c r="FV68" s="133">
        <f t="shared" si="489"/>
        <v>1.7122048854095275</v>
      </c>
      <c r="FW68" s="107">
        <f t="shared" si="490"/>
        <v>1.800102871839254</v>
      </c>
      <c r="FY68">
        <v>0.95</v>
      </c>
      <c r="FZ68" s="62">
        <f t="shared" si="48"/>
        <v>1.0950187735885952</v>
      </c>
      <c r="GA68" s="62">
        <f t="shared" si="49"/>
        <v>1.9157559599542351</v>
      </c>
      <c r="GB68" s="107">
        <f t="shared" si="50"/>
        <v>1.2092338973739989</v>
      </c>
      <c r="GC68" s="440"/>
      <c r="GD68" s="17"/>
      <c r="GE68" s="442"/>
      <c r="GF68" s="462"/>
      <c r="GG68" s="17"/>
      <c r="GH68" s="17"/>
      <c r="GI68" s="17"/>
      <c r="GJ68" s="17"/>
      <c r="GL68" s="17"/>
      <c r="GM68" s="442"/>
      <c r="GN68" s="8"/>
      <c r="GO68" s="8"/>
      <c r="GP68" s="8"/>
      <c r="GQ68" s="8"/>
      <c r="GS68" s="17"/>
      <c r="GT68" s="17"/>
      <c r="GU68" s="17"/>
      <c r="GV68" s="629"/>
      <c r="GW68" s="17"/>
      <c r="GX68" s="17"/>
      <c r="GY68" s="17"/>
      <c r="GZ68" s="17"/>
    </row>
    <row r="69" spans="1:208" ht="15.6" x14ac:dyDescent="0.3">
      <c r="A69" s="60" t="s">
        <v>114</v>
      </c>
      <c r="B69" s="218"/>
      <c r="C69" s="14" t="str">
        <f>C66</f>
        <v>Gaffel</v>
      </c>
      <c r="G69" s="54"/>
      <c r="H69" s="204">
        <f>TBFavrundet</f>
        <v>107.5</v>
      </c>
      <c r="I69" s="63">
        <f>COUNTA(O69:AG69)</f>
        <v>3</v>
      </c>
      <c r="J69" s="222">
        <f>SUM(O69:AG69)</f>
        <v>65.7</v>
      </c>
      <c r="K69" s="116">
        <f>Seilareal/Depl^0.667/K$7</f>
        <v>1.1003243452121594</v>
      </c>
      <c r="L69" s="116">
        <f>Seilareal/Lwl/Lwl/L$7</f>
        <v>0.90419842291662589</v>
      </c>
      <c r="M69" s="92">
        <f>RiggF</f>
        <v>0.77634703196347032</v>
      </c>
      <c r="N69" s="242">
        <f>StHfaktor</f>
        <v>0.99540289999727238</v>
      </c>
      <c r="O69" s="143"/>
      <c r="P69" s="143"/>
      <c r="Q69" s="143"/>
      <c r="R69" s="143"/>
      <c r="S69" s="165">
        <v>15</v>
      </c>
      <c r="T69" s="143"/>
      <c r="U69" s="165">
        <v>18</v>
      </c>
      <c r="V69" s="559"/>
      <c r="W69" s="559"/>
      <c r="X69" s="143"/>
      <c r="Y69" s="165">
        <v>32.700000000000003</v>
      </c>
      <c r="Z69" s="143"/>
      <c r="AA69" s="143"/>
      <c r="AB69" s="143"/>
      <c r="AC69" s="143"/>
      <c r="AD69" s="143"/>
      <c r="AE69" s="143"/>
      <c r="AF69" s="143"/>
      <c r="AG69" s="551"/>
      <c r="AH69" s="557"/>
      <c r="AI69" s="557">
        <f t="shared" ref="AI69:AI70" si="569">AI67</f>
        <v>10.119999999999999</v>
      </c>
      <c r="AJ69" s="337">
        <f xml:space="preserve"> AJ67</f>
        <v>0</v>
      </c>
      <c r="AK69" s="339"/>
      <c r="AL69" s="337">
        <f xml:space="preserve"> AL67</f>
        <v>0</v>
      </c>
      <c r="AM69" s="339"/>
      <c r="AN69" s="267" t="str">
        <f t="shared" ref="AN69:AN70" si="570" xml:space="preserve"> AN67</f>
        <v>Los</v>
      </c>
      <c r="AO69" s="45">
        <f>VLOOKUP(AN69,Skrogform!$1:$1048576,3,FALSE)</f>
        <v>0.97</v>
      </c>
      <c r="AP69" s="64">
        <f t="shared" ref="AP69:AZ70" si="571">AP67</f>
        <v>11.58</v>
      </c>
      <c r="AQ69" s="64">
        <f t="shared" si="571"/>
        <v>10.5</v>
      </c>
      <c r="AR69" s="64">
        <f t="shared" si="571"/>
        <v>3.95</v>
      </c>
      <c r="AS69" s="64">
        <f t="shared" si="571"/>
        <v>1.7</v>
      </c>
      <c r="AT69" s="64">
        <f t="shared" ref="AT69" si="572">AT67</f>
        <v>13</v>
      </c>
      <c r="AU69" s="64">
        <f t="shared" si="571"/>
        <v>13</v>
      </c>
      <c r="AV69" s="64">
        <f t="shared" si="571"/>
        <v>2</v>
      </c>
      <c r="AW69" s="64">
        <f t="shared" si="571"/>
        <v>2</v>
      </c>
      <c r="AX69" s="256">
        <f>AX67</f>
        <v>0</v>
      </c>
      <c r="AY69" s="256">
        <f t="shared" si="571"/>
        <v>0</v>
      </c>
      <c r="AZ69" s="256">
        <f t="shared" si="571"/>
        <v>350</v>
      </c>
      <c r="BA69" s="256">
        <f t="shared" ref="BA69:BB70" si="573">BA67</f>
        <v>0</v>
      </c>
      <c r="BB69" s="256">
        <f t="shared" si="573"/>
        <v>0</v>
      </c>
      <c r="BC69" s="256"/>
      <c r="BD69" s="66"/>
      <c r="BE69" s="66"/>
      <c r="BF69" s="261"/>
      <c r="BG69" s="66"/>
      <c r="BH69" s="175"/>
      <c r="BI69" s="66"/>
      <c r="BJ69" s="66"/>
      <c r="BK69" s="65" t="str">
        <f t="shared" ref="BK69:BM70" si="574" xml:space="preserve"> BK67</f>
        <v>Seilrett</v>
      </c>
      <c r="BL69" s="267">
        <f t="shared" si="574"/>
        <v>3</v>
      </c>
      <c r="BM69" s="267">
        <f t="shared" si="574"/>
        <v>0</v>
      </c>
      <c r="BN69" s="45">
        <f t="shared" si="410"/>
        <v>1</v>
      </c>
      <c r="BO69" s="59"/>
      <c r="BP69" s="59"/>
      <c r="BR69" s="49">
        <f t="shared" si="558"/>
        <v>0</v>
      </c>
      <c r="BS69" s="49">
        <f t="shared" si="558"/>
        <v>0</v>
      </c>
      <c r="BT69" s="49">
        <f t="shared" si="558"/>
        <v>0</v>
      </c>
      <c r="BU69" s="49">
        <f t="shared" si="558"/>
        <v>0</v>
      </c>
      <c r="BV69" s="49">
        <f>IF(S69=0,0,S69*BV$9)</f>
        <v>15</v>
      </c>
      <c r="BW69" s="49">
        <f t="shared" si="559"/>
        <v>0</v>
      </c>
      <c r="BX69" s="49">
        <f t="shared" si="559"/>
        <v>18</v>
      </c>
      <c r="BY69" s="549">
        <f>IF(COUNT(Q69:U69)&gt;1,MINA(Q69:U69)*BY$9,0)</f>
        <v>-7.5</v>
      </c>
      <c r="BZ69" s="85">
        <f t="shared" si="560"/>
        <v>0</v>
      </c>
      <c r="CA69" s="85">
        <f t="shared" si="560"/>
        <v>0</v>
      </c>
      <c r="CB69" s="85">
        <f t="shared" si="560"/>
        <v>0</v>
      </c>
      <c r="CC69" s="85">
        <f t="shared" si="560"/>
        <v>25.506000000000004</v>
      </c>
      <c r="CD69" s="85">
        <f t="shared" si="560"/>
        <v>0</v>
      </c>
      <c r="CE69" s="85">
        <f>IF(AC69=0,0,AC69*CE$9)</f>
        <v>0</v>
      </c>
      <c r="CF69" s="85">
        <f t="shared" si="561"/>
        <v>0</v>
      </c>
      <c r="CG69" s="85">
        <f t="shared" si="561"/>
        <v>0</v>
      </c>
      <c r="CH69" s="85">
        <f t="shared" si="562"/>
        <v>0</v>
      </c>
      <c r="CI69" s="85">
        <f t="shared" si="562"/>
        <v>0</v>
      </c>
      <c r="CJ69" s="85">
        <f t="shared" si="562"/>
        <v>0</v>
      </c>
      <c r="CK69" s="85">
        <f t="shared" si="562"/>
        <v>0</v>
      </c>
      <c r="CL69" s="100">
        <f>SUM(BR69:CK69)</f>
        <v>51.006</v>
      </c>
      <c r="CM69" s="50"/>
      <c r="CN69" s="104">
        <f>J69</f>
        <v>65.7</v>
      </c>
      <c r="CO69" s="101">
        <f>CL69/CN69</f>
        <v>0.77634703196347032</v>
      </c>
      <c r="CP69" s="51">
        <f>Seilareal/Lwl/Lwl</f>
        <v>0.59591836734693882</v>
      </c>
      <c r="CQ69" s="116">
        <f>Seilareal/Depl^0.667/K$7</f>
        <v>1.1003243452121594</v>
      </c>
      <c r="CR69" s="51">
        <f>Seilareal/Lwl/Lwl/SApRS1</f>
        <v>0.90419842291662589</v>
      </c>
      <c r="CS69" s="204"/>
      <c r="CT69" s="204">
        <f>(ROUND(TBF/CT$6,3)*CT$6)*CT$4</f>
        <v>107.5</v>
      </c>
      <c r="CU69" s="107">
        <f t="shared" si="83"/>
        <v>1.0745515087343804</v>
      </c>
      <c r="CV69" s="62">
        <f t="shared" si="13"/>
        <v>3.0080488943853321</v>
      </c>
      <c r="CW69" s="62">
        <f t="shared" si="84"/>
        <v>1.6718064208695813</v>
      </c>
      <c r="CX69" s="62">
        <f t="shared" si="15"/>
        <v>1.800102871839254</v>
      </c>
      <c r="CY69" s="107">
        <f t="shared" si="85"/>
        <v>0.99540289999727238</v>
      </c>
      <c r="CZ69" s="168" t="str">
        <f t="shared" si="412"/>
        <v>-</v>
      </c>
      <c r="DA69" s="158"/>
      <c r="DB69" s="168" t="str">
        <f t="shared" si="413"/>
        <v>-</v>
      </c>
      <c r="DC69" s="160"/>
      <c r="DD69" s="190" t="s">
        <v>134</v>
      </c>
      <c r="DE69" s="62">
        <v>0.78</v>
      </c>
      <c r="DF69" s="62">
        <v>0.81</v>
      </c>
      <c r="DG69" s="62">
        <v>0.81</v>
      </c>
      <c r="DH69" s="150" t="s">
        <v>102</v>
      </c>
      <c r="DI69" s="62">
        <f t="shared" si="88"/>
        <v>1.9315295957092926</v>
      </c>
      <c r="DJ69" s="47">
        <f t="shared" si="89"/>
        <v>11.003236245954692</v>
      </c>
      <c r="DK69" s="48">
        <f t="shared" si="414"/>
        <v>0</v>
      </c>
      <c r="DM69" s="107">
        <f t="shared" si="381"/>
        <v>1.0602213013300845</v>
      </c>
      <c r="DN69" s="141" t="str">
        <f t="shared" si="415"/>
        <v>-</v>
      </c>
      <c r="DO69" s="107">
        <f t="shared" si="416"/>
        <v>4.7498239787728931</v>
      </c>
      <c r="DP69" s="133">
        <f>IF(SeilBeregnet=0,DP67,(SeilBeregnet^0.5/(Depl^0.3333))^DP$3*DP$7)</f>
        <v>3.0376190933633653</v>
      </c>
      <c r="DQ69" s="133">
        <f>IF(SeilBeregnet=0,DQ67,(SeilBeregnet^0.5/Lwl)^DQ$3*DQ$7)</f>
        <v>0</v>
      </c>
      <c r="DR69" s="133">
        <f>IF(SeilBeregnet=0,DR67,(0.1*Loa/Depl^0.3333)^DR$3*DR$7)</f>
        <v>0</v>
      </c>
      <c r="DS69" s="133">
        <f>IF(SeilBeregnet=0,DS67,((Loa)/Bredde)^DS$3*DS$7)</f>
        <v>1.7122048854095275</v>
      </c>
      <c r="DT69" s="107">
        <f>IF(SeilBeregnet=0,DT67,(Lwl)^DT$3)</f>
        <v>1.800102871839254</v>
      </c>
      <c r="DU69" s="133">
        <f>IF(SeilBeregnet=0,DU67,(Dypg/Loa)^DU$3*5*DU$7)</f>
        <v>1.9157559599542351</v>
      </c>
      <c r="DW69" s="107">
        <f t="shared" si="247"/>
        <v>1.1077850605509076</v>
      </c>
      <c r="DX69" s="107">
        <f t="shared" si="93"/>
        <v>1.0224420495201407</v>
      </c>
      <c r="DZ69" s="107">
        <f t="shared" si="94"/>
        <v>1.0270803660046677</v>
      </c>
      <c r="EA69" s="122" t="str">
        <f t="shared" si="418"/>
        <v>-</v>
      </c>
      <c r="EB69" s="107">
        <f t="shared" si="419"/>
        <v>1.0749311567871698</v>
      </c>
      <c r="EC69" s="122" t="str">
        <f t="shared" si="420"/>
        <v>-</v>
      </c>
      <c r="ED69" s="107">
        <f>IF(SeilBeregnet=0,ED67,SeilBeregnet^0.5/Depl^0.33333)</f>
        <v>3.0373853621818583</v>
      </c>
      <c r="EE69" s="107">
        <f>IF(SeilBeregnet=0,EE67,Lwl^0.3333)</f>
        <v>2.1895879451208748</v>
      </c>
      <c r="EF69" s="107">
        <f>IF(SeilBeregnet=0,EF67,((Loa+Lwl)/Bredde)^EF$3)</f>
        <v>1.5376252189841919</v>
      </c>
      <c r="EH69" s="107">
        <f t="shared" si="421"/>
        <v>1.072156349409273</v>
      </c>
      <c r="EJ69" s="107">
        <f>IF(SeilBeregnet=0,EJ67,SeilBeregnet^0.5/Depl^0.33333)</f>
        <v>3.0373853621818583</v>
      </c>
      <c r="EK69" s="107">
        <f>IF(SeilBeregnet=0,EK67,Lwl^EK$3)</f>
        <v>2.1897424068563001</v>
      </c>
      <c r="EL69" s="107">
        <f>IF(SeilBeregnet=0,EL67,((Loa+Lwl)/Bredde)^EL$3)</f>
        <v>1.7746351436830421</v>
      </c>
      <c r="EM69" s="107">
        <f t="shared" si="422"/>
        <v>1.070227874547012</v>
      </c>
      <c r="EO69" s="107">
        <f>IF(SeilBeregnet=0,EO67,(EP69*EQ69)^EO$3)</f>
        <v>4.6703603326642593</v>
      </c>
      <c r="EP69" s="107">
        <f>IF(SeilBeregnet=0,EP67,SeilBeregnet^0.5/Depl^0.33333)</f>
        <v>3.0373853621818583</v>
      </c>
      <c r="EQ69" s="107">
        <f>IF(SeilBeregnet=0,EQ67,((Loa+Lwl)/Bredde)^EQ$3)</f>
        <v>1.5376252189841919</v>
      </c>
      <c r="ER69" s="107">
        <f>IF(SeilBeregnet=0,ER67,Lwl^ER$3)</f>
        <v>1.800102871839254</v>
      </c>
      <c r="ES69" s="107">
        <f t="shared" si="382"/>
        <v>1.0712601235637749</v>
      </c>
      <c r="EU69" s="107">
        <f>IF(SeilBeregnet=0,EU67,(EV:EV*EW:EW)^EU$3)</f>
        <v>1.7274531915224665</v>
      </c>
      <c r="EV69" s="107">
        <f>IF(SeilBeregnet=0,EV67,SeilBeregnet^0.5/Depl^0.33333)</f>
        <v>3.0373853621818583</v>
      </c>
      <c r="EW69" s="107">
        <f>IF(SeilBeregnet=0,EW67,((Loa+Lwl)/Bredde/6)^EW$3)</f>
        <v>0.98245503058511408</v>
      </c>
      <c r="EX69" s="107">
        <f>IF(SeilBeregnet=0,EX67,(Lwl*0.7+Loa*0.3)^EX$3)</f>
        <v>1.813831525361854</v>
      </c>
      <c r="EY69" s="107">
        <f t="shared" si="383"/>
        <v>1.0536203812204936</v>
      </c>
      <c r="FA69" s="107">
        <f t="shared" si="371"/>
        <v>1.7275196552503336</v>
      </c>
      <c r="FB69" s="107">
        <f>IF(SeilBeregnet=0,FB67,SeilBeregnet^0.5/Depl^0.3333)</f>
        <v>3.0376190933633653</v>
      </c>
      <c r="FC69" s="107">
        <f>IF(SeilBeregnet=0,FC67,((Loa+Lwl)/Bredde/6)^FC$3)</f>
        <v>0.98245503058511408</v>
      </c>
      <c r="FD69" s="107">
        <f>IF(SeilBeregnet=0,FD67,(Lwl*0.7+Loa*0.3)^FD$3)</f>
        <v>1.813831525361854</v>
      </c>
      <c r="FE69" s="107">
        <f t="shared" si="384"/>
        <v>1.0564189025300554</v>
      </c>
      <c r="FF69" s="141" t="str">
        <f t="shared" si="423"/>
        <v>-</v>
      </c>
      <c r="FG69" s="107">
        <f t="shared" si="372"/>
        <v>2.9319642831776251</v>
      </c>
      <c r="FH69" s="133">
        <f>IF(SeilBeregnet=0,FH67,(SeilBeregnet^0.5/(Depl^0.3333))^FH$3)</f>
        <v>3.0376190933633653</v>
      </c>
      <c r="FI69" s="133">
        <f>IF(SeilBeregnet=0,FI67,((Loa+Lwl)/Bredde/6)^FI$3)</f>
        <v>0.96521788712199752</v>
      </c>
      <c r="FJ69" s="107">
        <f>IF(SeilBeregnet=0,FJ67,(Lwl*0.07+Loa*0.03)^FJ$3)</f>
        <v>1.0199924236440172</v>
      </c>
      <c r="FK69" s="107">
        <f t="shared" si="385"/>
        <v>1.0560663574797649</v>
      </c>
      <c r="FL69" s="141" t="str">
        <f t="shared" si="424"/>
        <v>-</v>
      </c>
      <c r="FM69" s="107">
        <f t="shared" si="373"/>
        <v>4.9300000264122614</v>
      </c>
      <c r="FN69" s="133">
        <f>IF(SeilBeregnet=0,FN67,(SeilBeregnet^0.5/(Depl^0.3333))^FN$3)</f>
        <v>3.0376190933633653</v>
      </c>
      <c r="FO69" s="133">
        <f>IF(SeilBeregnet=0,FO67,(SeilBeregnet^0.5/Lwl*FO$7)^FO$3)</f>
        <v>0.68017604763936879</v>
      </c>
      <c r="FP69" s="133">
        <f>IF(SeilBeregnet=0,FP67,((Loa)/Bredde)^FP$3*FP$7)</f>
        <v>1.7122048854095275</v>
      </c>
      <c r="FQ69" s="107">
        <f>IF(SeilBeregnet=0,FQ67,(Lwl)^FQ$3)</f>
        <v>1.800102871839254</v>
      </c>
      <c r="FR69" s="107">
        <f t="shared" si="386"/>
        <v>1.0600188018879717</v>
      </c>
      <c r="FS69" s="141" t="str">
        <f t="shared" si="425"/>
        <v>-</v>
      </c>
      <c r="FT69" s="107">
        <f t="shared" si="374"/>
        <v>5.2010262516700134</v>
      </c>
      <c r="FU69" s="133">
        <f>IF(SeilBeregnet=0,FU67,(SeilBeregnet^0.5/(Depl^0.3333))^FU$3)</f>
        <v>3.0376190933633653</v>
      </c>
      <c r="FV69" s="133">
        <f>IF(SeilBeregnet=0,FV67,(Loa/Bredde)^FV$3)</f>
        <v>1.7122048854095275</v>
      </c>
      <c r="FW69" s="107">
        <f>IF(SeilBeregnet=0,FW67,Lwl^FW$3)</f>
        <v>1.800102871839254</v>
      </c>
      <c r="FY69">
        <v>0.95</v>
      </c>
      <c r="FZ69" s="62">
        <f t="shared" si="48"/>
        <v>1.0660960576891685</v>
      </c>
      <c r="GA69" s="62">
        <f t="shared" si="49"/>
        <v>1.9157559599542351</v>
      </c>
      <c r="GB69" s="107">
        <f t="shared" si="50"/>
        <v>1.1861473238458511</v>
      </c>
      <c r="GC69" s="440"/>
      <c r="GD69" s="17"/>
      <c r="GE69" s="442"/>
      <c r="GF69" s="462"/>
      <c r="GG69" s="17"/>
      <c r="GH69" s="17"/>
      <c r="GI69" s="17"/>
      <c r="GJ69" s="17"/>
      <c r="GL69" s="17"/>
      <c r="GM69" s="442"/>
      <c r="GN69" s="8"/>
      <c r="GO69" s="8"/>
      <c r="GP69" s="8"/>
      <c r="GQ69" s="8"/>
      <c r="GS69" s="17"/>
      <c r="GT69" s="17"/>
      <c r="GU69" s="17"/>
      <c r="GV69" s="629"/>
      <c r="GW69" s="17"/>
      <c r="GX69" s="17"/>
      <c r="GY69" s="17"/>
      <c r="GZ69" s="17"/>
    </row>
    <row r="70" spans="1:208" ht="15.6" x14ac:dyDescent="0.3">
      <c r="A70" s="60" t="s">
        <v>113</v>
      </c>
      <c r="B70" s="218"/>
      <c r="C70" s="14" t="str">
        <f>C67</f>
        <v>Gaffel</v>
      </c>
      <c r="G70" s="54"/>
      <c r="H70" s="204">
        <f>TBFavrundet</f>
        <v>104.5</v>
      </c>
      <c r="I70" s="63">
        <f>COUNTA(O70:AG70)</f>
        <v>3</v>
      </c>
      <c r="J70" s="222">
        <f>SUM(O70:AG70)</f>
        <v>57.800000000000004</v>
      </c>
      <c r="K70" s="116">
        <f>Seilareal/Depl^0.667/K$7</f>
        <v>0.96801746047584192</v>
      </c>
      <c r="L70" s="116">
        <f>Seilareal/Lwl/Lwl/L$7</f>
        <v>0.79547441163745758</v>
      </c>
      <c r="M70" s="92">
        <f>RiggF</f>
        <v>0.8141176470588235</v>
      </c>
      <c r="N70" s="242">
        <f>StHfaktor</f>
        <v>0.99540289999727238</v>
      </c>
      <c r="O70" s="143"/>
      <c r="P70" s="143"/>
      <c r="Q70" s="143"/>
      <c r="R70" s="143"/>
      <c r="S70" s="143"/>
      <c r="T70" s="165">
        <v>7.1</v>
      </c>
      <c r="U70" s="165">
        <v>18</v>
      </c>
      <c r="V70" s="559"/>
      <c r="W70" s="559"/>
      <c r="X70" s="143"/>
      <c r="Y70" s="165">
        <v>32.700000000000003</v>
      </c>
      <c r="Z70" s="143"/>
      <c r="AA70" s="143"/>
      <c r="AB70" s="143"/>
      <c r="AC70" s="143"/>
      <c r="AD70" s="143"/>
      <c r="AE70" s="143"/>
      <c r="AF70" s="143"/>
      <c r="AG70" s="551"/>
      <c r="AH70" s="557"/>
      <c r="AI70" s="557">
        <f t="shared" si="569"/>
        <v>10.119999999999999</v>
      </c>
      <c r="AJ70" s="337">
        <f xml:space="preserve"> AJ68</f>
        <v>0</v>
      </c>
      <c r="AK70" s="339"/>
      <c r="AL70" s="337">
        <f xml:space="preserve"> AL68</f>
        <v>0</v>
      </c>
      <c r="AM70" s="339"/>
      <c r="AN70" s="267" t="str">
        <f t="shared" si="570"/>
        <v>Los</v>
      </c>
      <c r="AO70" s="45">
        <f>VLOOKUP(AN70,Skrogform!$1:$1048576,3,FALSE)</f>
        <v>0.97</v>
      </c>
      <c r="AP70" s="64">
        <f t="shared" si="571"/>
        <v>11.58</v>
      </c>
      <c r="AQ70" s="64">
        <f t="shared" si="571"/>
        <v>10.5</v>
      </c>
      <c r="AR70" s="64">
        <f t="shared" si="571"/>
        <v>3.95</v>
      </c>
      <c r="AS70" s="64">
        <f t="shared" si="571"/>
        <v>1.7</v>
      </c>
      <c r="AT70" s="64">
        <f t="shared" ref="AT70" si="575">AT68</f>
        <v>13</v>
      </c>
      <c r="AU70" s="64">
        <f t="shared" si="571"/>
        <v>13</v>
      </c>
      <c r="AV70" s="64">
        <f t="shared" si="571"/>
        <v>2</v>
      </c>
      <c r="AW70" s="64">
        <f t="shared" si="571"/>
        <v>2</v>
      </c>
      <c r="AX70" s="256">
        <f>AX68</f>
        <v>0</v>
      </c>
      <c r="AY70" s="256">
        <f t="shared" si="571"/>
        <v>0</v>
      </c>
      <c r="AZ70" s="256">
        <f t="shared" si="571"/>
        <v>350</v>
      </c>
      <c r="BA70" s="256">
        <f t="shared" si="573"/>
        <v>0</v>
      </c>
      <c r="BB70" s="256">
        <f t="shared" si="573"/>
        <v>0</v>
      </c>
      <c r="BC70" s="256"/>
      <c r="BD70" s="66"/>
      <c r="BE70" s="66"/>
      <c r="BF70" s="261"/>
      <c r="BG70" s="66"/>
      <c r="BH70" s="175"/>
      <c r="BI70" s="66"/>
      <c r="BJ70" s="66"/>
      <c r="BK70" s="65" t="str">
        <f t="shared" si="574"/>
        <v>Seilrett</v>
      </c>
      <c r="BL70" s="267">
        <f t="shared" si="574"/>
        <v>3</v>
      </c>
      <c r="BM70" s="267">
        <f t="shared" si="574"/>
        <v>0</v>
      </c>
      <c r="BN70" s="45">
        <f t="shared" si="410"/>
        <v>1</v>
      </c>
      <c r="BO70" s="59"/>
      <c r="BP70" s="59"/>
      <c r="BR70" s="49">
        <f t="shared" si="558"/>
        <v>0</v>
      </c>
      <c r="BS70" s="49">
        <f t="shared" si="558"/>
        <v>0</v>
      </c>
      <c r="BT70" s="49">
        <f t="shared" si="558"/>
        <v>0</v>
      </c>
      <c r="BU70" s="49">
        <f t="shared" si="558"/>
        <v>0</v>
      </c>
      <c r="BV70" s="49">
        <f>IF(S70=0,0,S70*BV$9)</f>
        <v>0</v>
      </c>
      <c r="BW70" s="49">
        <f t="shared" si="559"/>
        <v>7.1</v>
      </c>
      <c r="BX70" s="49">
        <f t="shared" si="559"/>
        <v>18</v>
      </c>
      <c r="BY70" s="549">
        <f>IF(COUNT(Q70:U70)&gt;1,MINA(Q70:U70)*BY$9,0)</f>
        <v>-3.55</v>
      </c>
      <c r="BZ70" s="85">
        <f t="shared" si="560"/>
        <v>0</v>
      </c>
      <c r="CA70" s="85">
        <f t="shared" si="560"/>
        <v>0</v>
      </c>
      <c r="CB70" s="85">
        <f t="shared" si="560"/>
        <v>0</v>
      </c>
      <c r="CC70" s="85">
        <f t="shared" si="560"/>
        <v>25.506000000000004</v>
      </c>
      <c r="CD70" s="85">
        <f t="shared" si="560"/>
        <v>0</v>
      </c>
      <c r="CE70" s="85">
        <f>IF(AC70=0,0,AC70*CE$9)</f>
        <v>0</v>
      </c>
      <c r="CF70" s="85">
        <f t="shared" si="561"/>
        <v>0</v>
      </c>
      <c r="CG70" s="85">
        <f t="shared" si="561"/>
        <v>0</v>
      </c>
      <c r="CH70" s="85">
        <f t="shared" si="562"/>
        <v>0</v>
      </c>
      <c r="CI70" s="85">
        <f t="shared" si="562"/>
        <v>0</v>
      </c>
      <c r="CJ70" s="85">
        <f t="shared" si="562"/>
        <v>0</v>
      </c>
      <c r="CK70" s="85">
        <f t="shared" si="562"/>
        <v>0</v>
      </c>
      <c r="CL70" s="100">
        <f>SUM(BR70:CK70)</f>
        <v>47.056000000000004</v>
      </c>
      <c r="CM70" s="50"/>
      <c r="CN70" s="104">
        <f>J70</f>
        <v>57.800000000000004</v>
      </c>
      <c r="CO70" s="101">
        <f>CL70/CN70</f>
        <v>0.8141176470588235</v>
      </c>
      <c r="CP70" s="51">
        <f>Seilareal/Lwl/Lwl</f>
        <v>0.52426303854875278</v>
      </c>
      <c r="CQ70" s="116">
        <f>Seilareal/Depl^0.667/K$7</f>
        <v>0.96801746047584192</v>
      </c>
      <c r="CR70" s="51">
        <f>Seilareal/Lwl/Lwl/SApRS1</f>
        <v>0.79547441163745758</v>
      </c>
      <c r="CS70" s="204"/>
      <c r="CT70" s="204">
        <f>(ROUND(TBF/CT$6,3)*CT$6)*CT$4</f>
        <v>104.5</v>
      </c>
      <c r="CU70" s="107">
        <f t="shared" si="83"/>
        <v>1.0472687093274968</v>
      </c>
      <c r="CV70" s="62">
        <f t="shared" si="13"/>
        <v>2.889227644048324</v>
      </c>
      <c r="CW70" s="62">
        <f t="shared" si="84"/>
        <v>1.6718064208695813</v>
      </c>
      <c r="CX70" s="62">
        <f t="shared" si="15"/>
        <v>1.800102871839254</v>
      </c>
      <c r="CY70" s="107">
        <f t="shared" si="85"/>
        <v>0.99540289999727238</v>
      </c>
      <c r="CZ70" s="168" t="str">
        <f t="shared" si="412"/>
        <v>-</v>
      </c>
      <c r="DA70" s="158"/>
      <c r="DB70" s="168" t="str">
        <f t="shared" si="413"/>
        <v>-</v>
      </c>
      <c r="DC70" s="160"/>
      <c r="DD70" s="190" t="s">
        <v>134</v>
      </c>
      <c r="DE70" s="62">
        <v>0.78</v>
      </c>
      <c r="DF70" s="62">
        <v>0.81</v>
      </c>
      <c r="DG70" s="62">
        <v>0.81</v>
      </c>
      <c r="DH70" s="150" t="s">
        <v>102</v>
      </c>
      <c r="DI70" s="62">
        <f t="shared" si="88"/>
        <v>1.9315295957092926</v>
      </c>
      <c r="DJ70" s="47">
        <f t="shared" si="89"/>
        <v>11.003236245954692</v>
      </c>
      <c r="DK70" s="48">
        <f t="shared" si="414"/>
        <v>0</v>
      </c>
      <c r="DM70" s="107">
        <f t="shared" si="381"/>
        <v>1.0334381576736857</v>
      </c>
      <c r="DN70" s="141" t="str">
        <f t="shared" si="415"/>
        <v>-</v>
      </c>
      <c r="DO70" s="107">
        <f t="shared" si="416"/>
        <v>4.6298346729492064</v>
      </c>
      <c r="DP70" s="133">
        <f>IF(SeilBeregnet=0,DP68,(SeilBeregnet^0.5/(Depl^0.3333))^DP$3*DP$7)</f>
        <v>2.9176297875396786</v>
      </c>
      <c r="DQ70" s="133">
        <f>IF(SeilBeregnet=0,DQ68,(SeilBeregnet^0.5/Lwl)^DQ$3*DQ$7)</f>
        <v>0</v>
      </c>
      <c r="DR70" s="133">
        <f>IF(SeilBeregnet=0,DR68,(0.1*Loa/Depl^0.3333)^DR$3*DR$7)</f>
        <v>0</v>
      </c>
      <c r="DS70" s="133">
        <f>IF(SeilBeregnet=0,DS68,((Loa)/Bredde)^DS$3*DS$7)</f>
        <v>1.7122048854095275</v>
      </c>
      <c r="DT70" s="107">
        <f>IF(SeilBeregnet=0,DT68,(Lwl)^DT$3)</f>
        <v>1.800102871839254</v>
      </c>
      <c r="DU70" s="133">
        <f>IF(SeilBeregnet=0,DU68,(Dypg/Loa)^DU$3*5*DU$7)</f>
        <v>1.9157559599542351</v>
      </c>
      <c r="DW70" s="107">
        <f t="shared" si="247"/>
        <v>1.0796584632242237</v>
      </c>
      <c r="DX70" s="107">
        <f t="shared" si="93"/>
        <v>0.99170310701446718</v>
      </c>
      <c r="DZ70" s="107">
        <f t="shared" si="94"/>
        <v>1.0028445862478468</v>
      </c>
      <c r="EA70" s="122" t="str">
        <f t="shared" si="418"/>
        <v>-</v>
      </c>
      <c r="EB70" s="107">
        <f t="shared" si="419"/>
        <v>1.0435260022478781</v>
      </c>
      <c r="EC70" s="122" t="str">
        <f t="shared" si="420"/>
        <v>-</v>
      </c>
      <c r="ED70" s="107">
        <f>IF(SeilBeregnet=0,ED68,SeilBeregnet^0.5/Depl^0.33333)</f>
        <v>2.9174052889977342</v>
      </c>
      <c r="EE70" s="107">
        <f>IF(SeilBeregnet=0,EE68,Lwl^0.3333)</f>
        <v>2.1895879451208748</v>
      </c>
      <c r="EF70" s="107">
        <f>IF(SeilBeregnet=0,EF68,((Loa+Lwl)/Bredde)^EF$3)</f>
        <v>1.5376252189841919</v>
      </c>
      <c r="EH70" s="107">
        <f t="shared" si="421"/>
        <v>1.0440781148437035</v>
      </c>
      <c r="EJ70" s="107">
        <f>IF(SeilBeregnet=0,EJ68,SeilBeregnet^0.5/Depl^0.33333)</f>
        <v>2.9174052889977342</v>
      </c>
      <c r="EK70" s="107">
        <f>IF(SeilBeregnet=0,EK68,Lwl^EK$3)</f>
        <v>2.1897424068563001</v>
      </c>
      <c r="EL70" s="107">
        <f>IF(SeilBeregnet=0,EL68,((Loa+Lwl)/Bredde)^EL$3)</f>
        <v>1.7746351436830421</v>
      </c>
      <c r="EM70" s="107">
        <f t="shared" si="422"/>
        <v>1.0406282243341396</v>
      </c>
      <c r="EO70" s="107">
        <f>IF(SeilBeregnet=0,EO68,(EP70*EQ70)^EO$3)</f>
        <v>4.4858759463607809</v>
      </c>
      <c r="EP70" s="107">
        <f>IF(SeilBeregnet=0,EP68,SeilBeregnet^0.5/Depl^0.33333)</f>
        <v>2.9174052889977342</v>
      </c>
      <c r="EQ70" s="107">
        <f>IF(SeilBeregnet=0,EQ68,((Loa+Lwl)/Bredde)^EQ$3)</f>
        <v>1.5376252189841919</v>
      </c>
      <c r="ER70" s="107">
        <f>IF(SeilBeregnet=0,ER68,Lwl^ER$3)</f>
        <v>1.800102871839254</v>
      </c>
      <c r="ES70" s="107">
        <f t="shared" si="382"/>
        <v>1.0411834877254553</v>
      </c>
      <c r="EU70" s="107">
        <f>IF(SeilBeregnet=0,EU68,(EV:EV*EW:EW)^EU$3)</f>
        <v>1.6929912883507234</v>
      </c>
      <c r="EV70" s="107">
        <f>IF(SeilBeregnet=0,EV68,SeilBeregnet^0.5/Depl^0.33333)</f>
        <v>2.9174052889977342</v>
      </c>
      <c r="EW70" s="107">
        <f>IF(SeilBeregnet=0,EW68,((Loa+Lwl)/Bredde/6)^EW$3)</f>
        <v>0.98245503058511408</v>
      </c>
      <c r="EX70" s="107">
        <f>IF(SeilBeregnet=0,EX68,(Lwl*0.7+Loa*0.3)^EX$3)</f>
        <v>1.813831525361854</v>
      </c>
      <c r="EY70" s="107">
        <f t="shared" si="383"/>
        <v>1.0326011352371078</v>
      </c>
      <c r="FA70" s="107">
        <f t="shared" si="371"/>
        <v>1.693056426157538</v>
      </c>
      <c r="FB70" s="107">
        <f>IF(SeilBeregnet=0,FB68,SeilBeregnet^0.5/Depl^0.3333)</f>
        <v>2.9176297875396786</v>
      </c>
      <c r="FC70" s="107">
        <f>IF(SeilBeregnet=0,FC68,((Loa+Lwl)/Bredde/6)^FC$3)</f>
        <v>0.98245503058511408</v>
      </c>
      <c r="FD70" s="107">
        <f>IF(SeilBeregnet=0,FD68,(Lwl*0.7+Loa*0.3)^FD$3)</f>
        <v>1.813831525361854</v>
      </c>
      <c r="FE70" s="107">
        <f t="shared" si="384"/>
        <v>1.0316113372439122</v>
      </c>
      <c r="FF70" s="141" t="str">
        <f t="shared" si="423"/>
        <v>-</v>
      </c>
      <c r="FG70" s="107">
        <f t="shared" si="372"/>
        <v>2.8161484589332511</v>
      </c>
      <c r="FH70" s="133">
        <f>IF(SeilBeregnet=0,FH68,(SeilBeregnet^0.5/(Depl^0.3333))^FH$3)</f>
        <v>2.9176297875396786</v>
      </c>
      <c r="FI70" s="133">
        <f>IF(SeilBeregnet=0,FI68,((Loa+Lwl)/Bredde/6)^FI$3)</f>
        <v>0.96521788712199752</v>
      </c>
      <c r="FJ70" s="107">
        <f>IF(SeilBeregnet=0,FJ68,(Lwl*0.07+Loa*0.03)^FJ$3)</f>
        <v>1.0199924236440172</v>
      </c>
      <c r="FK70" s="107">
        <f t="shared" si="385"/>
        <v>1.0246077881092863</v>
      </c>
      <c r="FL70" s="141" t="str">
        <f t="shared" si="424"/>
        <v>-</v>
      </c>
      <c r="FM70" s="107">
        <f t="shared" si="373"/>
        <v>4.7831430162169317</v>
      </c>
      <c r="FN70" s="133">
        <f>IF(SeilBeregnet=0,FN68,(SeilBeregnet^0.5/(Depl^0.3333))^FN$3)</f>
        <v>2.9176297875396786</v>
      </c>
      <c r="FO70" s="133">
        <f>IF(SeilBeregnet=0,FO68,(SeilBeregnet^0.5/Lwl*FO$7)^FO$3)</f>
        <v>0.65330834326772536</v>
      </c>
      <c r="FP70" s="133">
        <f>IF(SeilBeregnet=0,FP68,((Loa)/Bredde)^FP$3*FP$7)</f>
        <v>1.7122048854095275</v>
      </c>
      <c r="FQ70" s="107">
        <f>IF(SeilBeregnet=0,FQ68,(Lwl)^FQ$3)</f>
        <v>1.800102871839254</v>
      </c>
      <c r="FR70" s="107">
        <f t="shared" si="386"/>
        <v>1.0363500383188819</v>
      </c>
      <c r="FS70" s="141" t="str">
        <f t="shared" si="425"/>
        <v>-</v>
      </c>
      <c r="FT70" s="107">
        <f t="shared" si="374"/>
        <v>4.9955799760417996</v>
      </c>
      <c r="FU70" s="133">
        <f>IF(SeilBeregnet=0,FU68,(SeilBeregnet^0.5/(Depl^0.3333))^FU$3)</f>
        <v>2.9176297875396786</v>
      </c>
      <c r="FV70" s="133">
        <f>IF(SeilBeregnet=0,FV68,(Loa/Bredde)^FV$3)</f>
        <v>1.7122048854095275</v>
      </c>
      <c r="FW70" s="107">
        <f>IF(SeilBeregnet=0,FW68,Lwl^FW$3)</f>
        <v>1.800102871839254</v>
      </c>
      <c r="FY70">
        <v>0.95</v>
      </c>
      <c r="FZ70" s="62">
        <f t="shared" si="48"/>
        <v>1.0469058035320005</v>
      </c>
      <c r="GA70" s="62">
        <f t="shared" si="49"/>
        <v>1.9157559599542351</v>
      </c>
      <c r="GB70" s="107">
        <f t="shared" si="50"/>
        <v>1.1703190026057269</v>
      </c>
      <c r="GC70" s="440"/>
      <c r="GD70" s="17"/>
      <c r="GE70" s="442"/>
      <c r="GF70" s="462"/>
      <c r="GG70" s="17"/>
      <c r="GH70" s="17"/>
      <c r="GI70" s="17"/>
      <c r="GJ70" s="17"/>
      <c r="GL70" s="17"/>
      <c r="GM70" s="442"/>
      <c r="GN70" s="8"/>
      <c r="GO70" s="8"/>
      <c r="GP70" s="8"/>
      <c r="GQ70" s="8"/>
      <c r="GS70" s="17"/>
      <c r="GT70" s="17"/>
      <c r="GU70" s="17"/>
      <c r="GV70" s="629"/>
      <c r="GW70" s="17"/>
      <c r="GX70" s="17"/>
      <c r="GY70" s="17"/>
      <c r="GZ70" s="17"/>
    </row>
    <row r="71" spans="1:208" ht="15.6" x14ac:dyDescent="0.3">
      <c r="A71" s="52" t="s">
        <v>589</v>
      </c>
      <c r="B71" s="218">
        <f t="shared" ref="B71" si="576">Loa/0.3048</f>
        <v>41.99475065616798</v>
      </c>
      <c r="C71" s="14" t="s">
        <v>19</v>
      </c>
      <c r="G71" s="54" t="s">
        <v>27</v>
      </c>
      <c r="H71" s="112">
        <f>J72</f>
        <v>125</v>
      </c>
      <c r="I71" s="601">
        <f>H72/100</f>
        <v>1.28</v>
      </c>
      <c r="J71" s="651">
        <f>IF(DC72=0,"-",DC72)</f>
        <v>1.29</v>
      </c>
      <c r="K71" s="123" t="str">
        <f>A71</f>
        <v>Frøya</v>
      </c>
      <c r="L71" s="116"/>
      <c r="M71" s="116"/>
      <c r="N71" s="92"/>
      <c r="O71" s="165"/>
      <c r="P71" s="165"/>
      <c r="Q71" s="165">
        <v>30</v>
      </c>
      <c r="R71" s="165">
        <v>26</v>
      </c>
      <c r="S71" s="165">
        <v>23.5</v>
      </c>
      <c r="T71" s="165">
        <v>18.600000000000001</v>
      </c>
      <c r="U71" s="165">
        <v>23.5</v>
      </c>
      <c r="V71" s="559"/>
      <c r="W71" s="559"/>
      <c r="X71" s="165">
        <v>58</v>
      </c>
      <c r="Y71" s="660">
        <f>X71-(7.19*1.46)</f>
        <v>47.502600000000001</v>
      </c>
      <c r="Z71" s="177">
        <f>StorS-StorS/6*1.9</f>
        <v>39.63333333333334</v>
      </c>
      <c r="AA71" s="165">
        <v>13.5</v>
      </c>
      <c r="AB71" s="165"/>
      <c r="AC71" s="165"/>
      <c r="AD71" s="165"/>
      <c r="AE71" s="165"/>
      <c r="AF71" s="165"/>
      <c r="AG71" s="552"/>
      <c r="AH71" s="244"/>
      <c r="AI71" s="244">
        <v>11.6</v>
      </c>
      <c r="AJ71" s="554"/>
      <c r="AK71" s="339"/>
      <c r="AL71" s="268"/>
      <c r="AM71" s="339"/>
      <c r="AN71" s="268" t="s">
        <v>211</v>
      </c>
      <c r="AO71" s="45">
        <f>VLOOKUP(AN71,Skrogform!$1:$1048576,3,FALSE)</f>
        <v>0.98</v>
      </c>
      <c r="AP71" s="55">
        <v>12.8</v>
      </c>
      <c r="AQ71" s="55">
        <v>11.1</v>
      </c>
      <c r="AR71" s="55">
        <v>3.9</v>
      </c>
      <c r="AS71" s="55">
        <v>2.14</v>
      </c>
      <c r="AT71" s="637">
        <v>18</v>
      </c>
      <c r="AU71" s="55">
        <v>18</v>
      </c>
      <c r="AV71" s="55">
        <v>6.2</v>
      </c>
      <c r="AW71" s="55"/>
      <c r="AX71" s="253"/>
      <c r="AY71" s="253">
        <v>68</v>
      </c>
      <c r="AZ71" s="253">
        <v>480</v>
      </c>
      <c r="BA71" s="253">
        <v>100</v>
      </c>
      <c r="BB71" s="253">
        <v>150</v>
      </c>
      <c r="BC71" s="244">
        <f>Depl+Diesel/1000*0.84+Vann/1000</f>
        <v>18.226000000000003</v>
      </c>
      <c r="BD71" s="95">
        <f>Bredde/(Loa+Lwl)*2</f>
        <v>0.32635983263598328</v>
      </c>
      <c r="BE71" s="95">
        <f>(Kjøl+Ballast)/Depl</f>
        <v>0.34444444444444444</v>
      </c>
      <c r="BF71" s="260">
        <f>BF$7*((Depl-Kjøl-Ballast-VektMotor/1000-VektAnnet/1000)/Lwl/Lwl/Bredde)</f>
        <v>0.88902809555117246</v>
      </c>
      <c r="BG71" s="95">
        <f>BG$7*(Depl/Loa/Lwl/Lwl)</f>
        <v>0.83990625000000008</v>
      </c>
      <c r="BH71" s="174">
        <f>BH$7*(Depl/Loa/Lwl/Bredde)</f>
        <v>0.88361177884615394</v>
      </c>
      <c r="BI71" s="95">
        <f>BI$7*Bredde/(Loa+Lwl)*2</f>
        <v>0.93100283439060605</v>
      </c>
      <c r="BJ71" s="95">
        <f>BJ$7*(Dypg/Lwl)</f>
        <v>1.0544927536231885</v>
      </c>
      <c r="BK71" s="56" t="s">
        <v>21</v>
      </c>
      <c r="BL71" s="268">
        <v>3</v>
      </c>
      <c r="BM71" s="274">
        <v>62</v>
      </c>
      <c r="BN71" s="45">
        <f t="shared" si="410"/>
        <v>1</v>
      </c>
      <c r="BO71" s="59"/>
      <c r="BP71" s="59"/>
      <c r="BR71" s="209"/>
      <c r="BS71" s="209"/>
      <c r="BT71" s="209" t="str">
        <f>$A71</f>
        <v>Frøya</v>
      </c>
      <c r="BU71" s="10"/>
      <c r="BV71" s="10"/>
      <c r="BW71" s="10"/>
      <c r="BX71" s="10"/>
      <c r="BY71" s="549"/>
      <c r="BZ71" s="10"/>
      <c r="CA71" s="10"/>
      <c r="CB71" s="209" t="str">
        <f>$A71</f>
        <v>Frøya</v>
      </c>
      <c r="CC71" s="10"/>
      <c r="CD71" s="10"/>
      <c r="CE71" s="10"/>
      <c r="CF71" s="10"/>
      <c r="CG71" s="10"/>
      <c r="CH71" s="10"/>
      <c r="CI71" s="10"/>
      <c r="CJ71" s="10"/>
      <c r="CK71" s="10"/>
      <c r="CL71" s="209"/>
      <c r="CM71" s="10"/>
      <c r="CN71" s="209" t="str">
        <f>$A71</f>
        <v>Frøya</v>
      </c>
      <c r="CO71" s="207"/>
      <c r="CP71" s="207"/>
      <c r="CQ71" s="116"/>
      <c r="CR71" s="207"/>
      <c r="CS71" s="203"/>
      <c r="CT71" s="203" t="s">
        <v>23</v>
      </c>
      <c r="CU71" s="107" t="str">
        <f t="shared" si="36"/>
        <v>-</v>
      </c>
      <c r="CV71" s="62" t="str">
        <f t="shared" si="13"/>
        <v>-</v>
      </c>
      <c r="CW71" s="62" t="str">
        <f t="shared" si="14"/>
        <v>-</v>
      </c>
      <c r="CX71" s="62" t="str">
        <f t="shared" si="15"/>
        <v>-</v>
      </c>
      <c r="CY71" s="107" t="str">
        <f t="shared" si="16"/>
        <v>-</v>
      </c>
      <c r="CZ71" s="168">
        <f t="shared" si="37"/>
        <v>1.272</v>
      </c>
      <c r="DA71" s="158">
        <v>1.02</v>
      </c>
      <c r="DB71" s="168" t="str">
        <f t="shared" si="38"/>
        <v>-</v>
      </c>
      <c r="DC71" s="160">
        <v>1.29</v>
      </c>
      <c r="DD71" s="190" t="s">
        <v>134</v>
      </c>
      <c r="DE71" s="29" t="s">
        <v>23</v>
      </c>
      <c r="DF71" s="29" t="s">
        <v>23</v>
      </c>
      <c r="DG71" s="29" t="s">
        <v>23</v>
      </c>
      <c r="DH71" s="149">
        <v>2022</v>
      </c>
      <c r="DI71" s="62" t="str">
        <f t="shared" si="39"/>
        <v>-</v>
      </c>
      <c r="DJ71" s="47">
        <f t="shared" si="17"/>
        <v>13.375</v>
      </c>
      <c r="DK71" s="48">
        <f t="shared" si="18"/>
        <v>0</v>
      </c>
      <c r="DM71" s="107" t="str">
        <f t="shared" si="381"/>
        <v>-</v>
      </c>
      <c r="DN71" s="141" t="str">
        <f t="shared" si="246"/>
        <v>-</v>
      </c>
      <c r="DO71" s="107">
        <f t="shared" si="19"/>
        <v>4.4507946939494163</v>
      </c>
      <c r="DP71" s="133">
        <f>IF(SeilBeregnet=0,DP53,(SeilBeregnet^0.5/(Depl^0.3333))^DP$3*DP$7)</f>
        <v>2.7859406071193473</v>
      </c>
      <c r="DQ71" s="133">
        <f>IF(SeilBeregnet=0,DQ53,(SeilBeregnet^0.5/Lwl)^DQ$3*DQ$7)</f>
        <v>0</v>
      </c>
      <c r="DR71" s="133">
        <f>IF(SeilBeregnet=0,DR53,(0.1*Loa/Depl^0.3333)^DR$3*DR$7)</f>
        <v>0</v>
      </c>
      <c r="DS71" s="133">
        <f>IF(SeilBeregnet=0,DS53,((Loa)/Bredde)^DS$3*DS$7)</f>
        <v>1.664854086830069</v>
      </c>
      <c r="DT71" s="107">
        <f>IF(SeilBeregnet=0,DT53,(Lwl)^DT$3)</f>
        <v>1.8374951981506853</v>
      </c>
      <c r="DU71" s="133">
        <f>IF(SeilBeregnet=0,DU53,(Dypg/Loa)^DU$3*5*DU$7)</f>
        <v>2.0291986247835694</v>
      </c>
      <c r="DW71" s="107" t="str">
        <f t="shared" si="417"/>
        <v>-</v>
      </c>
      <c r="DX71" s="107" t="str">
        <f t="shared" si="40"/>
        <v>-</v>
      </c>
      <c r="DZ71" s="107" t="str">
        <f t="shared" si="41"/>
        <v>-</v>
      </c>
      <c r="EA71" s="122" t="str">
        <f t="shared" si="248"/>
        <v>-</v>
      </c>
      <c r="EB71" s="107" t="str">
        <f t="shared" si="42"/>
        <v>-</v>
      </c>
      <c r="EC71" s="122" t="str">
        <f t="shared" si="249"/>
        <v>-</v>
      </c>
      <c r="ED71" s="107">
        <f>IF(SeilBeregnet=0,ED53,SeilBeregnet^0.5/Depl^0.33333)</f>
        <v>2.7856822752765784</v>
      </c>
      <c r="EE71" s="107">
        <f>IF(SeilBeregnet=0,EE53,Lwl^0.3333)</f>
        <v>2.2504345510197821</v>
      </c>
      <c r="EF71" s="107">
        <f>IF(SeilBeregnet=0,EF53,((Loa+Lwl)/Bredde)^EF$3)</f>
        <v>1.5137000520175456</v>
      </c>
      <c r="EH71" s="107" t="str">
        <f t="shared" si="43"/>
        <v>-</v>
      </c>
      <c r="EJ71" s="107">
        <f>IF(SeilBeregnet=0,EJ53,SeilBeregnet^0.5/Depl^0.33333)</f>
        <v>2.7856822752765784</v>
      </c>
      <c r="EK71" s="107">
        <f>IF(SeilBeregnet=0,EK53,Lwl^EK$3)</f>
        <v>2.250598857644956</v>
      </c>
      <c r="EL71" s="107">
        <f>IF(SeilBeregnet=0,EL53,((Loa+Lwl)/Bredde)^EL$3)</f>
        <v>1.7379172576819111</v>
      </c>
      <c r="EM71" s="107" t="str">
        <f t="shared" si="44"/>
        <v>-</v>
      </c>
      <c r="EO71" s="107">
        <f>IF(SeilBeregnet=0,EO53,(EP71*EQ71)^EO$3)</f>
        <v>4.2166874049905116</v>
      </c>
      <c r="EP71" s="107">
        <f>IF(SeilBeregnet=0,EP53,SeilBeregnet^0.5/Depl^0.33333)</f>
        <v>2.7856822752765784</v>
      </c>
      <c r="EQ71" s="107">
        <f>IF(SeilBeregnet=0,EQ53,((Loa+Lwl)/Bredde)^EQ$3)</f>
        <v>1.5137000520175456</v>
      </c>
      <c r="ER71" s="107">
        <f>IF(SeilBeregnet=0,ER53,Lwl^ER$3)</f>
        <v>1.8374951981506853</v>
      </c>
      <c r="ES71" s="107" t="str">
        <f t="shared" si="382"/>
        <v>-</v>
      </c>
      <c r="EU71" s="107">
        <f>IF(SeilBeregnet=0,EU53,(EV:EV*EW:EW)^EU$3)</f>
        <v>1.6414089497077797</v>
      </c>
      <c r="EV71" s="107">
        <f>IF(SeilBeregnet=0,EV53,SeilBeregnet^0.5/Depl^0.33333)</f>
        <v>2.7856822752765784</v>
      </c>
      <c r="EW71" s="107">
        <f>IF(SeilBeregnet=0,EW53,((Loa+Lwl)/Bredde/6)^EW$3)</f>
        <v>0.96716821013383469</v>
      </c>
      <c r="EX71" s="107">
        <f>IF(SeilBeregnet=0,EX53,(Lwl*0.7+Loa*0.3)^EX$3)</f>
        <v>1.8536020361776409</v>
      </c>
      <c r="EY71" s="107" t="str">
        <f t="shared" si="383"/>
        <v>-</v>
      </c>
      <c r="FA71" s="107">
        <f t="shared" si="371"/>
        <v>1.6414850564433379</v>
      </c>
      <c r="FB71" s="107">
        <f>IF(SeilBeregnet=0,FB53,SeilBeregnet^0.5/Depl^0.3333)</f>
        <v>2.7859406071193473</v>
      </c>
      <c r="FC71" s="107">
        <f>IF(SeilBeregnet=0,FC53,((Loa+Lwl)/Bredde/6)^FC$3)</f>
        <v>0.96716821013383469</v>
      </c>
      <c r="FD71" s="107">
        <f>IF(SeilBeregnet=0,FD53,(Lwl*0.7+Loa*0.3)^FD$3)</f>
        <v>1.8536020361776409</v>
      </c>
      <c r="FE71" s="107" t="str">
        <f t="shared" si="384"/>
        <v>-</v>
      </c>
      <c r="FF71" s="141" t="str">
        <f t="shared" si="250"/>
        <v>-</v>
      </c>
      <c r="FG71" s="107">
        <f t="shared" si="372"/>
        <v>2.606008812935396</v>
      </c>
      <c r="FH71" s="133">
        <f>IF(SeilBeregnet=0,FH53,(SeilBeregnet^0.5/(Depl^0.3333))^FH$3)</f>
        <v>2.7859406071193473</v>
      </c>
      <c r="FI71" s="133">
        <f>IF(SeilBeregnet=0,FI53,((Loa+Lwl)/Bredde/6)^FI$3)</f>
        <v>0.93541434669348533</v>
      </c>
      <c r="FJ71" s="107">
        <f>IF(SeilBeregnet=0,FJ53,(Lwl*0.07+Loa*0.03)^FJ$3)</f>
        <v>1.0423570253996639</v>
      </c>
      <c r="FK71" s="107" t="str">
        <f t="shared" si="385"/>
        <v>-</v>
      </c>
      <c r="FL71" s="141" t="str">
        <f t="shared" si="251"/>
        <v>-</v>
      </c>
      <c r="FM71" s="107">
        <f t="shared" si="373"/>
        <v>4.6354886302419871</v>
      </c>
      <c r="FN71" s="133">
        <f>IF(SeilBeregnet=0,FN53,(SeilBeregnet^0.5/(Depl^0.3333))^FN$3)</f>
        <v>2.7859406071193473</v>
      </c>
      <c r="FO71" s="133">
        <f>IF(SeilBeregnet=0,FO53,(SeilBeregnet^0.5/Lwl*FO$7)^FO$3)</f>
        <v>0.68469393629257014</v>
      </c>
      <c r="FP71" s="133">
        <f>IF(SeilBeregnet=0,FP53,((Loa)/Bredde)^FP$3*FP$7)</f>
        <v>1.664854086830069</v>
      </c>
      <c r="FQ71" s="107">
        <f>IF(SeilBeregnet=0,FQ53,(Lwl)^FQ$3)</f>
        <v>1.8374951981506853</v>
      </c>
      <c r="FR71" s="107" t="str">
        <f t="shared" si="386"/>
        <v>-</v>
      </c>
      <c r="FS71" s="141" t="str">
        <f t="shared" si="252"/>
        <v>-</v>
      </c>
      <c r="FT71" s="107">
        <f t="shared" si="374"/>
        <v>4.6381846054284885</v>
      </c>
      <c r="FU71" s="133">
        <f>IF(SeilBeregnet=0,FU53,(SeilBeregnet^0.5/(Depl^0.3333))^FU$3)</f>
        <v>2.7859406071193473</v>
      </c>
      <c r="FV71" s="133">
        <f>IF(SeilBeregnet=0,FV53,(Loa/Bredde)^FV$3)</f>
        <v>1.664854086830069</v>
      </c>
      <c r="FW71" s="107">
        <f>IF(SeilBeregnet=0,FW53,Lwl^FW$3)</f>
        <v>1.8374951981506853</v>
      </c>
      <c r="FY71">
        <v>0.95</v>
      </c>
      <c r="FZ71" s="62" t="str">
        <f t="shared" si="48"/>
        <v>-</v>
      </c>
      <c r="GA71" s="62">
        <f t="shared" si="49"/>
        <v>2.0444284042245155</v>
      </c>
      <c r="GB71" s="107" t="str">
        <f t="shared" si="50"/>
        <v>-</v>
      </c>
      <c r="GC71" s="441" t="s">
        <v>455</v>
      </c>
      <c r="GD71" s="57" t="s">
        <v>407</v>
      </c>
      <c r="GE71" s="436" t="s">
        <v>420</v>
      </c>
      <c r="GF71" s="465" t="s">
        <v>410</v>
      </c>
      <c r="GG71" s="57" t="s">
        <v>411</v>
      </c>
      <c r="GH71" s="57" t="s">
        <v>417</v>
      </c>
      <c r="GI71" s="57" t="s">
        <v>416</v>
      </c>
      <c r="GJ71" s="57" t="s">
        <v>415</v>
      </c>
      <c r="GL71" s="57" t="s">
        <v>478</v>
      </c>
      <c r="GM71" s="436" t="s">
        <v>478</v>
      </c>
      <c r="GN71" s="58" t="s">
        <v>478</v>
      </c>
      <c r="GO71" s="58" t="s">
        <v>478</v>
      </c>
      <c r="GP71" s="58" t="s">
        <v>478</v>
      </c>
      <c r="GQ71" s="58" t="s">
        <v>478</v>
      </c>
      <c r="GS71" s="57" t="s">
        <v>594</v>
      </c>
      <c r="GT71" s="57" t="s">
        <v>839</v>
      </c>
      <c r="GU71" s="57" t="s">
        <v>591</v>
      </c>
      <c r="GV71" s="632" t="s">
        <v>466</v>
      </c>
      <c r="GW71" s="57">
        <v>1984</v>
      </c>
      <c r="GX71" s="57" t="s">
        <v>468</v>
      </c>
      <c r="GY71" s="57" t="s">
        <v>587</v>
      </c>
      <c r="GZ71" s="57" t="s">
        <v>478</v>
      </c>
    </row>
    <row r="72" spans="1:208" ht="15.6" x14ac:dyDescent="0.3">
      <c r="A72" s="60" t="s">
        <v>28</v>
      </c>
      <c r="B72" s="218"/>
      <c r="C72" s="61" t="str">
        <f>C71</f>
        <v>Gaffel</v>
      </c>
      <c r="D72" s="61"/>
      <c r="E72" s="61"/>
      <c r="F72" s="61"/>
      <c r="G72" s="54"/>
      <c r="H72" s="204">
        <f>TBFavrundet</f>
        <v>128</v>
      </c>
      <c r="I72" s="63">
        <f>COUNTA(O72:AG72)</f>
        <v>4</v>
      </c>
      <c r="J72" s="222">
        <f>SUM(O72:AG72)</f>
        <v>125</v>
      </c>
      <c r="K72" s="116">
        <f>Seilareal/Depl^0.667/K$7</f>
        <v>1.6849957917904881</v>
      </c>
      <c r="L72" s="116">
        <f>Seilareal/Lwl/Lwl/L$7</f>
        <v>1.5393629487589218</v>
      </c>
      <c r="M72" s="92">
        <f>RiggF</f>
        <v>0.74840000000000007</v>
      </c>
      <c r="N72" s="242">
        <f>StHfaktor</f>
        <v>1.0055226928764704</v>
      </c>
      <c r="O72" s="143"/>
      <c r="P72" s="143"/>
      <c r="Q72" s="165">
        <v>30</v>
      </c>
      <c r="R72" s="143"/>
      <c r="S72" s="143"/>
      <c r="T72" s="143"/>
      <c r="U72" s="165">
        <v>23.5</v>
      </c>
      <c r="V72" s="559"/>
      <c r="W72" s="559"/>
      <c r="X72" s="165">
        <v>58</v>
      </c>
      <c r="Y72" s="143"/>
      <c r="Z72" s="143"/>
      <c r="AA72" s="165">
        <v>13.5</v>
      </c>
      <c r="AB72" s="143"/>
      <c r="AC72" s="143"/>
      <c r="AD72" s="143"/>
      <c r="AE72" s="143"/>
      <c r="AF72" s="143"/>
      <c r="AG72" s="551"/>
      <c r="AH72" s="557"/>
      <c r="AI72" s="557">
        <f>AI71</f>
        <v>11.6</v>
      </c>
      <c r="AJ72" s="337">
        <f xml:space="preserve"> AJ71</f>
        <v>0</v>
      </c>
      <c r="AK72" s="339"/>
      <c r="AL72" s="337">
        <f xml:space="preserve"> AL71</f>
        <v>0</v>
      </c>
      <c r="AM72" s="339"/>
      <c r="AN72" s="267" t="str">
        <f xml:space="preserve"> AN71</f>
        <v>Lystb</v>
      </c>
      <c r="AO72" s="45">
        <f>VLOOKUP(AN72,Skrogform!$1:$1048576,3,FALSE)</f>
        <v>0.98</v>
      </c>
      <c r="AP72" s="64">
        <f t="shared" ref="AP72:BB74" si="577">AP71</f>
        <v>12.8</v>
      </c>
      <c r="AQ72" s="64">
        <f t="shared" si="577"/>
        <v>11.1</v>
      </c>
      <c r="AR72" s="64">
        <f t="shared" si="577"/>
        <v>3.9</v>
      </c>
      <c r="AS72" s="64">
        <f t="shared" si="577"/>
        <v>2.14</v>
      </c>
      <c r="AT72" s="64">
        <f t="shared" si="577"/>
        <v>18</v>
      </c>
      <c r="AU72" s="64">
        <f t="shared" si="577"/>
        <v>18</v>
      </c>
      <c r="AV72" s="64">
        <f t="shared" si="577"/>
        <v>6.2</v>
      </c>
      <c r="AW72" s="64">
        <f t="shared" si="577"/>
        <v>0</v>
      </c>
      <c r="AX72" s="256">
        <f t="shared" si="577"/>
        <v>0</v>
      </c>
      <c r="AY72" s="256">
        <f t="shared" si="577"/>
        <v>68</v>
      </c>
      <c r="AZ72" s="256">
        <f t="shared" si="577"/>
        <v>480</v>
      </c>
      <c r="BA72" s="256">
        <f t="shared" si="577"/>
        <v>100</v>
      </c>
      <c r="BB72" s="256">
        <f t="shared" si="577"/>
        <v>150</v>
      </c>
      <c r="BC72" s="256"/>
      <c r="BD72" s="66"/>
      <c r="BE72" s="66"/>
      <c r="BF72" s="261"/>
      <c r="BG72" s="66"/>
      <c r="BH72" s="175"/>
      <c r="BI72" s="66"/>
      <c r="BJ72" s="66"/>
      <c r="BK72" s="65" t="str">
        <f t="shared" ref="BK72:BM74" si="578" xml:space="preserve"> BK71</f>
        <v>Seilrett</v>
      </c>
      <c r="BL72" s="267">
        <f t="shared" si="578"/>
        <v>3</v>
      </c>
      <c r="BM72" s="267">
        <f t="shared" si="578"/>
        <v>62</v>
      </c>
      <c r="BN72" s="45">
        <f t="shared" si="410"/>
        <v>1</v>
      </c>
      <c r="BO72" s="59"/>
      <c r="BP72" s="59"/>
      <c r="BR72" s="49">
        <f t="shared" ref="BR72:BX76" si="579">IF(O72=0,0,O72*BR$9)</f>
        <v>0</v>
      </c>
      <c r="BS72" s="49">
        <f t="shared" si="579"/>
        <v>0</v>
      </c>
      <c r="BT72" s="49">
        <f t="shared" si="579"/>
        <v>30</v>
      </c>
      <c r="BU72" s="49">
        <f t="shared" si="579"/>
        <v>0</v>
      </c>
      <c r="BV72" s="49">
        <f t="shared" si="579"/>
        <v>0</v>
      </c>
      <c r="BW72" s="49">
        <f t="shared" si="579"/>
        <v>0</v>
      </c>
      <c r="BX72" s="49">
        <f t="shared" si="579"/>
        <v>23.5</v>
      </c>
      <c r="BY72" s="549">
        <f>IF(COUNT(Q72:U72)&gt;1,MINA(Q72:U72)*BY$9,0)</f>
        <v>-11.75</v>
      </c>
      <c r="BZ72" s="85">
        <f t="shared" ref="BZ72:CD76" si="580">IF(V72=0,0,V72*BZ$9)</f>
        <v>0</v>
      </c>
      <c r="CA72" s="85">
        <f t="shared" si="580"/>
        <v>0</v>
      </c>
      <c r="CB72" s="85">
        <f t="shared" si="580"/>
        <v>46.400000000000006</v>
      </c>
      <c r="CC72" s="85">
        <f t="shared" si="580"/>
        <v>0</v>
      </c>
      <c r="CD72" s="85">
        <f t="shared" si="580"/>
        <v>0</v>
      </c>
      <c r="CE72" s="85">
        <f>IF(AC72=0,0,AC72*CE$9)</f>
        <v>0</v>
      </c>
      <c r="CF72" s="85">
        <f t="shared" ref="CF72:CG76" si="581">IF(AA72=0,0,AA72*CF$9)</f>
        <v>5.4</v>
      </c>
      <c r="CG72" s="85">
        <f t="shared" si="581"/>
        <v>0</v>
      </c>
      <c r="CH72" s="85">
        <f t="shared" ref="CH72:CK76" si="582">IF(AD72=0,0,AD72*CH$9)</f>
        <v>0</v>
      </c>
      <c r="CI72" s="85">
        <f t="shared" si="582"/>
        <v>0</v>
      </c>
      <c r="CJ72" s="85">
        <f t="shared" si="582"/>
        <v>0</v>
      </c>
      <c r="CK72" s="85">
        <f t="shared" si="582"/>
        <v>0</v>
      </c>
      <c r="CL72" s="100">
        <f>SUM(BR72:CK72)</f>
        <v>93.550000000000011</v>
      </c>
      <c r="CM72" s="50"/>
      <c r="CN72" s="104">
        <f>J72</f>
        <v>125</v>
      </c>
      <c r="CO72" s="101">
        <f t="shared" ref="CO72" si="583">CL72/CN72</f>
        <v>0.74840000000000007</v>
      </c>
      <c r="CP72" s="51">
        <f>Seilareal/Lwl/Lwl</f>
        <v>1.0145280415550686</v>
      </c>
      <c r="CQ72" s="116">
        <f>Seilareal/Depl^0.667/K$7</f>
        <v>1.6849957917904881</v>
      </c>
      <c r="CR72" s="51">
        <f>Seilareal/Lwl/Lwl/SApRS1</f>
        <v>1.5393629487589218</v>
      </c>
      <c r="CS72" s="204"/>
      <c r="CT72" s="204">
        <f>(ROUND(TBF/CT$6,3)*CT$6)*CT$4</f>
        <v>128</v>
      </c>
      <c r="CU72" s="107">
        <f t="shared" si="36"/>
        <v>1.2778863829210956</v>
      </c>
      <c r="CV72" s="62">
        <f t="shared" si="13"/>
        <v>3.6821664499633848</v>
      </c>
      <c r="CW72" s="62">
        <f t="shared" si="14"/>
        <v>1.7504578155735613</v>
      </c>
      <c r="CX72" s="62">
        <f t="shared" si="15"/>
        <v>1.8252852516227529</v>
      </c>
      <c r="CY72" s="107">
        <f t="shared" si="16"/>
        <v>1.0055226928764704</v>
      </c>
      <c r="CZ72" s="168">
        <f t="shared" si="37"/>
        <v>1.272</v>
      </c>
      <c r="DA72" s="159">
        <f>DA71</f>
        <v>1.02</v>
      </c>
      <c r="DB72" s="168">
        <f t="shared" si="38"/>
        <v>1.1994736842105265</v>
      </c>
      <c r="DC72" s="159">
        <f>DC71</f>
        <v>1.29</v>
      </c>
      <c r="DD72" s="190" t="s">
        <v>134</v>
      </c>
      <c r="DE72" s="62">
        <v>1.02</v>
      </c>
      <c r="DF72" s="62">
        <v>0.96</v>
      </c>
      <c r="DG72" s="62">
        <v>1.03</v>
      </c>
      <c r="DH72" s="150">
        <v>1.05</v>
      </c>
      <c r="DI72" s="62">
        <f t="shared" si="39"/>
        <v>2.0978443255134516</v>
      </c>
      <c r="DJ72" s="47">
        <f t="shared" si="17"/>
        <v>13.375</v>
      </c>
      <c r="DK72" s="48">
        <f t="shared" si="18"/>
        <v>0</v>
      </c>
      <c r="DM72" s="107">
        <f t="shared" si="381"/>
        <v>1.2454341951711803</v>
      </c>
      <c r="DN72" s="142">
        <f t="shared" si="246"/>
        <v>-5.8531501687080656</v>
      </c>
      <c r="DO72" s="107">
        <f t="shared" si="19"/>
        <v>5.5026052205686344</v>
      </c>
      <c r="DP72" s="133">
        <f>IF(SeilBeregnet=0,DP71,(SeilBeregnet^0.5/(Depl^0.3333))^DP$3*DP$7)</f>
        <v>3.690961965937281</v>
      </c>
      <c r="DQ72" s="133">
        <f>IF(SeilBeregnet=0,DQ71,(SeilBeregnet^0.5/Lwl)^DQ$3*DQ$7)</f>
        <v>0</v>
      </c>
      <c r="DR72" s="133">
        <f>IF(SeilBeregnet=0,DR71,(0.1*Loa/Depl^0.3333)^DR$3*DR$7)</f>
        <v>0</v>
      </c>
      <c r="DS72" s="133">
        <f>IF(SeilBeregnet=0,DS71,((Loa)/Bredde)^DS$3*DS$7)</f>
        <v>1.8116432546313532</v>
      </c>
      <c r="DT72" s="107">
        <f>IF(SeilBeregnet=0,DT71,(Lwl)^DT$3)</f>
        <v>1.8252852516227529</v>
      </c>
      <c r="DU72" s="133">
        <f>IF(SeilBeregnet=0,DU71,(Dypg/Loa)^DU$3*5*DU$7)</f>
        <v>2.0444284042245155</v>
      </c>
      <c r="DW72" s="72">
        <f t="shared" si="417"/>
        <v>1.3039656968582609</v>
      </c>
      <c r="DX72" s="107">
        <f t="shared" si="40"/>
        <v>1.2697642899627068</v>
      </c>
      <c r="DY72" s="122">
        <f>DX72-DW72</f>
        <v>-3.4201406895554065E-2</v>
      </c>
      <c r="DZ72" s="107">
        <f t="shared" si="41"/>
        <v>1.2370727615564308</v>
      </c>
      <c r="EA72" s="122">
        <f t="shared" si="248"/>
        <v>-6.6892935301830159E-2</v>
      </c>
      <c r="EB72" s="107">
        <f t="shared" si="42"/>
        <v>1.2868649206032554</v>
      </c>
      <c r="EC72" s="122">
        <f t="shared" si="249"/>
        <v>-1.7100776255005501E-2</v>
      </c>
      <c r="ED72" s="107">
        <f>IF(SeilBeregnet=0,ED71,SeilBeregnet^0.5/Depl^0.33333)</f>
        <v>3.6906419322459523</v>
      </c>
      <c r="EE72" s="107">
        <f>IF(SeilBeregnet=0,EE71,Lwl^0.3333)</f>
        <v>2.2305201393117833</v>
      </c>
      <c r="EF72" s="107">
        <f>IF(SeilBeregnet=0,EF71,((Loa+Lwl)/Bredde)^EF$3)</f>
        <v>1.5733789064132366</v>
      </c>
      <c r="EH72" s="107">
        <f t="shared" si="43"/>
        <v>1.2685622601449411</v>
      </c>
      <c r="EJ72" s="107">
        <f>IF(SeilBeregnet=0,EJ71,SeilBeregnet^0.5/Depl^0.33333)</f>
        <v>3.6906419322459523</v>
      </c>
      <c r="EK72" s="107">
        <f>IF(SeilBeregnet=0,EK71,Lwl^EK$3)</f>
        <v>2.2306812073130904</v>
      </c>
      <c r="EL72" s="107">
        <f>IF(SeilBeregnet=0,EL71,((Loa+Lwl)/Bredde)^EL$3)</f>
        <v>1.8298613614330996</v>
      </c>
      <c r="EM72" s="107">
        <f t="shared" si="44"/>
        <v>1.270083347469289</v>
      </c>
      <c r="EO72" s="107">
        <f>IF(SeilBeregnet=0,EO71,(EP72*EQ72)^EO$3)</f>
        <v>5.8067781673199708</v>
      </c>
      <c r="EP72" s="107">
        <f>IF(SeilBeregnet=0,EP71,SeilBeregnet^0.5/Depl^0.33333)</f>
        <v>3.6906419322459523</v>
      </c>
      <c r="EQ72" s="107">
        <f>IF(SeilBeregnet=0,EQ71,((Loa+Lwl)/Bredde)^EQ$3)</f>
        <v>1.5733789064132366</v>
      </c>
      <c r="ER72" s="107">
        <f>IF(SeilBeregnet=0,ER71,Lwl^ER$3)</f>
        <v>1.8252852516227529</v>
      </c>
      <c r="ES72" s="107">
        <f t="shared" si="382"/>
        <v>1.2667121567694006</v>
      </c>
      <c r="EU72" s="107">
        <f>IF(SeilBeregnet=0,EU71,(EV:EV*EW:EW)^EU$3)</f>
        <v>1.9261881704280357</v>
      </c>
      <c r="EV72" s="107">
        <f>IF(SeilBeregnet=0,EV71,SeilBeregnet^0.5/Depl^0.33333)</f>
        <v>3.6906419322459523</v>
      </c>
      <c r="EW72" s="107">
        <f>IF(SeilBeregnet=0,EW71,((Loa+Lwl)/Bredde/6)^EW$3)</f>
        <v>1.0052996026192789</v>
      </c>
      <c r="EX72" s="107">
        <f>IF(SeilBeregnet=0,EX71,(Lwl*0.7+Loa*0.3)^EX$3)</f>
        <v>1.8458995117503456</v>
      </c>
      <c r="EY72" s="107">
        <f t="shared" si="383"/>
        <v>1.1956107607475603</v>
      </c>
      <c r="FA72" s="107">
        <f t="shared" si="371"/>
        <v>1.9262716832367186</v>
      </c>
      <c r="FB72" s="107">
        <f>IF(SeilBeregnet=0,FB71,SeilBeregnet^0.5/Depl^0.3333)</f>
        <v>3.690961965937281</v>
      </c>
      <c r="FC72" s="107">
        <f>IF(SeilBeregnet=0,FC71,((Loa+Lwl)/Bredde/6)^FC$3)</f>
        <v>1.0052996026192789</v>
      </c>
      <c r="FD72" s="107">
        <f>IF(SeilBeregnet=0,FD71,(Lwl*0.7+Loa*0.3)^FD$3)</f>
        <v>1.8458995117503456</v>
      </c>
      <c r="FE72" s="107">
        <f t="shared" si="384"/>
        <v>1.2490969174550861</v>
      </c>
      <c r="FF72" s="141">
        <f t="shared" si="250"/>
        <v>-5.4868779403174806</v>
      </c>
      <c r="FG72" s="107">
        <f t="shared" si="372"/>
        <v>3.730186892916965</v>
      </c>
      <c r="FH72" s="133">
        <f>IF(SeilBeregnet=0,FH71,(SeilBeregnet^0.5/(Depl^0.3333))^FH$3)</f>
        <v>3.690961965937281</v>
      </c>
      <c r="FI72" s="133">
        <f>IF(SeilBeregnet=0,FI71,((Loa+Lwl)/Bredde/6)^FI$3)</f>
        <v>1.01062729102648</v>
      </c>
      <c r="FJ72" s="107">
        <f>IF(SeilBeregnet=0,FJ71,(Lwl*0.07+Loa*0.03)^FJ$3)</f>
        <v>1.0380255776059077</v>
      </c>
      <c r="FK72" s="107">
        <f t="shared" si="385"/>
        <v>1.2758783536360723</v>
      </c>
      <c r="FL72" s="141">
        <f t="shared" si="251"/>
        <v>-2.8087343222188643</v>
      </c>
      <c r="FM72" s="107">
        <f t="shared" si="373"/>
        <v>5.8739678237940733</v>
      </c>
      <c r="FN72" s="133">
        <f>IF(SeilBeregnet=0,FN71,(SeilBeregnet^0.5/(Depl^0.3333))^FN$3)</f>
        <v>3.690961965937281</v>
      </c>
      <c r="FO72" s="133">
        <f>IF(SeilBeregnet=0,FO71,(SeilBeregnet^0.5/Lwl*FO$7)^FO$3)</f>
        <v>0.8713626032254389</v>
      </c>
      <c r="FP72" s="133">
        <f>IF(SeilBeregnet=0,FP71,((Loa)/Bredde)^FP$3*FP$7)</f>
        <v>1.8116432546313532</v>
      </c>
      <c r="FQ72" s="107">
        <f>IF(SeilBeregnet=0,FQ71,(Lwl)^FQ$3)</f>
        <v>1.8252852516227529</v>
      </c>
      <c r="FR72" s="107">
        <f t="shared" si="386"/>
        <v>1.248402399148109</v>
      </c>
      <c r="FS72" s="141">
        <f t="shared" si="252"/>
        <v>-5.5563297710151893</v>
      </c>
      <c r="FT72" s="107">
        <f t="shared" si="374"/>
        <v>6.6867063486911533</v>
      </c>
      <c r="FU72" s="133">
        <f>IF(SeilBeregnet=0,FU71,(SeilBeregnet^0.5/(Depl^0.3333))^FU$3)</f>
        <v>3.690961965937281</v>
      </c>
      <c r="FV72" s="133">
        <f>IF(SeilBeregnet=0,FV71,(Loa/Bredde)^FV$3)</f>
        <v>1.8116432546313532</v>
      </c>
      <c r="FW72" s="107">
        <f>IF(SeilBeregnet=0,FW71,Lwl^FW$3)</f>
        <v>1.8252852516227529</v>
      </c>
      <c r="FY72">
        <v>0.95</v>
      </c>
      <c r="FZ72" s="62">
        <f t="shared" si="48"/>
        <v>1.2239524869456841</v>
      </c>
      <c r="GA72" s="62">
        <f t="shared" si="49"/>
        <v>2.0444284042245155</v>
      </c>
      <c r="GB72" s="107">
        <f t="shared" si="50"/>
        <v>1.2819931354336125</v>
      </c>
      <c r="GC72" s="440"/>
      <c r="GD72" s="17"/>
      <c r="GE72" s="442"/>
      <c r="GF72" s="462"/>
      <c r="GG72" s="17"/>
      <c r="GH72" s="17"/>
      <c r="GI72" s="17"/>
      <c r="GJ72" s="17"/>
      <c r="GL72" s="17"/>
      <c r="GM72" s="442"/>
      <c r="GN72" s="8"/>
      <c r="GO72" s="8"/>
      <c r="GP72" s="8"/>
      <c r="GQ72" s="8"/>
      <c r="GS72" s="17"/>
      <c r="GT72" s="17"/>
      <c r="GU72" s="17"/>
      <c r="GV72" s="629"/>
      <c r="GW72" s="17"/>
      <c r="GX72" s="17"/>
      <c r="GY72" s="17"/>
      <c r="GZ72" s="17"/>
    </row>
    <row r="73" spans="1:208" ht="15.6" x14ac:dyDescent="0.3">
      <c r="A73" s="60" t="s">
        <v>115</v>
      </c>
      <c r="B73" s="218"/>
      <c r="C73" s="61" t="str">
        <f>C72</f>
        <v>Gaffel</v>
      </c>
      <c r="D73" s="61"/>
      <c r="E73" s="61"/>
      <c r="F73" s="61"/>
      <c r="G73" s="54"/>
      <c r="H73" s="204">
        <f>TBFavrundet</f>
        <v>126</v>
      </c>
      <c r="I73" s="63">
        <f>COUNTA(O73:AG73)</f>
        <v>4</v>
      </c>
      <c r="J73" s="222">
        <f>SUM(O73:AG73)</f>
        <v>121</v>
      </c>
      <c r="K73" s="116">
        <f>Seilareal/Depl^0.667/K$7</f>
        <v>1.6310759264531924</v>
      </c>
      <c r="L73" s="116">
        <f>Seilareal/Lwl/Lwl/L$7</f>
        <v>1.4901033343986363</v>
      </c>
      <c r="M73" s="92">
        <f>RiggF</f>
        <v>0.74008264462809925</v>
      </c>
      <c r="N73" s="242">
        <f>StHfaktor</f>
        <v>1.0055226928764704</v>
      </c>
      <c r="O73" s="143"/>
      <c r="P73" s="143"/>
      <c r="Q73" s="143"/>
      <c r="R73" s="165">
        <v>26</v>
      </c>
      <c r="S73" s="143"/>
      <c r="T73" s="143"/>
      <c r="U73" s="165">
        <v>23.5</v>
      </c>
      <c r="V73" s="559"/>
      <c r="W73" s="559"/>
      <c r="X73" s="165">
        <v>58</v>
      </c>
      <c r="Y73" s="143"/>
      <c r="Z73" s="143"/>
      <c r="AA73" s="165">
        <v>13.5</v>
      </c>
      <c r="AB73" s="143"/>
      <c r="AC73" s="143"/>
      <c r="AD73" s="143"/>
      <c r="AE73" s="143"/>
      <c r="AF73" s="143"/>
      <c r="AG73" s="551"/>
      <c r="AH73" s="557"/>
      <c r="AI73" s="557">
        <f>AI72</f>
        <v>11.6</v>
      </c>
      <c r="AJ73" s="337">
        <f xml:space="preserve"> AJ72</f>
        <v>0</v>
      </c>
      <c r="AK73" s="339"/>
      <c r="AL73" s="337">
        <f xml:space="preserve"> AL72</f>
        <v>0</v>
      </c>
      <c r="AM73" s="339"/>
      <c r="AN73" s="267" t="str">
        <f xml:space="preserve"> AN72</f>
        <v>Lystb</v>
      </c>
      <c r="AO73" s="45">
        <f>VLOOKUP(AN73,Skrogform!$1:$1048576,3,FALSE)</f>
        <v>0.98</v>
      </c>
      <c r="AP73" s="64">
        <f t="shared" si="577"/>
        <v>12.8</v>
      </c>
      <c r="AQ73" s="64">
        <f t="shared" si="577"/>
        <v>11.1</v>
      </c>
      <c r="AR73" s="64">
        <f t="shared" si="577"/>
        <v>3.9</v>
      </c>
      <c r="AS73" s="64">
        <f t="shared" si="577"/>
        <v>2.14</v>
      </c>
      <c r="AT73" s="64">
        <f t="shared" si="577"/>
        <v>18</v>
      </c>
      <c r="AU73" s="64">
        <f t="shared" si="577"/>
        <v>18</v>
      </c>
      <c r="AV73" s="64">
        <f t="shared" si="577"/>
        <v>6.2</v>
      </c>
      <c r="AW73" s="64">
        <f t="shared" si="577"/>
        <v>0</v>
      </c>
      <c r="AX73" s="256">
        <f t="shared" si="577"/>
        <v>0</v>
      </c>
      <c r="AY73" s="256">
        <f t="shared" si="577"/>
        <v>68</v>
      </c>
      <c r="AZ73" s="256">
        <f t="shared" si="577"/>
        <v>480</v>
      </c>
      <c r="BA73" s="256">
        <f t="shared" si="577"/>
        <v>100</v>
      </c>
      <c r="BB73" s="256">
        <f t="shared" si="577"/>
        <v>150</v>
      </c>
      <c r="BC73" s="256"/>
      <c r="BD73" s="66"/>
      <c r="BE73" s="66"/>
      <c r="BF73" s="261"/>
      <c r="BG73" s="66"/>
      <c r="BH73" s="175"/>
      <c r="BI73" s="66"/>
      <c r="BJ73" s="66"/>
      <c r="BK73" s="65" t="str">
        <f t="shared" si="578"/>
        <v>Seilrett</v>
      </c>
      <c r="BL73" s="267">
        <f t="shared" si="578"/>
        <v>3</v>
      </c>
      <c r="BM73" s="267">
        <f t="shared" si="578"/>
        <v>62</v>
      </c>
      <c r="BN73" s="45">
        <f t="shared" ref="BN73" si="584">IF((BK73="Fast"),(1.006248-(0.06415*((BM73/100*SQRT(BL73))/POWER(AU73,(1/3))))),1)</f>
        <v>1</v>
      </c>
      <c r="BO73" s="59"/>
      <c r="BP73" s="59"/>
      <c r="BR73" s="49">
        <f t="shared" si="579"/>
        <v>0</v>
      </c>
      <c r="BS73" s="49">
        <f t="shared" si="579"/>
        <v>0</v>
      </c>
      <c r="BT73" s="49">
        <f t="shared" si="579"/>
        <v>0</v>
      </c>
      <c r="BU73" s="49">
        <f t="shared" si="579"/>
        <v>26</v>
      </c>
      <c r="BV73" s="49">
        <f t="shared" si="579"/>
        <v>0</v>
      </c>
      <c r="BW73" s="49">
        <f t="shared" si="579"/>
        <v>0</v>
      </c>
      <c r="BX73" s="49">
        <f t="shared" si="579"/>
        <v>23.5</v>
      </c>
      <c r="BY73" s="549">
        <f>IF(COUNT(Q73:U73)&gt;1,MINA(Q73:U73)*BY$9,0)</f>
        <v>-11.75</v>
      </c>
      <c r="BZ73" s="85">
        <f t="shared" si="580"/>
        <v>0</v>
      </c>
      <c r="CA73" s="85">
        <f t="shared" si="580"/>
        <v>0</v>
      </c>
      <c r="CB73" s="85">
        <f t="shared" si="580"/>
        <v>46.400000000000006</v>
      </c>
      <c r="CC73" s="85">
        <f t="shared" si="580"/>
        <v>0</v>
      </c>
      <c r="CD73" s="85">
        <f t="shared" si="580"/>
        <v>0</v>
      </c>
      <c r="CE73" s="85">
        <f>IF(AC73=0,0,AC73*CE$9)</f>
        <v>0</v>
      </c>
      <c r="CF73" s="85">
        <f t="shared" si="581"/>
        <v>5.4</v>
      </c>
      <c r="CG73" s="85">
        <f t="shared" si="581"/>
        <v>0</v>
      </c>
      <c r="CH73" s="85">
        <f t="shared" si="582"/>
        <v>0</v>
      </c>
      <c r="CI73" s="85">
        <f t="shared" si="582"/>
        <v>0</v>
      </c>
      <c r="CJ73" s="85">
        <f t="shared" si="582"/>
        <v>0</v>
      </c>
      <c r="CK73" s="85">
        <f t="shared" si="582"/>
        <v>0</v>
      </c>
      <c r="CL73" s="100">
        <f>SUM(BR73:CK73)</f>
        <v>89.550000000000011</v>
      </c>
      <c r="CM73" s="50"/>
      <c r="CN73" s="104">
        <f>J73</f>
        <v>121</v>
      </c>
      <c r="CO73" s="101">
        <f t="shared" ref="CO73" si="585">CL73/CN73</f>
        <v>0.74008264462809925</v>
      </c>
      <c r="CP73" s="51">
        <f>Seilareal/Lwl/Lwl</f>
        <v>0.98206314422530638</v>
      </c>
      <c r="CQ73" s="116">
        <f>Seilareal/Depl^0.667/K$7</f>
        <v>1.6310759264531924</v>
      </c>
      <c r="CR73" s="51">
        <f>Seilareal/Lwl/Lwl/SApRS1</f>
        <v>1.4901033343986363</v>
      </c>
      <c r="CS73" s="204"/>
      <c r="CT73" s="204">
        <f>(ROUND(TBF/CT$6,3)*CT$6)*CT$4</f>
        <v>126</v>
      </c>
      <c r="CU73" s="107">
        <f t="shared" si="36"/>
        <v>1.2591670301777731</v>
      </c>
      <c r="CV73" s="62">
        <f t="shared" si="13"/>
        <v>3.6025856583471088</v>
      </c>
      <c r="CW73" s="62">
        <f t="shared" si="14"/>
        <v>1.7504578155735613</v>
      </c>
      <c r="CX73" s="62">
        <f t="shared" si="15"/>
        <v>1.8252852516227529</v>
      </c>
      <c r="CY73" s="107">
        <f t="shared" si="16"/>
        <v>1.0055226928764704</v>
      </c>
      <c r="CZ73" s="168">
        <f t="shared" ref="CZ73" si="586">IF(DA73=0,"-",IF(CP73="TBF","-",CZ$7*DA73))</f>
        <v>1.272</v>
      </c>
      <c r="DA73" s="159">
        <f>DA72</f>
        <v>1.02</v>
      </c>
      <c r="DB73" s="168">
        <f t="shared" ref="DB73" si="587">IF(DC73=0,"-",IF(CT73="TBF","-",DB$7*DC73))</f>
        <v>1.1994736842105265</v>
      </c>
      <c r="DC73" s="159">
        <f>DC72</f>
        <v>1.29</v>
      </c>
      <c r="DD73" s="190" t="s">
        <v>134</v>
      </c>
      <c r="DE73" s="62">
        <v>1.02</v>
      </c>
      <c r="DF73" s="62">
        <v>0.96</v>
      </c>
      <c r="DG73" s="62">
        <v>1.03</v>
      </c>
      <c r="DH73" s="150">
        <v>1.05</v>
      </c>
      <c r="DI73" s="62">
        <f t="shared" si="39"/>
        <v>2.0978443255134516</v>
      </c>
      <c r="DJ73" s="47">
        <f t="shared" si="17"/>
        <v>13.375</v>
      </c>
      <c r="DK73" s="48">
        <f t="shared" ref="DK73" si="588">DJ$7*IF(DJ73&lt;DJ$5,-0.04,IF(DJ73&lt;DJ$5*1.1,-0.03,IF(DJ73&lt;DJ$5*1.2,-0.02,IF(DJ73&lt;DJ$5*1.3,-0.01,0))))</f>
        <v>0</v>
      </c>
      <c r="DM73" s="107">
        <f t="shared" si="381"/>
        <v>1.2273792223870079</v>
      </c>
      <c r="DN73" s="142">
        <f t="shared" ref="DN73" si="589">IF($DY73=0,"-",(DM73-$DW73)*100)</f>
        <v>-5.748509412092373</v>
      </c>
      <c r="DO73" s="107">
        <f t="shared" ref="DO73" si="590">SUM(DP73:DS73)^DO$3+DO$7</f>
        <v>5.422834335936904</v>
      </c>
      <c r="DP73" s="133">
        <f>IF(SeilBeregnet=0,DP72,(SeilBeregnet^0.5/(Depl^0.3333))^DP$3*DP$7)</f>
        <v>3.611191081305551</v>
      </c>
      <c r="DQ73" s="133">
        <f>IF(SeilBeregnet=0,DQ72,(SeilBeregnet^0.5/Lwl)^DQ$3*DQ$7)</f>
        <v>0</v>
      </c>
      <c r="DR73" s="133">
        <f>IF(SeilBeregnet=0,DR72,(0.1*Loa/Depl^0.3333)^DR$3*DR$7)</f>
        <v>0</v>
      </c>
      <c r="DS73" s="133">
        <f>IF(SeilBeregnet=0,DS72,((Loa)/Bredde)^DS$3*DS$7)</f>
        <v>1.8116432546313532</v>
      </c>
      <c r="DT73" s="107">
        <f>IF(SeilBeregnet=0,DT72,(Lwl)^DT$3)</f>
        <v>1.8252852516227529</v>
      </c>
      <c r="DU73" s="133">
        <f>IF(SeilBeregnet=0,DU72,(Dypg/Loa)^DU$3*5*DU$7)</f>
        <v>2.0444284042245155</v>
      </c>
      <c r="DW73" s="72">
        <f t="shared" si="417"/>
        <v>1.2848643165079316</v>
      </c>
      <c r="DX73" s="107">
        <f t="shared" si="40"/>
        <v>1.247600645655405</v>
      </c>
      <c r="DY73" s="122">
        <f>DX73-DW73</f>
        <v>-3.7263670852526687E-2</v>
      </c>
      <c r="DZ73" s="107">
        <f t="shared" si="41"/>
        <v>1.2192740252882588</v>
      </c>
      <c r="EA73" s="122">
        <f t="shared" ref="EA73" si="591">IF($DY73=0,"-",DZ73-$DW73)</f>
        <v>-6.5590291219672858E-2</v>
      </c>
      <c r="EB73" s="107">
        <f t="shared" ref="EB73" si="592">IF(SeilBeregnet=0,"-",EB$7*(EB$4*ED73*EE73*EF73*PropF+EB$6)+ErfaringsF+Dyp_F)</f>
        <v>1.2651016005950728</v>
      </c>
      <c r="EC73" s="122">
        <f t="shared" ref="EC73" si="593">IF($DY73=0,"-",EB73-$DW73)</f>
        <v>-1.976271591285883E-2</v>
      </c>
      <c r="ED73" s="107">
        <f>IF(SeilBeregnet=0,ED72,SeilBeregnet^0.5/Depl^0.33333)</f>
        <v>3.6108779643397004</v>
      </c>
      <c r="EE73" s="107">
        <f>IF(SeilBeregnet=0,EE72,Lwl^0.3333)</f>
        <v>2.2305201393117833</v>
      </c>
      <c r="EF73" s="107">
        <f>IF(SeilBeregnet=0,EF72,((Loa+Lwl)/Bredde)^EF$3)</f>
        <v>1.5733789064132366</v>
      </c>
      <c r="EH73" s="107">
        <f t="shared" ref="EH73" si="594">IF(SeilBeregnet=0,"-",EH$7*(EH$4*EJ73*EK73*EL73*PropF+EH$6)+ErfaringsF+Dyp_F)</f>
        <v>1.2489548147611711</v>
      </c>
      <c r="EJ73" s="107">
        <f>IF(SeilBeregnet=0,EJ72,SeilBeregnet^0.5/Depl^0.33333)</f>
        <v>3.6108779643397004</v>
      </c>
      <c r="EK73" s="107">
        <f>IF(SeilBeregnet=0,EK72,Lwl^EK$3)</f>
        <v>2.2306812073130904</v>
      </c>
      <c r="EL73" s="107">
        <f>IF(SeilBeregnet=0,EL72,((Loa+Lwl)/Bredde)^EL$3)</f>
        <v>1.8298613614330996</v>
      </c>
      <c r="EM73" s="107">
        <f t="shared" ref="EM73" si="595">IF(SeilBeregnet=0,"-",EM$7*(EM$4*EO73+EM$6)*ER73*PropF+ErfaringsF+Dyp_F)</f>
        <v>1.2496659465595283</v>
      </c>
      <c r="EO73" s="107">
        <f>IF(SeilBeregnet=0,EO72,(EP73*EQ73)^EO$3)</f>
        <v>5.6812792227244522</v>
      </c>
      <c r="EP73" s="107">
        <f>IF(SeilBeregnet=0,EP72,SeilBeregnet^0.5/Depl^0.33333)</f>
        <v>3.6108779643397004</v>
      </c>
      <c r="EQ73" s="107">
        <f>IF(SeilBeregnet=0,EQ72,((Loa+Lwl)/Bredde)^EQ$3)</f>
        <v>1.5733789064132366</v>
      </c>
      <c r="ER73" s="107">
        <f>IF(SeilBeregnet=0,ER72,Lwl^ER$3)</f>
        <v>1.8252852516227529</v>
      </c>
      <c r="ES73" s="107">
        <f t="shared" si="382"/>
        <v>1.2481238231385825</v>
      </c>
      <c r="EU73" s="107">
        <f>IF(SeilBeregnet=0,EU72,(EV:EV*EW:EW)^EU$3)</f>
        <v>1.9052596103044361</v>
      </c>
      <c r="EV73" s="107">
        <f>IF(SeilBeregnet=0,EV72,SeilBeregnet^0.5/Depl^0.33333)</f>
        <v>3.6108779643397004</v>
      </c>
      <c r="EW73" s="107">
        <f>IF(SeilBeregnet=0,EW72,((Loa+Lwl)/Bredde/6)^EW$3)</f>
        <v>1.0052996026192789</v>
      </c>
      <c r="EX73" s="107">
        <f>IF(SeilBeregnet=0,EX72,(Lwl*0.7+Loa*0.3)^EX$3)</f>
        <v>1.8458995117503456</v>
      </c>
      <c r="EY73" s="107">
        <f t="shared" si="383"/>
        <v>1.1826201235528735</v>
      </c>
      <c r="FA73" s="107">
        <f t="shared" si="371"/>
        <v>1.9053422157236621</v>
      </c>
      <c r="FB73" s="107">
        <f>IF(SeilBeregnet=0,FB72,SeilBeregnet^0.5/Depl^0.3333)</f>
        <v>3.611191081305551</v>
      </c>
      <c r="FC73" s="107">
        <f>IF(SeilBeregnet=0,FC72,((Loa+Lwl)/Bredde/6)^FC$3)</f>
        <v>1.0052996026192789</v>
      </c>
      <c r="FD73" s="107">
        <f>IF(SeilBeregnet=0,FD72,(Lwl*0.7+Loa*0.3)^FD$3)</f>
        <v>1.8458995117503456</v>
      </c>
      <c r="FE73" s="107">
        <f t="shared" si="384"/>
        <v>1.2315232347987888</v>
      </c>
      <c r="FF73" s="141">
        <f t="shared" ref="FF73" si="596">IF($DY73=0,"-",(FE73-$DW73)*100)</f>
        <v>-5.3341081709142868</v>
      </c>
      <c r="FG73" s="107">
        <f t="shared" si="372"/>
        <v>3.6495682598788139</v>
      </c>
      <c r="FH73" s="133">
        <f>IF(SeilBeregnet=0,FH72,(SeilBeregnet^0.5/(Depl^0.3333))^FH$3)</f>
        <v>3.611191081305551</v>
      </c>
      <c r="FI73" s="133">
        <f>IF(SeilBeregnet=0,FI72,((Loa+Lwl)/Bredde/6)^FI$3)</f>
        <v>1.01062729102648</v>
      </c>
      <c r="FJ73" s="107">
        <f>IF(SeilBeregnet=0,FJ72,(Lwl*0.07+Loa*0.03)^FJ$3)</f>
        <v>1.0380255776059077</v>
      </c>
      <c r="FK73" s="107">
        <f t="shared" si="385"/>
        <v>1.2544608562465265</v>
      </c>
      <c r="FL73" s="141">
        <f t="shared" ref="FL73" si="597">IF($DY73=0,"-",(FK73-$DW73)*100)</f>
        <v>-3.0403460261405169</v>
      </c>
      <c r="FM73" s="107">
        <f t="shared" si="373"/>
        <v>5.7753646221848776</v>
      </c>
      <c r="FN73" s="133">
        <f>IF(SeilBeregnet=0,FN72,(SeilBeregnet^0.5/(Depl^0.3333))^FN$3)</f>
        <v>3.611191081305551</v>
      </c>
      <c r="FO73" s="133">
        <f>IF(SeilBeregnet=0,FO72,(SeilBeregnet^0.5/Lwl*FO$7)^FO$3)</f>
        <v>0.85253028624797322</v>
      </c>
      <c r="FP73" s="133">
        <f>IF(SeilBeregnet=0,FP72,((Loa)/Bredde)^FP$3*FP$7)</f>
        <v>1.8116432546313532</v>
      </c>
      <c r="FQ73" s="107">
        <f>IF(SeilBeregnet=0,FQ72,(Lwl)^FQ$3)</f>
        <v>1.8252852516227529</v>
      </c>
      <c r="FR73" s="107">
        <f t="shared" si="386"/>
        <v>1.2315202470670776</v>
      </c>
      <c r="FS73" s="141">
        <f t="shared" ref="FS73" si="598">IF($DY73=0,"-",(FR73-$DW73)*100)</f>
        <v>-5.3344069440854014</v>
      </c>
      <c r="FT73" s="107">
        <f t="shared" si="374"/>
        <v>6.5421899636321044</v>
      </c>
      <c r="FU73" s="133">
        <f>IF(SeilBeregnet=0,FU72,(SeilBeregnet^0.5/(Depl^0.3333))^FU$3)</f>
        <v>3.611191081305551</v>
      </c>
      <c r="FV73" s="133">
        <f>IF(SeilBeregnet=0,FV72,(Loa/Bredde)^FV$3)</f>
        <v>1.8116432546313532</v>
      </c>
      <c r="FW73" s="107">
        <f>IF(SeilBeregnet=0,FW72,Lwl^FW$3)</f>
        <v>1.8252852516227529</v>
      </c>
      <c r="FY73">
        <v>0.95</v>
      </c>
      <c r="FZ73" s="62">
        <f t="shared" si="48"/>
        <v>1.2110161504727219</v>
      </c>
      <c r="GA73" s="62">
        <f t="shared" si="49"/>
        <v>2.0444284042245155</v>
      </c>
      <c r="GB73" s="107">
        <f t="shared" si="50"/>
        <v>1.2726901007955844</v>
      </c>
      <c r="GC73" s="440"/>
      <c r="GD73" s="17"/>
      <c r="GE73" s="442"/>
      <c r="GF73" s="462"/>
      <c r="GG73" s="17"/>
      <c r="GH73" s="17"/>
      <c r="GI73" s="17"/>
      <c r="GJ73" s="17"/>
      <c r="GL73" s="17"/>
      <c r="GM73" s="442"/>
      <c r="GN73" s="8"/>
      <c r="GO73" s="8"/>
      <c r="GP73" s="8"/>
      <c r="GQ73" s="8"/>
      <c r="GS73" s="17"/>
      <c r="GT73" s="17"/>
      <c r="GU73" s="17"/>
      <c r="GV73" s="629"/>
      <c r="GW73" s="17"/>
      <c r="GX73" s="17"/>
      <c r="GY73" s="17"/>
      <c r="GZ73" s="17"/>
    </row>
    <row r="74" spans="1:208" ht="15.6" x14ac:dyDescent="0.3">
      <c r="A74" s="60" t="s">
        <v>110</v>
      </c>
      <c r="B74" s="218"/>
      <c r="C74" s="14" t="str">
        <f>C72</f>
        <v>Gaffel</v>
      </c>
      <c r="G74" s="54"/>
      <c r="H74" s="204">
        <f>TBFavrundet</f>
        <v>123.49999999999999</v>
      </c>
      <c r="I74" s="63">
        <f>COUNTA(O74:AG74)</f>
        <v>3</v>
      </c>
      <c r="J74" s="222">
        <f>SUM(O74:AG74)</f>
        <v>107.5</v>
      </c>
      <c r="K74" s="116">
        <f>Seilareal/Depl^0.667/K$7</f>
        <v>1.4490963809398199</v>
      </c>
      <c r="L74" s="116">
        <f>Seilareal/Lwl/Lwl/L$7</f>
        <v>1.3238521359326727</v>
      </c>
      <c r="M74" s="92">
        <f>RiggF</f>
        <v>0.78279069767441867</v>
      </c>
      <c r="N74" s="242">
        <f>StHfaktor</f>
        <v>1.0055226928764704</v>
      </c>
      <c r="O74" s="143"/>
      <c r="P74" s="143"/>
      <c r="Q74" s="143"/>
      <c r="R74" s="165">
        <v>26</v>
      </c>
      <c r="S74" s="143"/>
      <c r="T74" s="143"/>
      <c r="U74" s="165">
        <v>23.5</v>
      </c>
      <c r="V74" s="559"/>
      <c r="W74" s="559"/>
      <c r="X74" s="165">
        <v>58</v>
      </c>
      <c r="Y74" s="143"/>
      <c r="Z74" s="143"/>
      <c r="AA74" s="143"/>
      <c r="AB74" s="143"/>
      <c r="AC74" s="143"/>
      <c r="AD74" s="143"/>
      <c r="AE74" s="143"/>
      <c r="AF74" s="143"/>
      <c r="AG74" s="551"/>
      <c r="AH74" s="557"/>
      <c r="AI74" s="557">
        <f>AI73</f>
        <v>11.6</v>
      </c>
      <c r="AJ74" s="337">
        <f xml:space="preserve"> AJ73</f>
        <v>0</v>
      </c>
      <c r="AK74" s="339"/>
      <c r="AL74" s="337">
        <f xml:space="preserve"> AL73</f>
        <v>0</v>
      </c>
      <c r="AM74" s="339"/>
      <c r="AN74" s="267" t="str">
        <f xml:space="preserve"> AN73</f>
        <v>Lystb</v>
      </c>
      <c r="AO74" s="45">
        <f>VLOOKUP(AN74,Skrogform!$1:$1048576,3,FALSE)</f>
        <v>0.98</v>
      </c>
      <c r="AP74" s="64">
        <f t="shared" si="577"/>
        <v>12.8</v>
      </c>
      <c r="AQ74" s="64">
        <f t="shared" si="577"/>
        <v>11.1</v>
      </c>
      <c r="AR74" s="64">
        <f t="shared" si="577"/>
        <v>3.9</v>
      </c>
      <c r="AS74" s="64">
        <f t="shared" si="577"/>
        <v>2.14</v>
      </c>
      <c r="AT74" s="64">
        <f t="shared" si="577"/>
        <v>18</v>
      </c>
      <c r="AU74" s="64">
        <f t="shared" si="577"/>
        <v>18</v>
      </c>
      <c r="AV74" s="64">
        <f t="shared" si="577"/>
        <v>6.2</v>
      </c>
      <c r="AW74" s="64">
        <f t="shared" si="577"/>
        <v>0</v>
      </c>
      <c r="AX74" s="256">
        <f t="shared" si="577"/>
        <v>0</v>
      </c>
      <c r="AY74" s="256">
        <f t="shared" si="577"/>
        <v>68</v>
      </c>
      <c r="AZ74" s="256">
        <f t="shared" si="577"/>
        <v>480</v>
      </c>
      <c r="BA74" s="256">
        <f t="shared" si="577"/>
        <v>100</v>
      </c>
      <c r="BB74" s="256">
        <f t="shared" si="577"/>
        <v>150</v>
      </c>
      <c r="BC74" s="256"/>
      <c r="BD74" s="66"/>
      <c r="BE74" s="66"/>
      <c r="BF74" s="261"/>
      <c r="BG74" s="66"/>
      <c r="BH74" s="175"/>
      <c r="BI74" s="66"/>
      <c r="BJ74" s="66"/>
      <c r="BK74" s="65" t="str">
        <f t="shared" si="578"/>
        <v>Seilrett</v>
      </c>
      <c r="BL74" s="267">
        <f t="shared" si="578"/>
        <v>3</v>
      </c>
      <c r="BM74" s="267">
        <f t="shared" si="578"/>
        <v>62</v>
      </c>
      <c r="BN74" s="45">
        <f t="shared" ref="BN74:BN75" si="599">IF((BK74="Fast"),(1.006248-(0.06415*((BM74/100*SQRT(BL74))/POWER(AU74,(1/3))))),1)</f>
        <v>1</v>
      </c>
      <c r="BO74" s="59"/>
      <c r="BP74" s="59"/>
      <c r="BR74" s="49">
        <f t="shared" si="579"/>
        <v>0</v>
      </c>
      <c r="BS74" s="49">
        <f t="shared" si="579"/>
        <v>0</v>
      </c>
      <c r="BT74" s="49">
        <f t="shared" si="579"/>
        <v>0</v>
      </c>
      <c r="BU74" s="49">
        <f t="shared" si="579"/>
        <v>26</v>
      </c>
      <c r="BV74" s="49">
        <f t="shared" si="579"/>
        <v>0</v>
      </c>
      <c r="BW74" s="49">
        <f t="shared" si="579"/>
        <v>0</v>
      </c>
      <c r="BX74" s="49">
        <f t="shared" si="579"/>
        <v>23.5</v>
      </c>
      <c r="BY74" s="549">
        <f>IF(COUNT(Q74:U74)&gt;1,MINA(Q74:U74)*BY$9,0)</f>
        <v>-11.75</v>
      </c>
      <c r="BZ74" s="85">
        <f t="shared" si="580"/>
        <v>0</v>
      </c>
      <c r="CA74" s="85">
        <f t="shared" si="580"/>
        <v>0</v>
      </c>
      <c r="CB74" s="85">
        <f t="shared" si="580"/>
        <v>46.400000000000006</v>
      </c>
      <c r="CC74" s="85">
        <f t="shared" si="580"/>
        <v>0</v>
      </c>
      <c r="CD74" s="85">
        <f t="shared" si="580"/>
        <v>0</v>
      </c>
      <c r="CE74" s="85">
        <f>IF(AC74=0,0,AC74*CE$9)</f>
        <v>0</v>
      </c>
      <c r="CF74" s="85">
        <f t="shared" si="581"/>
        <v>0</v>
      </c>
      <c r="CG74" s="85">
        <f t="shared" si="581"/>
        <v>0</v>
      </c>
      <c r="CH74" s="85">
        <f t="shared" si="582"/>
        <v>0</v>
      </c>
      <c r="CI74" s="85">
        <f t="shared" si="582"/>
        <v>0</v>
      </c>
      <c r="CJ74" s="85">
        <f t="shared" si="582"/>
        <v>0</v>
      </c>
      <c r="CK74" s="85">
        <f t="shared" si="582"/>
        <v>0</v>
      </c>
      <c r="CL74" s="100">
        <f>SUM(BR74:CK74)</f>
        <v>84.15</v>
      </c>
      <c r="CM74" s="50"/>
      <c r="CN74" s="104">
        <f>J74</f>
        <v>107.5</v>
      </c>
      <c r="CO74" s="101">
        <f t="shared" ref="CO74:CO75" si="600">CL74/CN74</f>
        <v>0.78279069767441867</v>
      </c>
      <c r="CP74" s="51">
        <f>Seilareal/Lwl/Lwl</f>
        <v>0.87249411573735902</v>
      </c>
      <c r="CQ74" s="116">
        <f>Seilareal/Depl^0.667/K$7</f>
        <v>1.4490963809398199</v>
      </c>
      <c r="CR74" s="51">
        <f>Seilareal/Lwl/Lwl/SApRS1</f>
        <v>1.3238521359326727</v>
      </c>
      <c r="CS74" s="204"/>
      <c r="CT74" s="204">
        <f>(ROUND(TBF/CT$6,3)*CT$6)*CT$4</f>
        <v>123.49999999999999</v>
      </c>
      <c r="CU74" s="107">
        <f t="shared" si="36"/>
        <v>1.2332195354596982</v>
      </c>
      <c r="CV74" s="62">
        <f t="shared" si="13"/>
        <v>3.4922761728409881</v>
      </c>
      <c r="CW74" s="62">
        <f t="shared" si="14"/>
        <v>1.7504578155735613</v>
      </c>
      <c r="CX74" s="62">
        <f t="shared" si="15"/>
        <v>1.8252852516227529</v>
      </c>
      <c r="CY74" s="107">
        <f t="shared" si="16"/>
        <v>1.0055226928764704</v>
      </c>
      <c r="CZ74" s="168" t="str">
        <f t="shared" ref="CZ74:CZ75" si="601">IF(DA74=0,"-",IF(CP74="TBF","-",CZ$7*DA74))</f>
        <v>-</v>
      </c>
      <c r="DA74" s="158"/>
      <c r="DB74" s="168" t="str">
        <f t="shared" ref="DB74:DB75" si="602">IF(DC74=0,"-",IF(CT74="TBF","-",DB$7*DC74))</f>
        <v>-</v>
      </c>
      <c r="DC74" s="160"/>
      <c r="DD74" s="190" t="s">
        <v>134</v>
      </c>
      <c r="DE74" s="62">
        <v>1</v>
      </c>
      <c r="DF74" s="62">
        <v>0.94</v>
      </c>
      <c r="DG74" s="62">
        <v>1.01</v>
      </c>
      <c r="DH74" s="150">
        <v>1.02</v>
      </c>
      <c r="DI74" s="62">
        <f t="shared" si="39"/>
        <v>2.0978443255134516</v>
      </c>
      <c r="DJ74" s="47">
        <f t="shared" si="17"/>
        <v>13.375</v>
      </c>
      <c r="DK74" s="48">
        <f t="shared" ref="DK74:DK75" si="603">DJ$7*IF(DJ74&lt;DJ$5,-0.04,IF(DJ74&lt;DJ$5*1.1,-0.03,IF(DJ74&lt;DJ$5*1.2,-0.02,IF(DJ74&lt;DJ$5*1.3,-0.01,0))))</f>
        <v>0</v>
      </c>
      <c r="DM74" s="107">
        <f t="shared" si="381"/>
        <v>1.2023526460210381</v>
      </c>
      <c r="DN74" s="141" t="str">
        <f t="shared" ref="DN74:DN75" si="604">IF($DY74=0,"-",(DM74-$DW74)*100)</f>
        <v>-</v>
      </c>
      <c r="DO74" s="107">
        <f t="shared" ref="DO74:DO75" si="605">SUM(DP74:DS74)^DO$3+DO$7</f>
        <v>5.3122613564103407</v>
      </c>
      <c r="DP74" s="133">
        <f>IF(SeilBeregnet=0,DP73,(SeilBeregnet^0.5/(Depl^0.3333))^DP$3*DP$7)</f>
        <v>3.5006181017789877</v>
      </c>
      <c r="DQ74" s="133">
        <f>IF(SeilBeregnet=0,DQ73,(SeilBeregnet^0.5/Lwl)^DQ$3*DQ$7)</f>
        <v>0</v>
      </c>
      <c r="DR74" s="133">
        <f>IF(SeilBeregnet=0,DR73,(0.1*Loa/Depl^0.3333)^DR$3*DR$7)</f>
        <v>0</v>
      </c>
      <c r="DS74" s="133">
        <f>IF(SeilBeregnet=0,DS73,((Loa)/Bredde)^DS$3*DS$7)</f>
        <v>1.8116432546313532</v>
      </c>
      <c r="DT74" s="107">
        <f>IF(SeilBeregnet=0,DT73,(Lwl)^DT$3)</f>
        <v>1.8252852516227529</v>
      </c>
      <c r="DU74" s="133">
        <f>IF(SeilBeregnet=0,DU73,(Dypg/Loa)^DU$3*5*DU$7)</f>
        <v>2.0444284042245155</v>
      </c>
      <c r="DW74" s="107">
        <f t="shared" si="417"/>
        <v>1.258387281081325</v>
      </c>
      <c r="DX74" s="107">
        <f t="shared" si="40"/>
        <v>1.2168789080246993</v>
      </c>
      <c r="DZ74" s="107">
        <f t="shared" si="41"/>
        <v>1.1946026265684755</v>
      </c>
      <c r="EA74" s="122" t="str">
        <f t="shared" ref="EA74:EA75" si="606">IF($DY74=0,"-",DZ74-$DW74)</f>
        <v>-</v>
      </c>
      <c r="EB74" s="107">
        <f t="shared" ref="EB74:EB75" si="607">IF(SeilBeregnet=0,"-",EB$7*(EB$4*ED74*EE74*EF74*PropF+EB$6)+ErfaringsF+Dyp_F)</f>
        <v>1.2349347653041718</v>
      </c>
      <c r="EC74" s="122" t="str">
        <f t="shared" ref="EC74:EC75" si="608">IF($DY74=0,"-",EB74-$DW74)</f>
        <v>-</v>
      </c>
      <c r="ED74" s="107">
        <f>IF(SeilBeregnet=0,ED73,SeilBeregnet^0.5/Depl^0.33333)</f>
        <v>3.5003145723079756</v>
      </c>
      <c r="EE74" s="107">
        <f>IF(SeilBeregnet=0,EE73,Lwl^0.3333)</f>
        <v>2.2305201393117833</v>
      </c>
      <c r="EF74" s="107">
        <f>IF(SeilBeregnet=0,EF73,((Loa+Lwl)/Bredde)^EF$3)</f>
        <v>1.5733789064132366</v>
      </c>
      <c r="EH74" s="107">
        <f t="shared" ref="EH74:EH75" si="609">IF(SeilBeregnet=0,"-",EH$7*(EH$4*EJ74*EK74*EL74*PropF+EH$6)+ErfaringsF+Dyp_F)</f>
        <v>1.2217763063743474</v>
      </c>
      <c r="EJ74" s="107">
        <f>IF(SeilBeregnet=0,EJ73,SeilBeregnet^0.5/Depl^0.33333)</f>
        <v>3.5003145723079756</v>
      </c>
      <c r="EK74" s="107">
        <f>IF(SeilBeregnet=0,EK73,Lwl^EK$3)</f>
        <v>2.2306812073130904</v>
      </c>
      <c r="EL74" s="107">
        <f>IF(SeilBeregnet=0,EL73,((Loa+Lwl)/Bredde)^EL$3)</f>
        <v>1.8298613614330996</v>
      </c>
      <c r="EM74" s="107">
        <f t="shared" ref="EM74:EM75" si="610">IF(SeilBeregnet=0,"-",EM$7*(EM$4*EO74+EM$6)*ER74*PropF+ErfaringsF+Dyp_F)</f>
        <v>1.2213647328622861</v>
      </c>
      <c r="EO74" s="107">
        <f>IF(SeilBeregnet=0,EO73,(EP74*EQ74)^EO$3)</f>
        <v>5.5073211138802387</v>
      </c>
      <c r="EP74" s="107">
        <f>IF(SeilBeregnet=0,EP73,SeilBeregnet^0.5/Depl^0.33333)</f>
        <v>3.5003145723079756</v>
      </c>
      <c r="EQ74" s="107">
        <f>IF(SeilBeregnet=0,EQ73,((Loa+Lwl)/Bredde)^EQ$3)</f>
        <v>1.5733789064132366</v>
      </c>
      <c r="ER74" s="107">
        <f>IF(SeilBeregnet=0,ER73,Lwl^ER$3)</f>
        <v>1.8252852516227529</v>
      </c>
      <c r="ES74" s="107">
        <f t="shared" si="382"/>
        <v>1.2220150102438918</v>
      </c>
      <c r="EU74" s="107">
        <f>IF(SeilBeregnet=0,EU73,(EV:EV*EW:EW)^EU$3)</f>
        <v>1.8758637606669839</v>
      </c>
      <c r="EV74" s="107">
        <f>IF(SeilBeregnet=0,EV73,SeilBeregnet^0.5/Depl^0.33333)</f>
        <v>3.5003145723079756</v>
      </c>
      <c r="EW74" s="107">
        <f>IF(SeilBeregnet=0,EW73,((Loa+Lwl)/Bredde/6)^EW$3)</f>
        <v>1.0052996026192789</v>
      </c>
      <c r="EX74" s="107">
        <f>IF(SeilBeregnet=0,EX73,(Lwl*0.7+Loa*0.3)^EX$3)</f>
        <v>1.8458995117503456</v>
      </c>
      <c r="EY74" s="107">
        <f t="shared" si="383"/>
        <v>1.164373726504321</v>
      </c>
      <c r="FA74" s="107">
        <f t="shared" ref="FA74:FA105" si="611">(FB:FB*FC:FC)^FA$3</f>
        <v>1.8759450915845779</v>
      </c>
      <c r="FB74" s="107">
        <f>IF(SeilBeregnet=0,FB73,SeilBeregnet^0.5/Depl^0.3333)</f>
        <v>3.5006181017789877</v>
      </c>
      <c r="FC74" s="107">
        <f>IF(SeilBeregnet=0,FC73,((Loa+Lwl)/Bredde/6)^FC$3)</f>
        <v>1.0052996026192789</v>
      </c>
      <c r="FD74" s="107">
        <f>IF(SeilBeregnet=0,FD73,(Lwl*0.7+Loa*0.3)^FD$3)</f>
        <v>1.8458995117503456</v>
      </c>
      <c r="FE74" s="107">
        <f t="shared" si="384"/>
        <v>1.2071637901024945</v>
      </c>
      <c r="FF74" s="141" t="str">
        <f t="shared" ref="FF74:FF75" si="612">IF($DY74=0,"-",(FE74-$DW74)*100)</f>
        <v>-</v>
      </c>
      <c r="FG74" s="107">
        <f t="shared" ref="FG74:FG105" si="613">(FH:FH*FI:FI)^FG$3</f>
        <v>3.5378201891191567</v>
      </c>
      <c r="FH74" s="133">
        <f>IF(SeilBeregnet=0,FH73,(SeilBeregnet^0.5/(Depl^0.3333))^FH$3)</f>
        <v>3.5006181017789877</v>
      </c>
      <c r="FI74" s="133">
        <f>IF(SeilBeregnet=0,FI73,((Loa+Lwl)/Bredde/6)^FI$3)</f>
        <v>1.01062729102648</v>
      </c>
      <c r="FJ74" s="107">
        <f>IF(SeilBeregnet=0,FJ73,(Lwl*0.07+Loa*0.03)^FJ$3)</f>
        <v>1.0380255776059077</v>
      </c>
      <c r="FK74" s="107">
        <f t="shared" si="385"/>
        <v>1.2247733767695532</v>
      </c>
      <c r="FL74" s="141" t="str">
        <f t="shared" ref="FL74:FL75" si="614">IF($DY74=0,"-",(FK74-$DW74)*100)</f>
        <v>-</v>
      </c>
      <c r="FM74" s="107">
        <f t="shared" ref="FM74:FM105" si="615">(FN:FN+FO:FO+FP:FP)^FM$3+FM$7</f>
        <v>5.6386875645952417</v>
      </c>
      <c r="FN74" s="133">
        <f>IF(SeilBeregnet=0,FN73,(SeilBeregnet^0.5/(Depl^0.3333))^FN$3)</f>
        <v>3.5006181017789877</v>
      </c>
      <c r="FO74" s="133">
        <f>IF(SeilBeregnet=0,FO73,(SeilBeregnet^0.5/Lwl*FO$7)^FO$3)</f>
        <v>0.82642620818490042</v>
      </c>
      <c r="FP74" s="133">
        <f>IF(SeilBeregnet=0,FP73,((Loa)/Bredde)^FP$3*FP$7)</f>
        <v>1.8116432546313532</v>
      </c>
      <c r="FQ74" s="107">
        <f>IF(SeilBeregnet=0,FQ73,(Lwl)^FQ$3)</f>
        <v>1.8252852516227529</v>
      </c>
      <c r="FR74" s="107">
        <f t="shared" si="386"/>
        <v>1.2081193550619547</v>
      </c>
      <c r="FS74" s="141" t="str">
        <f t="shared" ref="FS74:FS75" si="616">IF($DY74=0,"-",(FR74-$DW74)*100)</f>
        <v>-</v>
      </c>
      <c r="FT74" s="107">
        <f t="shared" ref="FT74:FT105" si="617">(FU:FU*FV:FV)^FT$3</f>
        <v>6.3418711711283153</v>
      </c>
      <c r="FU74" s="133">
        <f>IF(SeilBeregnet=0,FU73,(SeilBeregnet^0.5/(Depl^0.3333))^FU$3)</f>
        <v>3.5006181017789877</v>
      </c>
      <c r="FV74" s="133">
        <f>IF(SeilBeregnet=0,FV73,(Loa/Bredde)^FV$3)</f>
        <v>1.8116432546313532</v>
      </c>
      <c r="FW74" s="107">
        <f>IF(SeilBeregnet=0,FW73,Lwl^FW$3)</f>
        <v>1.8252852516227529</v>
      </c>
      <c r="FY74">
        <v>0.95</v>
      </c>
      <c r="FZ74" s="62">
        <f t="shared" si="48"/>
        <v>1.1930846799295876</v>
      </c>
      <c r="GA74" s="62">
        <f t="shared" si="49"/>
        <v>2.0444284042245155</v>
      </c>
      <c r="GB74" s="107">
        <f t="shared" si="50"/>
        <v>1.2595654937091099</v>
      </c>
      <c r="GC74" s="440"/>
      <c r="GD74" s="17"/>
      <c r="GE74" s="442"/>
      <c r="GF74" s="462"/>
      <c r="GG74" s="17"/>
      <c r="GH74" s="17"/>
      <c r="GI74" s="17"/>
      <c r="GJ74" s="17"/>
      <c r="GL74" s="17"/>
      <c r="GM74" s="442"/>
      <c r="GN74" s="8"/>
      <c r="GO74" s="8"/>
      <c r="GP74" s="8"/>
      <c r="GQ74" s="8"/>
      <c r="GS74" s="17"/>
      <c r="GT74" s="17"/>
      <c r="GU74" s="17"/>
      <c r="GV74" s="629"/>
      <c r="GW74" s="17"/>
      <c r="GX74" s="17"/>
      <c r="GY74" s="17"/>
      <c r="GZ74" s="17"/>
    </row>
    <row r="75" spans="1:208" ht="15.6" x14ac:dyDescent="0.3">
      <c r="A75" s="60" t="s">
        <v>111</v>
      </c>
      <c r="B75" s="218"/>
      <c r="C75" s="14" t="str">
        <f>C72</f>
        <v>Gaffel</v>
      </c>
      <c r="G75" s="54"/>
      <c r="H75" s="204">
        <f>TBFavrundet</f>
        <v>122</v>
      </c>
      <c r="I75" s="63">
        <f>COUNTA(O75:AG75)</f>
        <v>3</v>
      </c>
      <c r="J75" s="222">
        <f>SUM(O75:AG75)</f>
        <v>105</v>
      </c>
      <c r="K75" s="116">
        <f>Seilareal/Depl^0.667/K$7</f>
        <v>1.4153964651040101</v>
      </c>
      <c r="L75" s="116">
        <f>Seilareal/Lwl/Lwl/L$7</f>
        <v>1.2930648769574944</v>
      </c>
      <c r="M75" s="92">
        <f>RiggF</f>
        <v>0.77761904761904765</v>
      </c>
      <c r="N75" s="242">
        <f>StHfaktor</f>
        <v>1.0055226928764704</v>
      </c>
      <c r="O75" s="143"/>
      <c r="P75" s="143"/>
      <c r="Q75" s="143"/>
      <c r="R75" s="143"/>
      <c r="S75" s="165">
        <v>23.5</v>
      </c>
      <c r="T75" s="143"/>
      <c r="U75" s="165">
        <v>23.5</v>
      </c>
      <c r="V75" s="559"/>
      <c r="W75" s="559"/>
      <c r="X75" s="165">
        <v>58</v>
      </c>
      <c r="Y75" s="143"/>
      <c r="Z75" s="143"/>
      <c r="AA75" s="143"/>
      <c r="AB75" s="143"/>
      <c r="AC75" s="143"/>
      <c r="AD75" s="143"/>
      <c r="AE75" s="143"/>
      <c r="AF75" s="143"/>
      <c r="AG75" s="551"/>
      <c r="AH75" s="557"/>
      <c r="AI75" s="557">
        <f t="shared" ref="AI75:AI76" si="618">AI73</f>
        <v>11.6</v>
      </c>
      <c r="AJ75" s="337">
        <f t="shared" ref="AJ75:AL76" si="619" xml:space="preserve"> AJ73</f>
        <v>0</v>
      </c>
      <c r="AK75" s="339"/>
      <c r="AL75" s="337">
        <f t="shared" si="619"/>
        <v>0</v>
      </c>
      <c r="AM75" s="339"/>
      <c r="AN75" s="267" t="str">
        <f t="shared" ref="AN75:AN76" si="620" xml:space="preserve"> AN73</f>
        <v>Lystb</v>
      </c>
      <c r="AO75" s="45">
        <f>VLOOKUP(AN75,Skrogform!$1:$1048576,3,FALSE)</f>
        <v>0.98</v>
      </c>
      <c r="AP75" s="64">
        <f t="shared" ref="AP75:AZ76" si="621">AP73</f>
        <v>12.8</v>
      </c>
      <c r="AQ75" s="64">
        <f t="shared" si="621"/>
        <v>11.1</v>
      </c>
      <c r="AR75" s="64">
        <f t="shared" si="621"/>
        <v>3.9</v>
      </c>
      <c r="AS75" s="64">
        <f t="shared" si="621"/>
        <v>2.14</v>
      </c>
      <c r="AT75" s="64">
        <f t="shared" ref="AT75:AT76" si="622">AT73</f>
        <v>18</v>
      </c>
      <c r="AU75" s="64">
        <f t="shared" si="621"/>
        <v>18</v>
      </c>
      <c r="AV75" s="64">
        <f t="shared" si="621"/>
        <v>6.2</v>
      </c>
      <c r="AW75" s="64">
        <f t="shared" si="621"/>
        <v>0</v>
      </c>
      <c r="AX75" s="256">
        <f>AX73</f>
        <v>0</v>
      </c>
      <c r="AY75" s="256">
        <f t="shared" si="621"/>
        <v>68</v>
      </c>
      <c r="AZ75" s="256">
        <f t="shared" si="621"/>
        <v>480</v>
      </c>
      <c r="BA75" s="256">
        <f t="shared" ref="BA75:BB76" si="623">BA73</f>
        <v>100</v>
      </c>
      <c r="BB75" s="256">
        <f t="shared" si="623"/>
        <v>150</v>
      </c>
      <c r="BC75" s="256"/>
      <c r="BD75" s="66"/>
      <c r="BE75" s="66"/>
      <c r="BF75" s="261"/>
      <c r="BG75" s="66"/>
      <c r="BH75" s="175"/>
      <c r="BI75" s="66"/>
      <c r="BJ75" s="66"/>
      <c r="BK75" s="65" t="str">
        <f t="shared" ref="BK75:BM76" si="624" xml:space="preserve"> BK73</f>
        <v>Seilrett</v>
      </c>
      <c r="BL75" s="267">
        <f t="shared" si="624"/>
        <v>3</v>
      </c>
      <c r="BM75" s="267">
        <f t="shared" si="624"/>
        <v>62</v>
      </c>
      <c r="BN75" s="45">
        <f t="shared" si="599"/>
        <v>1</v>
      </c>
      <c r="BO75" s="59"/>
      <c r="BP75" s="59"/>
      <c r="BR75" s="49">
        <f t="shared" ref="BR75" si="625">IF(O75=0,0,O75*BR$9)</f>
        <v>0</v>
      </c>
      <c r="BS75" s="49">
        <f t="shared" ref="BS75" si="626">IF(P75=0,0,P75*BS$9)</f>
        <v>0</v>
      </c>
      <c r="BT75" s="49">
        <f t="shared" ref="BT75" si="627">IF(Q75=0,0,Q75*BT$9)</f>
        <v>0</v>
      </c>
      <c r="BU75" s="49">
        <f t="shared" ref="BU75" si="628">IF(R75=0,0,R75*BU$9)</f>
        <v>0</v>
      </c>
      <c r="BV75" s="49">
        <f t="shared" ref="BV75" si="629">IF(S75=0,0,S75*BV$9)</f>
        <v>23.5</v>
      </c>
      <c r="BW75" s="49">
        <f t="shared" ref="BW75" si="630">IF(T75=0,0,T75*BW$9)</f>
        <v>0</v>
      </c>
      <c r="BX75" s="49">
        <f t="shared" ref="BX75" si="631">IF(U75=0,0,U75*BX$9)</f>
        <v>23.5</v>
      </c>
      <c r="BY75" s="549">
        <f>IF(COUNT(Q75:U75)&gt;1,MINA(Q75:U75)*BY$9,0)</f>
        <v>-11.75</v>
      </c>
      <c r="BZ75" s="85">
        <f t="shared" ref="BZ75" si="632">IF(V75=0,0,V75*BZ$9)</f>
        <v>0</v>
      </c>
      <c r="CA75" s="85">
        <f t="shared" ref="CA75" si="633">IF(W75=0,0,W75*CA$9)</f>
        <v>0</v>
      </c>
      <c r="CB75" s="85">
        <f t="shared" ref="CB75" si="634">IF(X75=0,0,X75*CB$9)</f>
        <v>46.400000000000006</v>
      </c>
      <c r="CC75" s="85">
        <f t="shared" ref="CC75" si="635">IF(Y75=0,0,Y75*CC$9)</f>
        <v>0</v>
      </c>
      <c r="CD75" s="85">
        <f t="shared" ref="CD75" si="636">IF(Z75=0,0,Z75*CD$9)</f>
        <v>0</v>
      </c>
      <c r="CE75" s="85">
        <f>IF(AC75=0,0,AC75*CE$9)</f>
        <v>0</v>
      </c>
      <c r="CF75" s="85">
        <f t="shared" ref="CF75" si="637">IF(AA75=0,0,AA75*CF$9)</f>
        <v>0</v>
      </c>
      <c r="CG75" s="85">
        <f t="shared" ref="CG75" si="638">IF(AB75=0,0,AB75*CG$9)</f>
        <v>0</v>
      </c>
      <c r="CH75" s="85">
        <f t="shared" ref="CH75" si="639">IF(AD75=0,0,AD75*CH$9)</f>
        <v>0</v>
      </c>
      <c r="CI75" s="85">
        <f t="shared" ref="CI75" si="640">IF(AE75=0,0,AE75*CI$9)</f>
        <v>0</v>
      </c>
      <c r="CJ75" s="85">
        <f t="shared" ref="CJ75" si="641">IF(AF75=0,0,AF75*CJ$9)</f>
        <v>0</v>
      </c>
      <c r="CK75" s="85">
        <f t="shared" ref="CK75" si="642">IF(AG75=0,0,AG75*CK$9)</f>
        <v>0</v>
      </c>
      <c r="CL75" s="100">
        <f>SUM(BR75:CK75)</f>
        <v>81.650000000000006</v>
      </c>
      <c r="CM75" s="50"/>
      <c r="CN75" s="104">
        <f>J75</f>
        <v>105</v>
      </c>
      <c r="CO75" s="101">
        <f t="shared" si="600"/>
        <v>0.77761904761904765</v>
      </c>
      <c r="CP75" s="51">
        <f>Seilareal/Lwl/Lwl</f>
        <v>0.85220355490625765</v>
      </c>
      <c r="CQ75" s="116">
        <f>Seilareal/Depl^0.667/K$7</f>
        <v>1.4153964651040101</v>
      </c>
      <c r="CR75" s="51">
        <f>Seilareal/Lwl/Lwl/SApRS1</f>
        <v>1.2930648769574944</v>
      </c>
      <c r="CS75" s="204"/>
      <c r="CT75" s="204">
        <f>(ROUND(TBF/CT$6,3)*CT$6)*CT$4</f>
        <v>122</v>
      </c>
      <c r="CU75" s="107">
        <f t="shared" si="36"/>
        <v>1.220925083189689</v>
      </c>
      <c r="CV75" s="62">
        <f t="shared" si="13"/>
        <v>3.4400092885340574</v>
      </c>
      <c r="CW75" s="62">
        <f t="shared" si="14"/>
        <v>1.7504578155735613</v>
      </c>
      <c r="CX75" s="62">
        <f t="shared" si="15"/>
        <v>1.8252852516227529</v>
      </c>
      <c r="CY75" s="107">
        <f t="shared" si="16"/>
        <v>1.0055226928764704</v>
      </c>
      <c r="CZ75" s="168" t="str">
        <f t="shared" si="601"/>
        <v>-</v>
      </c>
      <c r="DA75" s="158"/>
      <c r="DB75" s="168" t="str">
        <f t="shared" si="602"/>
        <v>-</v>
      </c>
      <c r="DC75" s="160"/>
      <c r="DD75" s="190" t="s">
        <v>134</v>
      </c>
      <c r="DE75" s="62">
        <v>0.98</v>
      </c>
      <c r="DF75" s="62">
        <v>0.93</v>
      </c>
      <c r="DG75" s="62">
        <v>0.99</v>
      </c>
      <c r="DH75" s="150">
        <v>1.01</v>
      </c>
      <c r="DI75" s="62">
        <f t="shared" si="39"/>
        <v>2.0978443255134516</v>
      </c>
      <c r="DJ75" s="47">
        <f t="shared" si="17"/>
        <v>13.375</v>
      </c>
      <c r="DK75" s="48">
        <f t="shared" si="603"/>
        <v>0</v>
      </c>
      <c r="DM75" s="107">
        <f t="shared" ref="DM75:DM106" si="643">IF(SeilBeregnet=0,"-",DM$7*(DO:DO+DM$6)*DT:DT*PropF+ErfaringsF+Dyp_F)</f>
        <v>1.1904945436509919</v>
      </c>
      <c r="DN75" s="141" t="str">
        <f t="shared" si="604"/>
        <v>-</v>
      </c>
      <c r="DO75" s="107">
        <f t="shared" si="605"/>
        <v>5.2598696232618183</v>
      </c>
      <c r="DP75" s="133">
        <f>IF(SeilBeregnet=0,DP73,(SeilBeregnet^0.5/(Depl^0.3333))^DP$3*DP$7)</f>
        <v>3.4482263686304653</v>
      </c>
      <c r="DQ75" s="133">
        <f>IF(SeilBeregnet=0,DQ73,(SeilBeregnet^0.5/Lwl)^DQ$3*DQ$7)</f>
        <v>0</v>
      </c>
      <c r="DR75" s="133">
        <f>IF(SeilBeregnet=0,DR73,(0.1*Loa/Depl^0.3333)^DR$3*DR$7)</f>
        <v>0</v>
      </c>
      <c r="DS75" s="133">
        <f>IF(SeilBeregnet=0,DS73,((Loa)/Bredde)^DS$3*DS$7)</f>
        <v>1.8116432546313532</v>
      </c>
      <c r="DT75" s="107">
        <f>IF(SeilBeregnet=0,DT73,(Lwl)^DT$3)</f>
        <v>1.8252852516227529</v>
      </c>
      <c r="DU75" s="133">
        <f>IF(SeilBeregnet=0,DU73,(Dypg/Loa)^DU$3*5*DU$7)</f>
        <v>2.0444284042245155</v>
      </c>
      <c r="DW75" s="107">
        <f t="shared" si="417"/>
        <v>1.2458419216221315</v>
      </c>
      <c r="DX75" s="107">
        <f t="shared" si="40"/>
        <v>1.20232232207849</v>
      </c>
      <c r="DZ75" s="107">
        <f t="shared" si="41"/>
        <v>1.1829128146120458</v>
      </c>
      <c r="EA75" s="122" t="str">
        <f t="shared" si="606"/>
        <v>-</v>
      </c>
      <c r="EB75" s="107">
        <f t="shared" si="607"/>
        <v>1.2206411034053661</v>
      </c>
      <c r="EC75" s="122" t="str">
        <f t="shared" si="608"/>
        <v>-</v>
      </c>
      <c r="ED75" s="107">
        <f t="shared" ref="ED75:ED76" si="644">IF(SeilBeregnet=0,ED73,SeilBeregnet^0.5/Depl^0.33333)</f>
        <v>3.447927381910072</v>
      </c>
      <c r="EE75" s="107">
        <f t="shared" ref="EE75:EE76" si="645">IF(SeilBeregnet=0,EE73,Lwl^0.3333)</f>
        <v>2.2305201393117833</v>
      </c>
      <c r="EF75" s="107">
        <f t="shared" ref="EF75:EF76" si="646">IF(SeilBeregnet=0,EF73,((Loa+Lwl)/Bredde)^EF$3)</f>
        <v>1.5733789064132366</v>
      </c>
      <c r="EH75" s="107">
        <f t="shared" si="609"/>
        <v>1.2088985747180772</v>
      </c>
      <c r="EJ75" s="107">
        <f t="shared" ref="EJ75:EJ76" si="647">IF(SeilBeregnet=0,EJ73,SeilBeregnet^0.5/Depl^0.33333)</f>
        <v>3.447927381910072</v>
      </c>
      <c r="EK75" s="107">
        <f t="shared" ref="EK75:EK76" si="648">IF(SeilBeregnet=0,EK73,Lwl^EK$3)</f>
        <v>2.2306812073130904</v>
      </c>
      <c r="EL75" s="107">
        <f t="shared" ref="EL75:EL76" si="649">IF(SeilBeregnet=0,EL73,((Loa+Lwl)/Bredde)^EL$3)</f>
        <v>1.8298613614330996</v>
      </c>
      <c r="EM75" s="107">
        <f t="shared" si="610"/>
        <v>1.2079550405291879</v>
      </c>
      <c r="EO75" s="107">
        <f t="shared" ref="EO75" si="650">IF(SeilBeregnet=0,EO73,(EP75*EQ75)^EO$3)</f>
        <v>5.4248962135419232</v>
      </c>
      <c r="EP75" s="107">
        <f t="shared" ref="EP75:EP76" si="651">IF(SeilBeregnet=0,EP73,SeilBeregnet^0.5/Depl^0.33333)</f>
        <v>3.447927381910072</v>
      </c>
      <c r="EQ75" s="107">
        <f t="shared" ref="EQ75:EQ76" si="652">IF(SeilBeregnet=0,EQ73,((Loa+Lwl)/Bredde)^EQ$3)</f>
        <v>1.5733789064132366</v>
      </c>
      <c r="ER75" s="107">
        <f t="shared" ref="ER75:ER76" si="653">IF(SeilBeregnet=0,ER73,Lwl^ER$3)</f>
        <v>1.8252852516227529</v>
      </c>
      <c r="ES75" s="107">
        <f t="shared" ref="ES75:ES106" si="654">IF(SeilBeregnet=0,"-",ES$7*(ES$4*EU:EU+ES$6)*EX:EX*PropF+ErfaringsF+Dyp_F)</f>
        <v>1.2095001906641079</v>
      </c>
      <c r="EU75" s="107">
        <f>IF(SeilBeregnet=0,EU73,(EV:EV*EW:EW)^EU$3)</f>
        <v>1.8617733554045526</v>
      </c>
      <c r="EV75" s="107">
        <f t="shared" ref="EV75:EV76" si="655">IF(SeilBeregnet=0,EV73,SeilBeregnet^0.5/Depl^0.33333)</f>
        <v>3.447927381910072</v>
      </c>
      <c r="EW75" s="107">
        <f t="shared" ref="EW75:EW76" si="656">IF(SeilBeregnet=0,EW73,((Loa+Lwl)/Bredde/6)^EW$3)</f>
        <v>1.0052996026192789</v>
      </c>
      <c r="EX75" s="107">
        <f t="shared" ref="EX75:EX76" si="657">IF(SeilBeregnet=0,EX73,(Lwl*0.7+Loa*0.3)^EX$3)</f>
        <v>1.8458995117503456</v>
      </c>
      <c r="EY75" s="107">
        <f t="shared" ref="EY75:EY106" si="658">IF(SeilBeregnet=0,"-",EY$7*(FA:FA+EY$6)*FD:FD*PropF+ErfaringsF+Dyp_F)</f>
        <v>1.155627623494399</v>
      </c>
      <c r="FA75" s="107">
        <f t="shared" si="611"/>
        <v>1.8618540754112622</v>
      </c>
      <c r="FB75" s="107">
        <f t="shared" ref="FB75:FB76" si="659">IF(SeilBeregnet=0,FB73,SeilBeregnet^0.5/Depl^0.3333)</f>
        <v>3.4482263686304653</v>
      </c>
      <c r="FC75" s="107">
        <f t="shared" ref="FC75:FC76" si="660">IF(SeilBeregnet=0,FC73,((Loa+Lwl)/Bredde/6)^FC$3)</f>
        <v>1.0052996026192789</v>
      </c>
      <c r="FD75" s="107">
        <f t="shared" ref="FD75:FD76" si="661">IF(SeilBeregnet=0,FD73,(Lwl*0.7+Loa*0.3)^FD$3)</f>
        <v>1.8458995117503456</v>
      </c>
      <c r="FE75" s="107">
        <f t="shared" ref="FE75:FE106" si="662">IF(SeilBeregnet=0,"-",FE$7*(FG:FG+FE$6)*FJ:FJ*PropF+ErfaringsF+Dyp_F)</f>
        <v>1.1956217883255793</v>
      </c>
      <c r="FF75" s="141" t="str">
        <f t="shared" si="612"/>
        <v>-</v>
      </c>
      <c r="FG75" s="107">
        <f t="shared" si="613"/>
        <v>3.4848716737750833</v>
      </c>
      <c r="FH75" s="133">
        <f t="shared" ref="FH75:FH76" si="663">IF(SeilBeregnet=0,FH73,(SeilBeregnet^0.5/(Depl^0.3333))^FH$3)</f>
        <v>3.4482263686304653</v>
      </c>
      <c r="FI75" s="133">
        <f t="shared" ref="FI75:FI76" si="664">IF(SeilBeregnet=0,FI73,((Loa+Lwl)/Bredde/6)^FI$3)</f>
        <v>1.01062729102648</v>
      </c>
      <c r="FJ75" s="107">
        <f t="shared" ref="FJ75:FJ76" si="665">IF(SeilBeregnet=0,FJ73,(Lwl*0.07+Loa*0.03)^FJ$3)</f>
        <v>1.0380255776059077</v>
      </c>
      <c r="FK75" s="107">
        <f t="shared" ref="FK75:FK106" si="666">IF(SeilBeregnet=0,"-",FK$7*(FM:FM+FK$6)*FQ:FQ*PropF+ErfaringsF+Dyp_F)</f>
        <v>1.2107068434332044</v>
      </c>
      <c r="FL75" s="141" t="str">
        <f t="shared" si="614"/>
        <v>-</v>
      </c>
      <c r="FM75" s="107">
        <f t="shared" si="615"/>
        <v>5.5739271867938891</v>
      </c>
      <c r="FN75" s="133">
        <f t="shared" ref="FN75:FN76" si="667">IF(SeilBeregnet=0,FN73,(SeilBeregnet^0.5/(Depl^0.3333))^FN$3)</f>
        <v>3.4482263686304653</v>
      </c>
      <c r="FO75" s="133">
        <f t="shared" ref="FO75:FO76" si="668">IF(SeilBeregnet=0,FO73,(SeilBeregnet^0.5/Lwl*FO$7)^FO$3)</f>
        <v>0.81405756353207037</v>
      </c>
      <c r="FP75" s="133">
        <f t="shared" ref="FP75:FP76" si="669">IF(SeilBeregnet=0,FP73,((Loa)/Bredde)^FP$3*FP$7)</f>
        <v>1.8116432546313532</v>
      </c>
      <c r="FQ75" s="107">
        <f t="shared" ref="FQ75:FQ76" si="670">IF(SeilBeregnet=0,FQ73,(Lwl)^FQ$3)</f>
        <v>1.8252852516227529</v>
      </c>
      <c r="FR75" s="107">
        <f t="shared" ref="FR75:FR106" si="671">IF(SeilBeregnet=0,"-",FR$7*(FT:FT+FR$6)*FW:FW*PropF+ErfaringsF+Dyp_F)</f>
        <v>1.1970315351025109</v>
      </c>
      <c r="FS75" s="141" t="str">
        <f t="shared" si="616"/>
        <v>-</v>
      </c>
      <c r="FT75" s="107">
        <f t="shared" si="617"/>
        <v>6.2469560411713481</v>
      </c>
      <c r="FU75" s="133">
        <f t="shared" ref="FU75:FU76" si="672">IF(SeilBeregnet=0,FU73,(SeilBeregnet^0.5/(Depl^0.3333))^FU$3)</f>
        <v>3.4482263686304653</v>
      </c>
      <c r="FV75" s="133">
        <f t="shared" ref="FV75:FV76" si="673">IF(SeilBeregnet=0,FV73,(Loa/Bredde)^FV$3)</f>
        <v>1.8116432546313532</v>
      </c>
      <c r="FW75" s="107">
        <f t="shared" ref="FW75:FW76" si="674">IF(SeilBeregnet=0,FW73,Lwl^FW$3)</f>
        <v>1.8252852516227529</v>
      </c>
      <c r="FY75">
        <v>0.95</v>
      </c>
      <c r="FZ75" s="62">
        <f t="shared" ref="FZ75" si="675">IF(SeilBeregnet=0,"-",0.06*2.43^(1/2)*(SeilBeregnet^(1/2)/Depl^(1/3)+(Loa/Bredde)^(1/2)+GA75)*Lwl^(1/4)*FY75)</f>
        <v>1.1845883834231632</v>
      </c>
      <c r="GA75" s="62">
        <f t="shared" si="49"/>
        <v>2.0444284042245155</v>
      </c>
      <c r="GB75" s="107">
        <f t="shared" si="50"/>
        <v>1.253250151889018</v>
      </c>
      <c r="GC75" s="440"/>
      <c r="GD75" s="17"/>
      <c r="GE75" s="442"/>
      <c r="GF75" s="462"/>
      <c r="GG75" s="17"/>
      <c r="GH75" s="17"/>
      <c r="GI75" s="17"/>
      <c r="GJ75" s="17"/>
      <c r="GL75" s="17"/>
      <c r="GM75" s="442"/>
      <c r="GN75" s="8"/>
      <c r="GO75" s="8"/>
      <c r="GP75" s="8"/>
      <c r="GQ75" s="8"/>
      <c r="GS75" s="17"/>
      <c r="GT75" s="17"/>
      <c r="GU75" s="17"/>
      <c r="GV75" s="629"/>
      <c r="GW75" s="17"/>
      <c r="GX75" s="17"/>
      <c r="GY75" s="17"/>
      <c r="GZ75" s="17"/>
    </row>
    <row r="76" spans="1:208" ht="15.6" x14ac:dyDescent="0.3">
      <c r="A76" s="60" t="s">
        <v>1037</v>
      </c>
      <c r="B76" s="218"/>
      <c r="C76" s="14" t="str">
        <f>C73</f>
        <v>Gaffel</v>
      </c>
      <c r="G76" s="54"/>
      <c r="H76" s="204">
        <f>TBFavrundet</f>
        <v>117.49999999999999</v>
      </c>
      <c r="I76" s="63">
        <f>COUNTA(O76:AG76)</f>
        <v>3</v>
      </c>
      <c r="J76" s="222">
        <f>SUM(O76:AG76)</f>
        <v>94.502600000000001</v>
      </c>
      <c r="K76" s="116">
        <f>Seilareal/Depl^0.667/K$7</f>
        <v>1.2738918665060783</v>
      </c>
      <c r="L76" s="116">
        <f>Seilareal/Lwl/Lwl/L$7</f>
        <v>1.1637904080110792</v>
      </c>
      <c r="M76" s="92">
        <f>RiggF</f>
        <v>0.76507977558289408</v>
      </c>
      <c r="N76" s="242">
        <f>StHfaktor</f>
        <v>1.0055226928764704</v>
      </c>
      <c r="O76" s="143"/>
      <c r="P76" s="143"/>
      <c r="Q76" s="143"/>
      <c r="R76" s="143"/>
      <c r="S76" s="165">
        <v>23.5</v>
      </c>
      <c r="T76" s="143"/>
      <c r="U76" s="165">
        <v>23.5</v>
      </c>
      <c r="V76" s="559"/>
      <c r="W76" s="559"/>
      <c r="X76" s="559"/>
      <c r="Y76" s="177">
        <f>Y71</f>
        <v>47.502600000000001</v>
      </c>
      <c r="Z76" s="143"/>
      <c r="AA76" s="143"/>
      <c r="AB76" s="143"/>
      <c r="AC76" s="143"/>
      <c r="AD76" s="143"/>
      <c r="AE76" s="143"/>
      <c r="AF76" s="143"/>
      <c r="AG76" s="551"/>
      <c r="AH76" s="557"/>
      <c r="AI76" s="557">
        <f t="shared" si="618"/>
        <v>11.6</v>
      </c>
      <c r="AJ76" s="337">
        <f t="shared" si="619"/>
        <v>0</v>
      </c>
      <c r="AK76" s="339"/>
      <c r="AL76" s="337">
        <f t="shared" si="619"/>
        <v>0</v>
      </c>
      <c r="AM76" s="339"/>
      <c r="AN76" s="267" t="str">
        <f t="shared" si="620"/>
        <v>Lystb</v>
      </c>
      <c r="AO76" s="45">
        <f>VLOOKUP(AN76,Skrogform!$1:$1048576,3,FALSE)</f>
        <v>0.98</v>
      </c>
      <c r="AP76" s="64">
        <f t="shared" si="621"/>
        <v>12.8</v>
      </c>
      <c r="AQ76" s="64">
        <f t="shared" si="621"/>
        <v>11.1</v>
      </c>
      <c r="AR76" s="64">
        <f t="shared" si="621"/>
        <v>3.9</v>
      </c>
      <c r="AS76" s="64">
        <f t="shared" si="621"/>
        <v>2.14</v>
      </c>
      <c r="AT76" s="64">
        <f t="shared" si="622"/>
        <v>18</v>
      </c>
      <c r="AU76" s="64">
        <f t="shared" si="621"/>
        <v>18</v>
      </c>
      <c r="AV76" s="64">
        <f t="shared" si="621"/>
        <v>6.2</v>
      </c>
      <c r="AW76" s="64">
        <f t="shared" si="621"/>
        <v>0</v>
      </c>
      <c r="AX76" s="256">
        <f>AX74</f>
        <v>0</v>
      </c>
      <c r="AY76" s="256">
        <f t="shared" si="621"/>
        <v>68</v>
      </c>
      <c r="AZ76" s="256">
        <f t="shared" si="621"/>
        <v>480</v>
      </c>
      <c r="BA76" s="256">
        <f t="shared" si="623"/>
        <v>100</v>
      </c>
      <c r="BB76" s="256">
        <f t="shared" si="623"/>
        <v>150</v>
      </c>
      <c r="BC76" s="256"/>
      <c r="BD76" s="66"/>
      <c r="BE76" s="66"/>
      <c r="BF76" s="261"/>
      <c r="BG76" s="66"/>
      <c r="BH76" s="175"/>
      <c r="BI76" s="66"/>
      <c r="BJ76" s="66"/>
      <c r="BK76" s="65" t="str">
        <f t="shared" si="624"/>
        <v>Seilrett</v>
      </c>
      <c r="BL76" s="267">
        <f t="shared" si="624"/>
        <v>3</v>
      </c>
      <c r="BM76" s="267">
        <f t="shared" si="624"/>
        <v>62</v>
      </c>
      <c r="BN76" s="45">
        <f t="shared" ref="BN76" si="676">IF((BK76="Fast"),(1.006248-(0.06415*((BM76/100*SQRT(BL76))/POWER(AU76,(1/3))))),1)</f>
        <v>1</v>
      </c>
      <c r="BO76" s="59"/>
      <c r="BP76" s="59"/>
      <c r="BR76" s="49">
        <f t="shared" si="579"/>
        <v>0</v>
      </c>
      <c r="BS76" s="49">
        <f t="shared" si="579"/>
        <v>0</v>
      </c>
      <c r="BT76" s="49">
        <f t="shared" si="579"/>
        <v>0</v>
      </c>
      <c r="BU76" s="49">
        <f t="shared" si="579"/>
        <v>0</v>
      </c>
      <c r="BV76" s="49">
        <f t="shared" si="579"/>
        <v>23.5</v>
      </c>
      <c r="BW76" s="49">
        <f t="shared" si="579"/>
        <v>0</v>
      </c>
      <c r="BX76" s="49">
        <f t="shared" si="579"/>
        <v>23.5</v>
      </c>
      <c r="BY76" s="549">
        <f>IF(COUNT(Q76:U76)&gt;1,MINA(Q76:U76)*BY$9,0)</f>
        <v>-11.75</v>
      </c>
      <c r="BZ76" s="85">
        <f t="shared" si="580"/>
        <v>0</v>
      </c>
      <c r="CA76" s="85">
        <f t="shared" si="580"/>
        <v>0</v>
      </c>
      <c r="CB76" s="85">
        <f t="shared" si="580"/>
        <v>0</v>
      </c>
      <c r="CC76" s="85">
        <f t="shared" si="580"/>
        <v>37.052028</v>
      </c>
      <c r="CD76" s="85">
        <f t="shared" si="580"/>
        <v>0</v>
      </c>
      <c r="CE76" s="85">
        <f>IF(AC76=0,0,AC76*CE$9)</f>
        <v>0</v>
      </c>
      <c r="CF76" s="85">
        <f t="shared" si="581"/>
        <v>0</v>
      </c>
      <c r="CG76" s="85">
        <f t="shared" si="581"/>
        <v>0</v>
      </c>
      <c r="CH76" s="85">
        <f t="shared" si="582"/>
        <v>0</v>
      </c>
      <c r="CI76" s="85">
        <f t="shared" si="582"/>
        <v>0</v>
      </c>
      <c r="CJ76" s="85">
        <f t="shared" si="582"/>
        <v>0</v>
      </c>
      <c r="CK76" s="85">
        <f t="shared" si="582"/>
        <v>0</v>
      </c>
      <c r="CL76" s="100">
        <f>SUM(BR76:CK76)</f>
        <v>72.302028000000007</v>
      </c>
      <c r="CM76" s="50"/>
      <c r="CN76" s="104">
        <f>J76</f>
        <v>94.502600000000001</v>
      </c>
      <c r="CO76" s="101">
        <f t="shared" ref="CO76" si="677">CL76/CN76</f>
        <v>0.76507977558289408</v>
      </c>
      <c r="CP76" s="51">
        <f>Seilareal/Lwl/Lwl</f>
        <v>0.76700430159889632</v>
      </c>
      <c r="CQ76" s="116">
        <f>Seilareal/Depl^0.667/K$7</f>
        <v>1.2738918665060783</v>
      </c>
      <c r="CR76" s="51">
        <f>Seilareal/Lwl/Lwl/SApRS1</f>
        <v>1.1637904080110792</v>
      </c>
      <c r="CS76" s="204"/>
      <c r="CT76" s="204">
        <f>(ROUND(TBF/CT$6,3)*CT$6)*CT$4</f>
        <v>117.49999999999999</v>
      </c>
      <c r="CU76" s="107">
        <f t="shared" si="36"/>
        <v>1.1731969750084623</v>
      </c>
      <c r="CV76" s="62">
        <f t="shared" si="13"/>
        <v>3.2371048033475089</v>
      </c>
      <c r="CW76" s="62">
        <f t="shared" si="14"/>
        <v>1.7504578155735613</v>
      </c>
      <c r="CX76" s="62">
        <f t="shared" si="15"/>
        <v>1.8252852516227529</v>
      </c>
      <c r="CY76" s="107">
        <f t="shared" si="16"/>
        <v>1.0055226928764704</v>
      </c>
      <c r="CZ76" s="168" t="str">
        <f t="shared" ref="CZ76" si="678">IF(DA76=0,"-",IF(CP76="TBF","-",CZ$7*DA76))</f>
        <v>-</v>
      </c>
      <c r="DA76" s="158"/>
      <c r="DB76" s="168" t="str">
        <f t="shared" ref="DB76" si="679">IF(DC76=0,"-",IF(CT76="TBF","-",DB$7*DC76))</f>
        <v>-</v>
      </c>
      <c r="DC76" s="160"/>
      <c r="DD76" s="190" t="s">
        <v>134</v>
      </c>
      <c r="DE76" s="62">
        <v>0.98</v>
      </c>
      <c r="DF76" s="62">
        <v>0.93</v>
      </c>
      <c r="DG76" s="62">
        <v>0.99</v>
      </c>
      <c r="DH76" s="150">
        <v>1.01</v>
      </c>
      <c r="DI76" s="62">
        <f t="shared" si="39"/>
        <v>2.0978443255134516</v>
      </c>
      <c r="DJ76" s="47">
        <f t="shared" si="17"/>
        <v>13.375</v>
      </c>
      <c r="DK76" s="48">
        <f t="shared" ref="DK76" si="680">DJ$7*IF(DJ76&lt;DJ$5,-0.04,IF(DJ76&lt;DJ$5*1.1,-0.03,IF(DJ76&lt;DJ$5*1.2,-0.02,IF(DJ76&lt;DJ$5*1.3,-0.01,0))))</f>
        <v>0</v>
      </c>
      <c r="DM76" s="107">
        <f t="shared" si="643"/>
        <v>1.1444603828513098</v>
      </c>
      <c r="DN76" s="141" t="str">
        <f t="shared" ref="DN76" si="681">IF($DY76=0,"-",(DM76-$DW76)*100)</f>
        <v>-</v>
      </c>
      <c r="DO76" s="107">
        <f t="shared" ref="DO76" si="682">SUM(DP76:DS76)^DO$3+DO$7</f>
        <v>5.0564804642657375</v>
      </c>
      <c r="DP76" s="133">
        <f>IF(SeilBeregnet=0,DP74,(SeilBeregnet^0.5/(Depl^0.3333))^DP$3*DP$7)</f>
        <v>3.2448372096343845</v>
      </c>
      <c r="DQ76" s="133">
        <f>IF(SeilBeregnet=0,DQ74,(SeilBeregnet^0.5/Lwl)^DQ$3*DQ$7)</f>
        <v>0</v>
      </c>
      <c r="DR76" s="133">
        <f>IF(SeilBeregnet=0,DR74,(0.1*Loa/Depl^0.3333)^DR$3*DR$7)</f>
        <v>0</v>
      </c>
      <c r="DS76" s="133">
        <f>IF(SeilBeregnet=0,DS74,((Loa)/Bredde)^DS$3*DS$7)</f>
        <v>1.8116432546313532</v>
      </c>
      <c r="DT76" s="107">
        <f>IF(SeilBeregnet=0,DT74,(Lwl)^DT$3)</f>
        <v>1.8252852516227529</v>
      </c>
      <c r="DU76" s="133">
        <f>IF(SeilBeregnet=0,DU74,(Dypg/Loa)^DU$3*5*DU$7)</f>
        <v>2.0444284042245155</v>
      </c>
      <c r="DW76" s="107">
        <f t="shared" si="417"/>
        <v>1.1971397704167981</v>
      </c>
      <c r="DX76" s="107">
        <f t="shared" si="40"/>
        <v>1.1458124187878187</v>
      </c>
      <c r="DZ76" s="107">
        <f t="shared" si="41"/>
        <v>1.1375319714950503</v>
      </c>
      <c r="EA76" s="122" t="str">
        <f t="shared" ref="EA76" si="683">IF($DY76=0,"-",DZ76-$DW76)</f>
        <v>-</v>
      </c>
      <c r="EB76" s="107">
        <f t="shared" ref="EB76" si="684">IF(SeilBeregnet=0,"-",EB$7*(EB$4*ED76*EE76*EF76*PropF+EB$6)+ErfaringsF+Dyp_F)</f>
        <v>1.1651518936032952</v>
      </c>
      <c r="EC76" s="122" t="str">
        <f t="shared" ref="EC76" si="685">IF($DY76=0,"-",EB76-$DW76)</f>
        <v>-</v>
      </c>
      <c r="ED76" s="107">
        <f t="shared" si="644"/>
        <v>3.2445558582578204</v>
      </c>
      <c r="EE76" s="107">
        <f t="shared" si="645"/>
        <v>2.2305201393117833</v>
      </c>
      <c r="EF76" s="107">
        <f t="shared" si="646"/>
        <v>1.5733789064132366</v>
      </c>
      <c r="EH76" s="107">
        <f t="shared" ref="EH76" si="686">IF(SeilBeregnet=0,"-",EH$7*(EH$4*EJ76*EK76*EL76*PropF+EH$6)+ErfaringsF+Dyp_F)</f>
        <v>1.1589061264071765</v>
      </c>
      <c r="EJ76" s="107">
        <f t="shared" si="647"/>
        <v>3.2445558582578204</v>
      </c>
      <c r="EK76" s="107">
        <f t="shared" si="648"/>
        <v>2.2306812073130904</v>
      </c>
      <c r="EL76" s="107">
        <f t="shared" si="649"/>
        <v>1.8298613614330996</v>
      </c>
      <c r="EM76" s="107">
        <f t="shared" ref="EM76" si="687">IF(SeilBeregnet=0,"-",EM$7*(EM$4*EO76+EM$6)*ER76*PropF+ErfaringsF+Dyp_F)</f>
        <v>1.1558974756783869</v>
      </c>
      <c r="EO76" s="107">
        <f t="shared" ref="EO76" si="688">IF(SeilBeregnet=0,EO74,(EP76*EQ76)^EO$3)</f>
        <v>5.1049157480623499</v>
      </c>
      <c r="EP76" s="107">
        <f t="shared" si="651"/>
        <v>3.2445558582578204</v>
      </c>
      <c r="EQ76" s="107">
        <f t="shared" si="652"/>
        <v>1.5733789064132366</v>
      </c>
      <c r="ER76" s="107">
        <f t="shared" si="653"/>
        <v>1.8252852516227529</v>
      </c>
      <c r="ES76" s="107">
        <f t="shared" si="654"/>
        <v>1.1599916061000071</v>
      </c>
      <c r="EU76" s="107">
        <f>IF(SeilBeregnet=0,EU74,(EV:EV*EW:EW)^EU$3)</f>
        <v>1.8060317591290138</v>
      </c>
      <c r="EV76" s="107">
        <f t="shared" si="655"/>
        <v>3.2445558582578204</v>
      </c>
      <c r="EW76" s="107">
        <f t="shared" si="656"/>
        <v>1.0052996026192789</v>
      </c>
      <c r="EX76" s="107">
        <f t="shared" si="657"/>
        <v>1.8458995117503456</v>
      </c>
      <c r="EY76" s="107">
        <f t="shared" si="658"/>
        <v>1.1210280691250716</v>
      </c>
      <c r="FA76" s="107">
        <f t="shared" si="611"/>
        <v>1.8061100623742996</v>
      </c>
      <c r="FB76" s="107">
        <f t="shared" si="659"/>
        <v>3.2448372096343845</v>
      </c>
      <c r="FC76" s="107">
        <f t="shared" si="660"/>
        <v>1.0052996026192789</v>
      </c>
      <c r="FD76" s="107">
        <f t="shared" si="661"/>
        <v>1.8458995117503456</v>
      </c>
      <c r="FE76" s="107">
        <f t="shared" si="662"/>
        <v>1.1508147568825982</v>
      </c>
      <c r="FF76" s="141" t="str">
        <f t="shared" ref="FF76" si="689">IF($DY76=0,"-",(FE76-$DW76)*100)</f>
        <v>-</v>
      </c>
      <c r="FG76" s="107">
        <f t="shared" si="613"/>
        <v>3.2793210389947203</v>
      </c>
      <c r="FH76" s="133">
        <f t="shared" si="663"/>
        <v>3.2448372096343845</v>
      </c>
      <c r="FI76" s="133">
        <f t="shared" si="664"/>
        <v>1.01062729102648</v>
      </c>
      <c r="FJ76" s="107">
        <f t="shared" si="665"/>
        <v>1.0380255776059077</v>
      </c>
      <c r="FK76" s="107">
        <f t="shared" si="666"/>
        <v>1.156099366006186</v>
      </c>
      <c r="FL76" s="141" t="str">
        <f t="shared" ref="FL76" si="690">IF($DY76=0,"-",(FK76-$DW76)*100)</f>
        <v>-</v>
      </c>
      <c r="FM76" s="107">
        <f t="shared" si="615"/>
        <v>5.3225218984834948</v>
      </c>
      <c r="FN76" s="133">
        <f t="shared" si="667"/>
        <v>3.2448372096343845</v>
      </c>
      <c r="FO76" s="133">
        <f t="shared" si="668"/>
        <v>0.76604143421775683</v>
      </c>
      <c r="FP76" s="133">
        <f t="shared" si="669"/>
        <v>1.8116432546313532</v>
      </c>
      <c r="FQ76" s="107">
        <f t="shared" si="670"/>
        <v>1.8252852516227529</v>
      </c>
      <c r="FR76" s="107">
        <f t="shared" si="671"/>
        <v>1.1539876760597447</v>
      </c>
      <c r="FS76" s="141" t="str">
        <f t="shared" ref="FS76" si="691">IF($DY76=0,"-",(FR76-$DW76)*100)</f>
        <v>-</v>
      </c>
      <c r="FT76" s="107">
        <f t="shared" si="617"/>
        <v>5.8784874432109548</v>
      </c>
      <c r="FU76" s="133">
        <f t="shared" si="672"/>
        <v>3.2448372096343845</v>
      </c>
      <c r="FV76" s="133">
        <f t="shared" si="673"/>
        <v>1.8116432546313532</v>
      </c>
      <c r="FW76" s="107">
        <f t="shared" si="674"/>
        <v>1.8252852516227529</v>
      </c>
      <c r="FY76">
        <v>0.95</v>
      </c>
      <c r="FZ76" s="62">
        <f t="shared" si="48"/>
        <v>1.1516050385865984</v>
      </c>
      <c r="GA76" s="62">
        <f t="shared" si="49"/>
        <v>2.0444284042245155</v>
      </c>
      <c r="GB76" s="107">
        <f t="shared" si="50"/>
        <v>1.2281087177985994</v>
      </c>
      <c r="GC76" s="440"/>
      <c r="GD76" s="17"/>
      <c r="GE76" s="442"/>
      <c r="GF76" s="462"/>
      <c r="GG76" s="17"/>
      <c r="GH76" s="17"/>
      <c r="GI76" s="17"/>
      <c r="GJ76" s="17"/>
      <c r="GL76" s="17"/>
      <c r="GM76" s="442"/>
      <c r="GN76" s="8"/>
      <c r="GO76" s="8"/>
      <c r="GP76" s="8"/>
      <c r="GQ76" s="8"/>
      <c r="GS76" s="17"/>
      <c r="GT76" s="17"/>
      <c r="GU76" s="17"/>
      <c r="GV76" s="629"/>
      <c r="GW76" s="17"/>
      <c r="GX76" s="17"/>
      <c r="GY76" s="17"/>
      <c r="GZ76" s="17"/>
    </row>
    <row r="77" spans="1:208" ht="15.6" x14ac:dyDescent="0.3">
      <c r="A77" s="52" t="s">
        <v>70</v>
      </c>
      <c r="B77" s="218">
        <f t="shared" ref="B77" si="692">Loa/0.3048</f>
        <v>39.370078740157481</v>
      </c>
      <c r="C77" s="53" t="s">
        <v>19</v>
      </c>
      <c r="D77" s="53"/>
      <c r="E77" s="53"/>
      <c r="F77" s="53"/>
      <c r="G77" s="54"/>
      <c r="H77" s="112">
        <f>J78</f>
        <v>90</v>
      </c>
      <c r="I77" s="601">
        <f>H78/100</f>
        <v>1.1500000000000001</v>
      </c>
      <c r="J77" s="651" t="str">
        <f>IF(DC78=0,"-",DC78)</f>
        <v>-</v>
      </c>
      <c r="K77" s="123" t="str">
        <f>A77</f>
        <v>Havfrua</v>
      </c>
      <c r="L77" s="116"/>
      <c r="M77" s="116"/>
      <c r="N77" s="92"/>
      <c r="O77" s="165"/>
      <c r="P77" s="165"/>
      <c r="Q77" s="165"/>
      <c r="R77" s="165">
        <v>23</v>
      </c>
      <c r="S77" s="165">
        <v>17</v>
      </c>
      <c r="T77" s="165">
        <v>8</v>
      </c>
      <c r="U77" s="165">
        <v>15</v>
      </c>
      <c r="V77" s="559"/>
      <c r="W77" s="559"/>
      <c r="X77" s="165">
        <v>40</v>
      </c>
      <c r="Y77" s="177">
        <f>StorS-StorS/6</f>
        <v>33.333333333333336</v>
      </c>
      <c r="Z77" s="177">
        <f>StorS-StorS/6*1.9</f>
        <v>27.333333333333336</v>
      </c>
      <c r="AA77" s="165">
        <v>12</v>
      </c>
      <c r="AB77" s="165"/>
      <c r="AC77" s="165"/>
      <c r="AD77" s="165"/>
      <c r="AE77" s="165"/>
      <c r="AF77" s="165"/>
      <c r="AG77" s="552"/>
      <c r="AH77" s="244"/>
      <c r="AI77" s="244">
        <v>11</v>
      </c>
      <c r="AJ77" s="554"/>
      <c r="AK77" s="339"/>
      <c r="AL77" s="268"/>
      <c r="AM77" s="339"/>
      <c r="AN77" s="268" t="s">
        <v>218</v>
      </c>
      <c r="AO77" s="45">
        <f>VLOOKUP(AN77,Skrogform!$1:$1048576,3,FALSE)</f>
        <v>0.96</v>
      </c>
      <c r="AP77" s="55">
        <v>12</v>
      </c>
      <c r="AQ77" s="55">
        <v>11.3</v>
      </c>
      <c r="AR77" s="55">
        <v>3.8</v>
      </c>
      <c r="AS77" s="171">
        <v>2.1</v>
      </c>
      <c r="AT77" s="637">
        <v>14</v>
      </c>
      <c r="AU77" s="171">
        <v>15</v>
      </c>
      <c r="AV77" s="55">
        <v>4</v>
      </c>
      <c r="AW77" s="55">
        <v>0.2</v>
      </c>
      <c r="AX77" s="253"/>
      <c r="AY77" s="253">
        <v>30</v>
      </c>
      <c r="AZ77" s="253">
        <v>450</v>
      </c>
      <c r="BA77" s="253"/>
      <c r="BB77" s="253"/>
      <c r="BC77" s="244">
        <f>Depl+Diesel/1000*0.84+Vann/1000</f>
        <v>15</v>
      </c>
      <c r="BD77" s="95">
        <f>Bredde/(Loa+Lwl)*2</f>
        <v>0.3261802575107296</v>
      </c>
      <c r="BE77" s="95">
        <f>(Kjøl+Ballast)/Depl</f>
        <v>0.28000000000000003</v>
      </c>
      <c r="BF77" s="260">
        <f>BF$7*((Depl-Kjøl-Ballast-VektMotor/1000-VektAnnet/1000)/Lwl/Lwl/Bredde)</f>
        <v>0.80496961961582691</v>
      </c>
      <c r="BG77" s="95">
        <f>BG$7*(Depl/Loa/Lwl/Lwl)</f>
        <v>0.72038947842430878</v>
      </c>
      <c r="BH77" s="174">
        <f>BH$7*(Depl/Loa/Lwl/Bredde)</f>
        <v>0.79183468211457853</v>
      </c>
      <c r="BI77" s="95">
        <f>BI$7*Bredde/(Loa+Lwl)*2</f>
        <v>0.93049056255480178</v>
      </c>
      <c r="BJ77" s="95">
        <f>BJ$7*(Dypg/Lwl)</f>
        <v>1.0164678722585609</v>
      </c>
      <c r="BK77" s="56" t="s">
        <v>39</v>
      </c>
      <c r="BL77" s="268">
        <v>2</v>
      </c>
      <c r="BM77" s="268">
        <v>60</v>
      </c>
      <c r="BN77" s="45">
        <f t="shared" si="410"/>
        <v>0.98417646747353715</v>
      </c>
      <c r="BO77" s="59"/>
      <c r="BP77" s="59"/>
      <c r="BR77" s="209"/>
      <c r="BS77" s="209"/>
      <c r="BT77" s="209" t="str">
        <f>$A77</f>
        <v>Havfrua</v>
      </c>
      <c r="BU77" s="10"/>
      <c r="BV77" s="10"/>
      <c r="BW77" s="10"/>
      <c r="BX77" s="10"/>
      <c r="BY77" s="549"/>
      <c r="BZ77" s="10"/>
      <c r="CA77" s="10"/>
      <c r="CB77" s="209" t="str">
        <f>$A77</f>
        <v>Havfrua</v>
      </c>
      <c r="CC77" s="10"/>
      <c r="CD77" s="10"/>
      <c r="CE77" s="10"/>
      <c r="CF77" s="10"/>
      <c r="CG77" s="10"/>
      <c r="CH77" s="10"/>
      <c r="CI77" s="10"/>
      <c r="CJ77" s="10"/>
      <c r="CK77" s="10"/>
      <c r="CL77" s="209"/>
      <c r="CM77" s="10"/>
      <c r="CN77" s="209" t="str">
        <f>$A77</f>
        <v>Havfrua</v>
      </c>
      <c r="CO77" s="207"/>
      <c r="CP77" s="207"/>
      <c r="CQ77" s="116"/>
      <c r="CR77" s="207"/>
      <c r="CS77" s="203"/>
      <c r="CT77" s="203" t="s">
        <v>23</v>
      </c>
      <c r="CU77" s="107" t="str">
        <f t="shared" si="36"/>
        <v>-</v>
      </c>
      <c r="CV77" s="62" t="str">
        <f t="shared" si="13"/>
        <v>-</v>
      </c>
      <c r="CW77" s="62" t="str">
        <f t="shared" si="14"/>
        <v>-</v>
      </c>
      <c r="CX77" s="62" t="str">
        <f t="shared" si="15"/>
        <v>-</v>
      </c>
      <c r="CY77" s="107" t="str">
        <f t="shared" si="16"/>
        <v>-</v>
      </c>
      <c r="CZ77" s="168" t="str">
        <f t="shared" ref="CZ77:CZ155" si="693">IF(DA77=0,"-",IF(CP77="TBF","-",CZ$7*DA77))</f>
        <v>-</v>
      </c>
      <c r="DA77" s="158"/>
      <c r="DB77" s="168" t="str">
        <f t="shared" ref="DB77:DB155" si="694">IF(DC77=0,"-",IF(CT77="TBF","-",DB$7*DC77))</f>
        <v>-</v>
      </c>
      <c r="DC77" s="160"/>
      <c r="DD77" s="190" t="s">
        <v>134</v>
      </c>
      <c r="DE77" s="29" t="s">
        <v>23</v>
      </c>
      <c r="DF77" s="29" t="s">
        <v>23</v>
      </c>
      <c r="DG77" s="29" t="s">
        <v>23</v>
      </c>
      <c r="DH77" s="149">
        <v>2022</v>
      </c>
      <c r="DI77" s="62" t="str">
        <f t="shared" ref="DI77:DI201" si="695">IF(SeilBeregnet=0,"-",((Dypg/(Lwl+DI$6-Bredde*DI$5))^(1/DI$4)*5)*DI$3*DI$7)</f>
        <v>-</v>
      </c>
      <c r="DJ77" s="47">
        <f t="shared" ref="DJ77:DJ201" si="696">(Dypg/(Lwl+Bredde+DJ$8)*100)</f>
        <v>13.043478260869565</v>
      </c>
      <c r="DK77" s="48">
        <f t="shared" ref="DK77:DK113" si="697">DJ$7*IF(DJ77&lt;DJ$5,-0.04,IF(DJ77&lt;DJ$5*1.1,-0.03,IF(DJ77&lt;DJ$5*1.2,-0.02,IF(DJ77&lt;DJ$5*1.3,-0.01,0))))</f>
        <v>0</v>
      </c>
      <c r="DM77" s="107" t="str">
        <f t="shared" si="643"/>
        <v>-</v>
      </c>
      <c r="DN77" s="141" t="str">
        <f t="shared" si="246"/>
        <v>-</v>
      </c>
      <c r="DO77" s="107" t="e">
        <f t="shared" ref="DO77:DO113" si="698">SUM(DP77:DS77)^DO$3+DO$7</f>
        <v>#REF!</v>
      </c>
      <c r="DP77" s="133" t="e">
        <f>IF(SeilBeregnet=0,#REF!,(SeilBeregnet^0.5/(Depl^0.3333))^DP$3*DP$7)</f>
        <v>#REF!</v>
      </c>
      <c r="DQ77" s="133" t="e">
        <f>IF(SeilBeregnet=0,#REF!,(SeilBeregnet^0.5/Lwl)^DQ$3*DQ$7)</f>
        <v>#REF!</v>
      </c>
      <c r="DR77" s="133" t="e">
        <f>IF(SeilBeregnet=0,#REF!,(0.1*Loa/Depl^0.3333)^DR$3*DR$7)</f>
        <v>#REF!</v>
      </c>
      <c r="DS77" s="133" t="e">
        <f>IF(SeilBeregnet=0,#REF!,((Loa)/Bredde)^DS$3*DS$7)</f>
        <v>#REF!</v>
      </c>
      <c r="DT77" s="107" t="e">
        <f>IF(SeilBeregnet=0,#REF!,(Lwl)^DT$3)</f>
        <v>#REF!</v>
      </c>
      <c r="DU77" s="133" t="e">
        <f>IF(SeilBeregnet=0,#REF!,(Dypg/Loa)^DU$3*5*DU$7)</f>
        <v>#REF!</v>
      </c>
      <c r="DW77" s="107" t="str">
        <f t="shared" si="247"/>
        <v>-</v>
      </c>
      <c r="DX77" s="107" t="str">
        <f t="shared" ref="DX77:DX201" si="699">IF(SeilBeregnet=0,"-",DX$7*(DX$4*SeilBeregnet^0.5/(Depl^0.33333*Bredde*Lwl)^0.3333*((Loa*0.03+Lwl*0.07)^0.33)*PropF+DX$6)+ErfaringsF+Dyp_F)</f>
        <v>-</v>
      </c>
      <c r="DZ77" s="107" t="str">
        <f t="shared" ref="DZ77:DZ201" si="700">IF(SeilBeregnet=0,"-",DZ$7*(DZ$4*SeilBeregnet^0.5/(Depl^0.33333*Bredde*Lwl)^0.3333*Lwl^0.3333*((Loa+Lwl)/Bredde/6)^0.25*PropF+DZ$6)+ErfaringsF+Dyp_F)</f>
        <v>-</v>
      </c>
      <c r="EA77" s="122" t="str">
        <f t="shared" si="248"/>
        <v>-</v>
      </c>
      <c r="EB77" s="107" t="str">
        <f t="shared" ref="EB77:EB113" si="701">IF(SeilBeregnet=0,"-",EB$7*(EB$4*ED77*EE77*EF77*PropF+EB$6)+ErfaringsF+Dyp_F)</f>
        <v>-</v>
      </c>
      <c r="EC77" s="122" t="str">
        <f t="shared" si="249"/>
        <v>-</v>
      </c>
      <c r="ED77" s="107" t="e">
        <f>IF(SeilBeregnet=0,#REF!,SeilBeregnet^0.5/Depl^0.33333)</f>
        <v>#REF!</v>
      </c>
      <c r="EE77" s="107" t="e">
        <f>IF(SeilBeregnet=0,#REF!,Lwl^0.3333)</f>
        <v>#REF!</v>
      </c>
      <c r="EF77" s="107" t="e">
        <f>IF(SeilBeregnet=0,#REF!,((Loa+Lwl)/Bredde)^EF$3)</f>
        <v>#REF!</v>
      </c>
      <c r="EH77" s="107" t="str">
        <f t="shared" ref="EH77:EH113" si="702">IF(SeilBeregnet=0,"-",EH$7*(EH$4*EJ77*EK77*EL77*PropF+EH$6)+ErfaringsF+Dyp_F)</f>
        <v>-</v>
      </c>
      <c r="EJ77" s="107" t="e">
        <f>IF(SeilBeregnet=0,#REF!,SeilBeregnet^0.5/Depl^0.33333)</f>
        <v>#REF!</v>
      </c>
      <c r="EK77" s="107" t="e">
        <f>IF(SeilBeregnet=0,#REF!,Lwl^EK$3)</f>
        <v>#REF!</v>
      </c>
      <c r="EL77" s="107" t="e">
        <f>IF(SeilBeregnet=0,#REF!,((Loa+Lwl)/Bredde)^EL$3)</f>
        <v>#REF!</v>
      </c>
      <c r="EM77" s="107" t="str">
        <f t="shared" ref="EM77:EM113" si="703">IF(SeilBeregnet=0,"-",EM$7*(EM$4*EO77+EM$6)*ER77*PropF+ErfaringsF+Dyp_F)</f>
        <v>-</v>
      </c>
      <c r="EO77" s="107" t="e">
        <f>IF(SeilBeregnet=0,#REF!,(EP77*EQ77)^EO$3)</f>
        <v>#REF!</v>
      </c>
      <c r="EP77" s="107" t="e">
        <f>IF(SeilBeregnet=0,#REF!,SeilBeregnet^0.5/Depl^0.33333)</f>
        <v>#REF!</v>
      </c>
      <c r="EQ77" s="107" t="e">
        <f>IF(SeilBeregnet=0,#REF!,((Loa+Lwl)/Bredde)^EQ$3)</f>
        <v>#REF!</v>
      </c>
      <c r="ER77" s="107" t="e">
        <f>IF(SeilBeregnet=0,#REF!,Lwl^ER$3)</f>
        <v>#REF!</v>
      </c>
      <c r="ES77" s="107" t="str">
        <f t="shared" si="654"/>
        <v>-</v>
      </c>
      <c r="EU77" s="107" t="e">
        <f>IF(SeilBeregnet=0,#REF!,(EV:EV*EW:EW)^EU$3)</f>
        <v>#REF!</v>
      </c>
      <c r="EV77" s="107" t="e">
        <f>IF(SeilBeregnet=0,#REF!,SeilBeregnet^0.5/Depl^0.33333)</f>
        <v>#REF!</v>
      </c>
      <c r="EW77" s="107" t="e">
        <f>IF(SeilBeregnet=0,#REF!,((Loa+Lwl)/Bredde/6)^EW$3)</f>
        <v>#REF!</v>
      </c>
      <c r="EX77" s="107" t="e">
        <f>IF(SeilBeregnet=0,#REF!,(Lwl*0.7+Loa*0.3)^EX$3)</f>
        <v>#REF!</v>
      </c>
      <c r="EY77" s="107" t="str">
        <f t="shared" si="658"/>
        <v>-</v>
      </c>
      <c r="FA77" s="107" t="e">
        <f t="shared" si="611"/>
        <v>#REF!</v>
      </c>
      <c r="FB77" s="107" t="e">
        <f>IF(SeilBeregnet=0,#REF!,SeilBeregnet^0.5/Depl^0.3333)</f>
        <v>#REF!</v>
      </c>
      <c r="FC77" s="107" t="e">
        <f>IF(SeilBeregnet=0,#REF!,((Loa+Lwl)/Bredde/6)^FC$3)</f>
        <v>#REF!</v>
      </c>
      <c r="FD77" s="107" t="e">
        <f>IF(SeilBeregnet=0,#REF!,(Lwl*0.7+Loa*0.3)^FD$3)</f>
        <v>#REF!</v>
      </c>
      <c r="FE77" s="107" t="str">
        <f t="shared" si="662"/>
        <v>-</v>
      </c>
      <c r="FF77" s="141" t="str">
        <f t="shared" si="250"/>
        <v>-</v>
      </c>
      <c r="FG77" s="107" t="e">
        <f t="shared" si="613"/>
        <v>#REF!</v>
      </c>
      <c r="FH77" s="133" t="e">
        <f>IF(SeilBeregnet=0,#REF!,(SeilBeregnet^0.5/(Depl^0.3333))^FH$3)</f>
        <v>#REF!</v>
      </c>
      <c r="FI77" s="133" t="e">
        <f>IF(SeilBeregnet=0,#REF!,((Loa+Lwl)/Bredde/6)^FI$3)</f>
        <v>#REF!</v>
      </c>
      <c r="FJ77" s="107" t="e">
        <f>IF(SeilBeregnet=0,#REF!,(Lwl*0.07+Loa*0.03)^FJ$3)</f>
        <v>#REF!</v>
      </c>
      <c r="FK77" s="107" t="str">
        <f t="shared" si="666"/>
        <v>-</v>
      </c>
      <c r="FL77" s="141" t="str">
        <f t="shared" si="251"/>
        <v>-</v>
      </c>
      <c r="FM77" s="107" t="e">
        <f t="shared" si="615"/>
        <v>#REF!</v>
      </c>
      <c r="FN77" s="133" t="e">
        <f>IF(SeilBeregnet=0,#REF!,(SeilBeregnet^0.5/(Depl^0.3333))^FN$3)</f>
        <v>#REF!</v>
      </c>
      <c r="FO77" s="133" t="e">
        <f>IF(SeilBeregnet=0,#REF!,(SeilBeregnet^0.5/Lwl*FO$7)^FO$3)</f>
        <v>#REF!</v>
      </c>
      <c r="FP77" s="133" t="e">
        <f>IF(SeilBeregnet=0,#REF!,((Loa)/Bredde)^FP$3*FP$7)</f>
        <v>#REF!</v>
      </c>
      <c r="FQ77" s="107" t="e">
        <f>IF(SeilBeregnet=0,#REF!,(Lwl)^FQ$3)</f>
        <v>#REF!</v>
      </c>
      <c r="FR77" s="107" t="str">
        <f t="shared" si="671"/>
        <v>-</v>
      </c>
      <c r="FS77" s="141" t="str">
        <f t="shared" si="252"/>
        <v>-</v>
      </c>
      <c r="FT77" s="107" t="e">
        <f t="shared" si="617"/>
        <v>#REF!</v>
      </c>
      <c r="FU77" s="133" t="e">
        <f>IF(SeilBeregnet=0,#REF!,(SeilBeregnet^0.5/(Depl^0.3333))^FU$3)</f>
        <v>#REF!</v>
      </c>
      <c r="FV77" s="133" t="e">
        <f>IF(SeilBeregnet=0,#REF!,(Loa/Bredde)^FV$3)</f>
        <v>#REF!</v>
      </c>
      <c r="FW77" s="107" t="e">
        <f>IF(SeilBeregnet=0,#REF!,Lwl^FW$3)</f>
        <v>#REF!</v>
      </c>
      <c r="FY77">
        <v>0.95</v>
      </c>
      <c r="FZ77" s="62" t="str">
        <f t="shared" si="48"/>
        <v>-</v>
      </c>
      <c r="GA77" s="62">
        <f t="shared" si="49"/>
        <v>2.0916500663351889</v>
      </c>
      <c r="GB77" s="107" t="str">
        <f t="shared" si="50"/>
        <v>-</v>
      </c>
      <c r="GC77" s="441" t="s">
        <v>449</v>
      </c>
      <c r="GD77" s="57" t="s">
        <v>71</v>
      </c>
      <c r="GE77" s="436" t="s">
        <v>633</v>
      </c>
      <c r="GF77" s="464" t="s">
        <v>72</v>
      </c>
      <c r="GG77" s="57"/>
      <c r="GH77" s="57" t="s">
        <v>526</v>
      </c>
      <c r="GI77" s="57" t="s">
        <v>416</v>
      </c>
      <c r="GJ77" s="57" t="s">
        <v>526</v>
      </c>
      <c r="GL77" s="57" t="s">
        <v>478</v>
      </c>
      <c r="GM77" s="436" t="s">
        <v>478</v>
      </c>
      <c r="GN77" s="58" t="s">
        <v>478</v>
      </c>
      <c r="GO77" s="58" t="s">
        <v>478</v>
      </c>
      <c r="GP77" s="58" t="s">
        <v>478</v>
      </c>
      <c r="GQ77" s="58" t="s">
        <v>478</v>
      </c>
      <c r="GS77" s="57" t="s">
        <v>470</v>
      </c>
      <c r="GT77" s="57" t="s">
        <v>545</v>
      </c>
      <c r="GU77" s="57" t="s">
        <v>456</v>
      </c>
      <c r="GV77" s="632" t="s">
        <v>546</v>
      </c>
      <c r="GW77" s="57">
        <v>1945</v>
      </c>
      <c r="GX77" s="57" t="s">
        <v>541</v>
      </c>
      <c r="GY77" s="57" t="s">
        <v>547</v>
      </c>
      <c r="GZ77" s="57" t="s">
        <v>478</v>
      </c>
    </row>
    <row r="78" spans="1:208" ht="15.6" x14ac:dyDescent="0.3">
      <c r="A78" s="60" t="s">
        <v>28</v>
      </c>
      <c r="B78" s="218"/>
      <c r="C78" s="61" t="str">
        <f>C77</f>
        <v>Gaffel</v>
      </c>
      <c r="D78" s="61"/>
      <c r="E78" s="61"/>
      <c r="F78" s="61"/>
      <c r="G78" s="54"/>
      <c r="H78" s="204">
        <f>TBFavrundet</f>
        <v>115.00000000000001</v>
      </c>
      <c r="I78" s="63">
        <f>COUNTA(O78:AG78)</f>
        <v>4</v>
      </c>
      <c r="J78" s="222">
        <f>SUM(O78:AG78)</f>
        <v>90</v>
      </c>
      <c r="K78" s="116">
        <f>Seilareal/Depl^0.667/K$7</f>
        <v>1.3700777331514613</v>
      </c>
      <c r="L78" s="116">
        <f>Seilareal/Lwl/Lwl/L$7</f>
        <v>1.0694551994670094</v>
      </c>
      <c r="M78" s="92">
        <f>RiggF</f>
        <v>0.74777777777777776</v>
      </c>
      <c r="N78" s="242">
        <f>StHfaktor</f>
        <v>0.99664221838488598</v>
      </c>
      <c r="O78" s="143"/>
      <c r="P78" s="143"/>
      <c r="Q78" s="143"/>
      <c r="R78" s="165">
        <v>23</v>
      </c>
      <c r="S78" s="143"/>
      <c r="T78" s="143"/>
      <c r="U78" s="165">
        <v>15</v>
      </c>
      <c r="V78" s="559"/>
      <c r="W78" s="559"/>
      <c r="X78" s="165">
        <v>40</v>
      </c>
      <c r="Y78" s="143"/>
      <c r="Z78" s="143"/>
      <c r="AA78" s="165">
        <v>12</v>
      </c>
      <c r="AB78" s="143"/>
      <c r="AC78" s="143"/>
      <c r="AD78" s="143"/>
      <c r="AE78" s="143"/>
      <c r="AF78" s="143"/>
      <c r="AG78" s="551"/>
      <c r="AH78" s="557"/>
      <c r="AI78" s="557">
        <f>AI77</f>
        <v>11</v>
      </c>
      <c r="AJ78" s="337">
        <f xml:space="preserve"> AJ77</f>
        <v>0</v>
      </c>
      <c r="AK78" s="339"/>
      <c r="AL78" s="337">
        <f xml:space="preserve"> AL77</f>
        <v>0</v>
      </c>
      <c r="AM78" s="339"/>
      <c r="AN78" s="267" t="str">
        <f xml:space="preserve"> AN77</f>
        <v>Kutter</v>
      </c>
      <c r="AO78" s="45">
        <f>VLOOKUP(AN78,Skrogform!$1:$1048576,3,FALSE)</f>
        <v>0.96</v>
      </c>
      <c r="AP78" s="64">
        <f t="shared" ref="AP78:BB79" si="704">AP77</f>
        <v>12</v>
      </c>
      <c r="AQ78" s="64">
        <f t="shared" si="704"/>
        <v>11.3</v>
      </c>
      <c r="AR78" s="64">
        <f t="shared" si="704"/>
        <v>3.8</v>
      </c>
      <c r="AS78" s="64">
        <f t="shared" si="704"/>
        <v>2.1</v>
      </c>
      <c r="AT78" s="64">
        <f t="shared" si="704"/>
        <v>14</v>
      </c>
      <c r="AU78" s="64">
        <f t="shared" si="704"/>
        <v>15</v>
      </c>
      <c r="AV78" s="64">
        <f t="shared" si="704"/>
        <v>4</v>
      </c>
      <c r="AW78" s="64">
        <f t="shared" si="704"/>
        <v>0.2</v>
      </c>
      <c r="AX78" s="256">
        <f t="shared" si="704"/>
        <v>0</v>
      </c>
      <c r="AY78" s="256">
        <f t="shared" si="704"/>
        <v>30</v>
      </c>
      <c r="AZ78" s="256">
        <f t="shared" si="704"/>
        <v>450</v>
      </c>
      <c r="BA78" s="256">
        <f t="shared" si="704"/>
        <v>0</v>
      </c>
      <c r="BB78" s="256">
        <f t="shared" si="704"/>
        <v>0</v>
      </c>
      <c r="BC78" s="256"/>
      <c r="BD78" s="95"/>
      <c r="BE78" s="95"/>
      <c r="BF78" s="260"/>
      <c r="BG78" s="95"/>
      <c r="BH78" s="174"/>
      <c r="BI78" s="95"/>
      <c r="BJ78" s="95"/>
      <c r="BK78" s="65" t="str">
        <f t="shared" ref="BK78:BM80" si="705" xml:space="preserve"> BK77</f>
        <v>Fast</v>
      </c>
      <c r="BL78" s="267">
        <f t="shared" si="705"/>
        <v>2</v>
      </c>
      <c r="BM78" s="267">
        <f t="shared" si="705"/>
        <v>60</v>
      </c>
      <c r="BN78" s="45">
        <f t="shared" si="410"/>
        <v>0.98417646747353715</v>
      </c>
      <c r="BO78" s="59"/>
      <c r="BP78" s="59"/>
      <c r="BR78" s="49">
        <f t="shared" ref="BR78:BX80" si="706">IF(O78=0,0,O78*BR$9)</f>
        <v>0</v>
      </c>
      <c r="BS78" s="49">
        <f t="shared" si="706"/>
        <v>0</v>
      </c>
      <c r="BT78" s="49">
        <f t="shared" si="706"/>
        <v>0</v>
      </c>
      <c r="BU78" s="49">
        <f t="shared" si="706"/>
        <v>23</v>
      </c>
      <c r="BV78" s="49">
        <f t="shared" si="706"/>
        <v>0</v>
      </c>
      <c r="BW78" s="49">
        <f t="shared" si="706"/>
        <v>0</v>
      </c>
      <c r="BX78" s="49">
        <f t="shared" si="706"/>
        <v>15</v>
      </c>
      <c r="BY78" s="549">
        <f>IF(COUNT(Q78:U78)&gt;1,MINA(Q78:U78)*BY$9,0)</f>
        <v>-7.5</v>
      </c>
      <c r="BZ78" s="85">
        <f t="shared" ref="BZ78:CD80" si="707">IF(V78=0,0,V78*BZ$9)</f>
        <v>0</v>
      </c>
      <c r="CA78" s="85">
        <f t="shared" si="707"/>
        <v>0</v>
      </c>
      <c r="CB78" s="85">
        <f t="shared" si="707"/>
        <v>32</v>
      </c>
      <c r="CC78" s="85">
        <f t="shared" si="707"/>
        <v>0</v>
      </c>
      <c r="CD78" s="85">
        <f t="shared" si="707"/>
        <v>0</v>
      </c>
      <c r="CE78" s="85">
        <f>IF(AC78=0,0,AC78*CE$9)</f>
        <v>0</v>
      </c>
      <c r="CF78" s="85">
        <f t="shared" ref="CF78:CG80" si="708">IF(AA78=0,0,AA78*CF$9)</f>
        <v>4.8000000000000007</v>
      </c>
      <c r="CG78" s="85">
        <f t="shared" si="708"/>
        <v>0</v>
      </c>
      <c r="CH78" s="85">
        <f t="shared" ref="CH78:CK80" si="709">IF(AD78=0,0,AD78*CH$9)</f>
        <v>0</v>
      </c>
      <c r="CI78" s="85">
        <f t="shared" si="709"/>
        <v>0</v>
      </c>
      <c r="CJ78" s="85">
        <f t="shared" si="709"/>
        <v>0</v>
      </c>
      <c r="CK78" s="85">
        <f t="shared" si="709"/>
        <v>0</v>
      </c>
      <c r="CL78" s="100">
        <f>SUM(BR78:CK78)</f>
        <v>67.3</v>
      </c>
      <c r="CM78" s="50"/>
      <c r="CN78" s="104">
        <f>J78</f>
        <v>90</v>
      </c>
      <c r="CO78" s="101">
        <f>CL78/CN78</f>
        <v>0.74777777777777776</v>
      </c>
      <c r="CP78" s="51">
        <f>Seilareal/Lwl/Lwl</f>
        <v>0.70483201503641624</v>
      </c>
      <c r="CQ78" s="116">
        <f>Seilareal/Depl^0.667/K$7</f>
        <v>1.3700777331514613</v>
      </c>
      <c r="CR78" s="51">
        <f>Seilareal/Lwl/Lwl/SApRS1</f>
        <v>1.0694551994670094</v>
      </c>
      <c r="CS78" s="204"/>
      <c r="CT78" s="204">
        <f>(ROUND(TBF/CT$6,3)*CT$6)*CT$4</f>
        <v>115.00000000000001</v>
      </c>
      <c r="CU78" s="107">
        <f t="shared" si="36"/>
        <v>1.1507137184582445</v>
      </c>
      <c r="CV78" s="62">
        <f t="shared" si="13"/>
        <v>3.3006460127716153</v>
      </c>
      <c r="CW78" s="62">
        <f t="shared" si="14"/>
        <v>1.7509395973831339</v>
      </c>
      <c r="CX78" s="62">
        <f t="shared" si="15"/>
        <v>1.8334522799337654</v>
      </c>
      <c r="CY78" s="107">
        <f t="shared" si="16"/>
        <v>0.99664221838488598</v>
      </c>
      <c r="CZ78" s="168" t="str">
        <f t="shared" si="693"/>
        <v>-</v>
      </c>
      <c r="DA78" s="159"/>
      <c r="DB78" s="168" t="str">
        <f t="shared" si="694"/>
        <v>-</v>
      </c>
      <c r="DC78" s="159"/>
      <c r="DD78" s="190" t="s">
        <v>134</v>
      </c>
      <c r="DE78" s="62">
        <v>0.9</v>
      </c>
      <c r="DF78" s="62">
        <v>0.89</v>
      </c>
      <c r="DG78" s="62">
        <v>0.92</v>
      </c>
      <c r="DH78" s="150">
        <v>0.94</v>
      </c>
      <c r="DI78" s="62">
        <f t="shared" si="695"/>
        <v>2.0538457640993224</v>
      </c>
      <c r="DJ78" s="47">
        <f t="shared" si="696"/>
        <v>13.043478260869565</v>
      </c>
      <c r="DK78" s="48">
        <f t="shared" si="697"/>
        <v>0</v>
      </c>
      <c r="DM78" s="107">
        <f t="shared" si="643"/>
        <v>1.1419711281920697</v>
      </c>
      <c r="DN78" s="141">
        <f t="shared" si="246"/>
        <v>-5.6688995201935155</v>
      </c>
      <c r="DO78" s="107">
        <f t="shared" si="698"/>
        <v>5.1037671412910637</v>
      </c>
      <c r="DP78" s="133">
        <f>IF(SeilBeregnet=0,DP77,(SeilBeregnet^0.5/(Depl^0.3333))^DP$3*DP$7)</f>
        <v>3.3267205080137869</v>
      </c>
      <c r="DQ78" s="133">
        <f>IF(SeilBeregnet=0,DQ77,(SeilBeregnet^0.5/Lwl)^DQ$3*DQ$7)</f>
        <v>0</v>
      </c>
      <c r="DR78" s="133">
        <f>IF(SeilBeregnet=0,DR77,(0.1*Loa/Depl^0.3333)^DR$3*DR$7)</f>
        <v>0</v>
      </c>
      <c r="DS78" s="133">
        <f>IF(SeilBeregnet=0,DS77,((Loa)/Bredde)^DS$3*DS$7)</f>
        <v>1.7770466332772772</v>
      </c>
      <c r="DT78" s="107">
        <f>IF(SeilBeregnet=0,DT77,(Lwl)^DT$3)</f>
        <v>1.8334522799337654</v>
      </c>
      <c r="DU78" s="133">
        <f>IF(SeilBeregnet=0,DU77,(Dypg/Loa)^DU$3*5*DU$7)</f>
        <v>2.0916500663351889</v>
      </c>
      <c r="DW78" s="107">
        <f t="shared" si="247"/>
        <v>1.1986601233940049</v>
      </c>
      <c r="DX78" s="107">
        <f t="shared" si="699"/>
        <v>1.117690857637774</v>
      </c>
      <c r="DY78" s="122">
        <f>DX78-DW78</f>
        <v>-8.0969265756230868E-2</v>
      </c>
      <c r="DZ78" s="107">
        <f t="shared" si="700"/>
        <v>1.121250429635388</v>
      </c>
      <c r="EA78" s="122">
        <f t="shared" si="248"/>
        <v>-7.7409693758616838E-2</v>
      </c>
      <c r="EB78" s="107">
        <f t="shared" si="701"/>
        <v>1.1785909613319492</v>
      </c>
      <c r="EC78" s="122">
        <f t="shared" si="249"/>
        <v>-2.0069162062055668E-2</v>
      </c>
      <c r="ED78" s="107">
        <f>IF(SeilBeregnet=0,ED77,SeilBeregnet^0.5/Depl^0.33333)</f>
        <v>3.3264502512077483</v>
      </c>
      <c r="EE78" s="107">
        <f>IF(SeilBeregnet=0,EE77,Lwl^0.3333)</f>
        <v>2.2438356573015867</v>
      </c>
      <c r="EF78" s="107">
        <f>IF(SeilBeregnet=0,EF77,((Loa+Lwl)/Bredde)^EF$3)</f>
        <v>1.5735954135403782</v>
      </c>
      <c r="EH78" s="107">
        <f t="shared" si="702"/>
        <v>1.1710514762560973</v>
      </c>
      <c r="EJ78" s="107">
        <f>IF(SeilBeregnet=0,EJ77,SeilBeregnet^0.5/Depl^0.33333)</f>
        <v>3.3264502512077483</v>
      </c>
      <c r="EK78" s="107">
        <f>IF(SeilBeregnet=0,EK77,Lwl^EK$3)</f>
        <v>2.2439988890031217</v>
      </c>
      <c r="EL78" s="107">
        <f>IF(SeilBeregnet=0,EL77,((Loa+Lwl)/Bredde)^EL$3)</f>
        <v>1.830197069920783</v>
      </c>
      <c r="EM78" s="107">
        <f t="shared" si="703"/>
        <v>1.1635363555858456</v>
      </c>
      <c r="EO78" s="107">
        <f>IF(SeilBeregnet=0,EO77,(EP78*EQ78)^EO$3)</f>
        <v>5.2344868586707518</v>
      </c>
      <c r="EP78" s="107">
        <f>IF(SeilBeregnet=0,EP77,SeilBeregnet^0.5/Depl^0.33333)</f>
        <v>3.3264502512077483</v>
      </c>
      <c r="EQ78" s="107">
        <f>IF(SeilBeregnet=0,EQ77,((Loa+Lwl)/Bredde)^EQ$3)</f>
        <v>1.5735954135403782</v>
      </c>
      <c r="ER78" s="107">
        <f>IF(SeilBeregnet=0,ER77,Lwl^ER$3)</f>
        <v>1.8334522799337654</v>
      </c>
      <c r="ES78" s="107">
        <f t="shared" si="654"/>
        <v>1.1590365916755172</v>
      </c>
      <c r="EU78" s="107">
        <f t="shared" ref="EU78:EU100" si="710">IF(SeilBeregnet=0,EU77,(EV:EV*EW:EW)^EU$3)</f>
        <v>1.8288081590520668</v>
      </c>
      <c r="EV78" s="107">
        <f>IF(SeilBeregnet=0,EV77,SeilBeregnet^0.5/Depl^0.33333)</f>
        <v>3.3264502512077483</v>
      </c>
      <c r="EW78" s="107">
        <f>IF(SeilBeregnet=0,EW77,((Loa+Lwl)/Bredde/6)^EW$3)</f>
        <v>1.0054379383551861</v>
      </c>
      <c r="EX78" s="107">
        <f>IF(SeilBeregnet=0,EX77,(Lwl*0.7+Loa*0.3)^EX$3)</f>
        <v>1.8419118031918562</v>
      </c>
      <c r="EY78" s="107">
        <f t="shared" si="658"/>
        <v>1.1147868037331674</v>
      </c>
      <c r="FA78" s="107">
        <f t="shared" si="611"/>
        <v>1.8288824481254391</v>
      </c>
      <c r="FB78" s="107">
        <f>IF(SeilBeregnet=0,FB77,SeilBeregnet^0.5/Depl^0.3333)</f>
        <v>3.3267205080137869</v>
      </c>
      <c r="FC78" s="107">
        <f>IF(SeilBeregnet=0,FC77,((Loa+Lwl)/Bredde/6)^FC$3)</f>
        <v>1.0054379383551861</v>
      </c>
      <c r="FD78" s="107">
        <f>IF(SeilBeregnet=0,FD77,(Lwl*0.7+Loa*0.3)^FD$3)</f>
        <v>1.8419118031918562</v>
      </c>
      <c r="FE78" s="107">
        <f t="shared" si="662"/>
        <v>1.1480713776388654</v>
      </c>
      <c r="FF78" s="141">
        <f t="shared" si="250"/>
        <v>-5.0588745755139497</v>
      </c>
      <c r="FG78" s="107">
        <f t="shared" si="613"/>
        <v>3.3629998851383234</v>
      </c>
      <c r="FH78" s="133">
        <f>IF(SeilBeregnet=0,FH77,(SeilBeregnet^0.5/(Depl^0.3333))^FH$3)</f>
        <v>3.3267205080137869</v>
      </c>
      <c r="FI78" s="133">
        <f>IF(SeilBeregnet=0,FI77,((Loa+Lwl)/Bredde/6)^FI$3)</f>
        <v>1.0109054478839272</v>
      </c>
      <c r="FJ78" s="107">
        <f>IF(SeilBeregnet=0,FJ77,(Lwl*0.07+Loa*0.03)^FJ$3)</f>
        <v>1.0357831242906539</v>
      </c>
      <c r="FK78" s="107">
        <f t="shared" si="666"/>
        <v>1.1444498267958993</v>
      </c>
      <c r="FL78" s="141">
        <f t="shared" si="251"/>
        <v>-5.4210296598105501</v>
      </c>
      <c r="FM78" s="107">
        <f t="shared" si="615"/>
        <v>5.3297545502111943</v>
      </c>
      <c r="FN78" s="133">
        <f>IF(SeilBeregnet=0,FN77,(SeilBeregnet^0.5/(Depl^0.3333))^FN$3)</f>
        <v>3.3267205080137869</v>
      </c>
      <c r="FO78" s="133">
        <f>IF(SeilBeregnet=0,FO77,(SeilBeregnet^0.5/Lwl*FO$7)^FO$3)</f>
        <v>0.72598740892013036</v>
      </c>
      <c r="FP78" s="133">
        <f>IF(SeilBeregnet=0,FP77,((Loa)/Bredde)^FP$3*FP$7)</f>
        <v>1.7770466332772772</v>
      </c>
      <c r="FQ78" s="107">
        <f>IF(SeilBeregnet=0,FQ77,(Lwl)^FQ$3)</f>
        <v>1.8334522799337654</v>
      </c>
      <c r="FR78" s="107">
        <f t="shared" si="671"/>
        <v>1.1446490499504394</v>
      </c>
      <c r="FS78" s="141">
        <f t="shared" si="252"/>
        <v>-5.4011073443565483</v>
      </c>
      <c r="FT78" s="107">
        <f t="shared" si="617"/>
        <v>5.9117374786203731</v>
      </c>
      <c r="FU78" s="133">
        <f>IF(SeilBeregnet=0,FU77,(SeilBeregnet^0.5/(Depl^0.3333))^FU$3)</f>
        <v>3.3267205080137869</v>
      </c>
      <c r="FV78" s="133">
        <f>IF(SeilBeregnet=0,FV77,(Loa/Bredde)^FV$3)</f>
        <v>1.7770466332772772</v>
      </c>
      <c r="FW78" s="107">
        <f>IF(SeilBeregnet=0,FW77,Lwl^FW$3)</f>
        <v>1.8334522799337654</v>
      </c>
      <c r="FY78">
        <v>0.95</v>
      </c>
      <c r="FZ78" s="62">
        <f t="shared" ref="FZ78:FZ155" si="711">IF(SeilBeregnet=0,"-",0.06*2.43^(1/2)*(SeilBeregnet^(1/2)/Depl^(1/3)+(Loa/Bredde)^(1/2)+GA78)*Lwl^(1/4)*FY78)</f>
        <v>1.1721561192625134</v>
      </c>
      <c r="GA78" s="62">
        <f t="shared" ref="GA78:GA155" si="712">IF(Dypg=0,GA$6,5*(Dypg/Loa)^(1/2))</f>
        <v>2.0916500663351889</v>
      </c>
      <c r="GB78" s="107">
        <f t="shared" si="50"/>
        <v>1.2275359807978894</v>
      </c>
      <c r="GC78" s="440"/>
      <c r="GD78" s="17"/>
      <c r="GE78" s="442"/>
      <c r="GF78" s="462"/>
      <c r="GG78" s="17"/>
      <c r="GH78" s="17"/>
      <c r="GI78" s="17"/>
      <c r="GJ78" s="17"/>
      <c r="GL78" s="17"/>
      <c r="GM78" s="442"/>
      <c r="GN78" s="8"/>
      <c r="GO78" s="8"/>
      <c r="GP78" s="8"/>
      <c r="GQ78" s="8"/>
      <c r="GS78" s="17"/>
      <c r="GT78" s="17"/>
      <c r="GU78" s="17"/>
      <c r="GV78" s="629"/>
      <c r="GW78" s="17"/>
      <c r="GX78" s="17"/>
      <c r="GY78" s="17"/>
      <c r="GZ78" s="17"/>
    </row>
    <row r="79" spans="1:208" ht="15.6" x14ac:dyDescent="0.3">
      <c r="A79" s="60" t="s">
        <v>29</v>
      </c>
      <c r="B79" s="218"/>
      <c r="C79" s="14" t="str">
        <f>C77</f>
        <v>Gaffel</v>
      </c>
      <c r="G79" s="54"/>
      <c r="H79" s="204">
        <f>TBFavrundet</f>
        <v>112.5</v>
      </c>
      <c r="I79" s="63">
        <f>COUNTA(O79:AG79)</f>
        <v>3</v>
      </c>
      <c r="J79" s="222">
        <f>SUM(O79:AG79)</f>
        <v>78</v>
      </c>
      <c r="K79" s="116">
        <f>Seilareal/Depl^0.667/K$7</f>
        <v>1.1874007020646</v>
      </c>
      <c r="L79" s="116">
        <f>Seilareal/Lwl/Lwl/L$7</f>
        <v>0.92686117287140823</v>
      </c>
      <c r="M79" s="92">
        <f>RiggF</f>
        <v>0.80128205128205132</v>
      </c>
      <c r="N79" s="242">
        <f>StHfaktor</f>
        <v>0.99664221838488598</v>
      </c>
      <c r="O79" s="143"/>
      <c r="P79" s="143"/>
      <c r="Q79" s="143"/>
      <c r="R79" s="165">
        <v>23</v>
      </c>
      <c r="S79" s="143"/>
      <c r="T79" s="143"/>
      <c r="U79" s="165">
        <v>15</v>
      </c>
      <c r="V79" s="559"/>
      <c r="W79" s="559"/>
      <c r="X79" s="165">
        <v>40</v>
      </c>
      <c r="Y79" s="143"/>
      <c r="Z79" s="143"/>
      <c r="AA79" s="143"/>
      <c r="AB79" s="143"/>
      <c r="AC79" s="143"/>
      <c r="AD79" s="143"/>
      <c r="AE79" s="143"/>
      <c r="AF79" s="143"/>
      <c r="AG79" s="551"/>
      <c r="AH79" s="557"/>
      <c r="AI79" s="557">
        <f>AI78</f>
        <v>11</v>
      </c>
      <c r="AJ79" s="337">
        <f xml:space="preserve"> AJ78</f>
        <v>0</v>
      </c>
      <c r="AK79" s="339"/>
      <c r="AL79" s="337">
        <f xml:space="preserve"> AL78</f>
        <v>0</v>
      </c>
      <c r="AM79" s="339"/>
      <c r="AN79" s="267" t="str">
        <f xml:space="preserve"> AN78</f>
        <v>Kutter</v>
      </c>
      <c r="AO79" s="45">
        <f>VLOOKUP(AN79,Skrogform!$1:$1048576,3,FALSE)</f>
        <v>0.96</v>
      </c>
      <c r="AP79" s="64">
        <f t="shared" si="704"/>
        <v>12</v>
      </c>
      <c r="AQ79" s="64">
        <f t="shared" si="704"/>
        <v>11.3</v>
      </c>
      <c r="AR79" s="64">
        <f t="shared" si="704"/>
        <v>3.8</v>
      </c>
      <c r="AS79" s="64">
        <f t="shared" si="704"/>
        <v>2.1</v>
      </c>
      <c r="AT79" s="64">
        <f t="shared" si="704"/>
        <v>14</v>
      </c>
      <c r="AU79" s="64">
        <f t="shared" si="704"/>
        <v>15</v>
      </c>
      <c r="AV79" s="64">
        <f t="shared" si="704"/>
        <v>4</v>
      </c>
      <c r="AW79" s="64">
        <f t="shared" si="704"/>
        <v>0.2</v>
      </c>
      <c r="AX79" s="256">
        <f t="shared" si="704"/>
        <v>0</v>
      </c>
      <c r="AY79" s="256">
        <f t="shared" si="704"/>
        <v>30</v>
      </c>
      <c r="AZ79" s="256">
        <f t="shared" si="704"/>
        <v>450</v>
      </c>
      <c r="BA79" s="256">
        <f t="shared" si="704"/>
        <v>0</v>
      </c>
      <c r="BB79" s="256">
        <f t="shared" si="704"/>
        <v>0</v>
      </c>
      <c r="BC79" s="256"/>
      <c r="BD79" s="66"/>
      <c r="BE79" s="66"/>
      <c r="BF79" s="261"/>
      <c r="BG79" s="66"/>
      <c r="BH79" s="175"/>
      <c r="BI79" s="66"/>
      <c r="BJ79" s="66"/>
      <c r="BK79" s="65" t="str">
        <f t="shared" si="705"/>
        <v>Fast</v>
      </c>
      <c r="BL79" s="267">
        <f t="shared" si="705"/>
        <v>2</v>
      </c>
      <c r="BM79" s="267">
        <f t="shared" si="705"/>
        <v>60</v>
      </c>
      <c r="BN79" s="45">
        <f t="shared" si="410"/>
        <v>0.98417646747353715</v>
      </c>
      <c r="BO79" s="59"/>
      <c r="BP79" s="59"/>
      <c r="BR79" s="49">
        <f t="shared" si="706"/>
        <v>0</v>
      </c>
      <c r="BS79" s="49">
        <f t="shared" si="706"/>
        <v>0</v>
      </c>
      <c r="BT79" s="49">
        <f t="shared" si="706"/>
        <v>0</v>
      </c>
      <c r="BU79" s="49">
        <f t="shared" si="706"/>
        <v>23</v>
      </c>
      <c r="BV79" s="49">
        <f t="shared" si="706"/>
        <v>0</v>
      </c>
      <c r="BW79" s="49">
        <f t="shared" si="706"/>
        <v>0</v>
      </c>
      <c r="BX79" s="49">
        <f t="shared" si="706"/>
        <v>15</v>
      </c>
      <c r="BY79" s="549">
        <f>IF(COUNT(Q79:U79)&gt;1,MINA(Q79:U79)*BY$9,0)</f>
        <v>-7.5</v>
      </c>
      <c r="BZ79" s="85">
        <f t="shared" si="707"/>
        <v>0</v>
      </c>
      <c r="CA79" s="85">
        <f t="shared" si="707"/>
        <v>0</v>
      </c>
      <c r="CB79" s="85">
        <f t="shared" si="707"/>
        <v>32</v>
      </c>
      <c r="CC79" s="85">
        <f t="shared" si="707"/>
        <v>0</v>
      </c>
      <c r="CD79" s="85">
        <f t="shared" si="707"/>
        <v>0</v>
      </c>
      <c r="CE79" s="85">
        <f>IF(AC79=0,0,AC79*CE$9)</f>
        <v>0</v>
      </c>
      <c r="CF79" s="85">
        <f t="shared" si="708"/>
        <v>0</v>
      </c>
      <c r="CG79" s="85">
        <f t="shared" si="708"/>
        <v>0</v>
      </c>
      <c r="CH79" s="85">
        <f t="shared" si="709"/>
        <v>0</v>
      </c>
      <c r="CI79" s="85">
        <f t="shared" si="709"/>
        <v>0</v>
      </c>
      <c r="CJ79" s="85">
        <f t="shared" si="709"/>
        <v>0</v>
      </c>
      <c r="CK79" s="85">
        <f t="shared" si="709"/>
        <v>0</v>
      </c>
      <c r="CL79" s="100">
        <f>SUM(BR79:CK79)</f>
        <v>62.5</v>
      </c>
      <c r="CM79" s="50"/>
      <c r="CN79" s="104">
        <f>J79</f>
        <v>78</v>
      </c>
      <c r="CO79" s="101">
        <f>CL79/CN79</f>
        <v>0.80128205128205132</v>
      </c>
      <c r="CP79" s="51">
        <f>Seilareal/Lwl/Lwl</f>
        <v>0.61085441303156074</v>
      </c>
      <c r="CQ79" s="116">
        <f>Seilareal/Depl^0.667/K$7</f>
        <v>1.1874007020646</v>
      </c>
      <c r="CR79" s="51">
        <f>Seilareal/Lwl/Lwl/SApRS1</f>
        <v>0.92686117287140823</v>
      </c>
      <c r="CS79" s="204"/>
      <c r="CT79" s="204">
        <f>(ROUND(TBF/CT$6,3)*CT$6)*CT$4</f>
        <v>112.5</v>
      </c>
      <c r="CU79" s="107">
        <f t="shared" si="36"/>
        <v>1.1234054502035684</v>
      </c>
      <c r="CV79" s="62">
        <f t="shared" si="13"/>
        <v>3.1807638450866782</v>
      </c>
      <c r="CW79" s="62">
        <f t="shared" si="14"/>
        <v>1.7509395973831339</v>
      </c>
      <c r="CX79" s="62">
        <f t="shared" si="15"/>
        <v>1.8334522799337654</v>
      </c>
      <c r="CY79" s="107">
        <f t="shared" si="16"/>
        <v>0.99664221838488598</v>
      </c>
      <c r="CZ79" s="168" t="str">
        <f t="shared" si="693"/>
        <v>-</v>
      </c>
      <c r="DA79" s="158"/>
      <c r="DB79" s="168" t="str">
        <f t="shared" si="694"/>
        <v>-</v>
      </c>
      <c r="DC79" s="160"/>
      <c r="DD79" s="190" t="s">
        <v>134</v>
      </c>
      <c r="DE79" s="62">
        <v>0.88</v>
      </c>
      <c r="DF79" s="62">
        <v>0.87</v>
      </c>
      <c r="DG79" s="62">
        <v>0.89</v>
      </c>
      <c r="DH79" s="150">
        <v>0.91</v>
      </c>
      <c r="DI79" s="62">
        <f t="shared" si="695"/>
        <v>2.0538457640993224</v>
      </c>
      <c r="DJ79" s="47">
        <f t="shared" si="696"/>
        <v>13.043478260869565</v>
      </c>
      <c r="DK79" s="48">
        <f t="shared" si="697"/>
        <v>0</v>
      </c>
      <c r="DM79" s="107">
        <f t="shared" si="643"/>
        <v>1.1149355149226428</v>
      </c>
      <c r="DN79" s="141" t="str">
        <f t="shared" ref="DN79:DN100" si="713">IF($DY79=0,"-",(DM79-$DW79)*100)</f>
        <v>-</v>
      </c>
      <c r="DO79" s="107">
        <f t="shared" si="698"/>
        <v>4.9829379265738716</v>
      </c>
      <c r="DP79" s="133">
        <f>IF(SeilBeregnet=0,DP78,(SeilBeregnet^0.5/(Depl^0.3333))^DP$3*DP$7)</f>
        <v>3.2058912932965944</v>
      </c>
      <c r="DQ79" s="133">
        <f>IF(SeilBeregnet=0,DQ78,(SeilBeregnet^0.5/Lwl)^DQ$3*DQ$7)</f>
        <v>0</v>
      </c>
      <c r="DR79" s="133">
        <f>IF(SeilBeregnet=0,DR78,(0.1*Loa/Depl^0.3333)^DR$3*DR$7)</f>
        <v>0</v>
      </c>
      <c r="DS79" s="133">
        <f>IF(SeilBeregnet=0,DS78,((Loa)/Bredde)^DS$3*DS$7)</f>
        <v>1.7770466332772772</v>
      </c>
      <c r="DT79" s="107">
        <f>IF(SeilBeregnet=0,DT78,(Lwl)^DT$3)</f>
        <v>1.8334522799337654</v>
      </c>
      <c r="DU79" s="133">
        <f>IF(SeilBeregnet=0,DU78,(Dypg/Loa)^DU$3*5*DU$7)</f>
        <v>2.0916500663351889</v>
      </c>
      <c r="DW79" s="107">
        <f t="shared" si="247"/>
        <v>1.1702140106287171</v>
      </c>
      <c r="DX79" s="107">
        <f t="shared" si="699"/>
        <v>1.0859672316686606</v>
      </c>
      <c r="DZ79" s="107">
        <f t="shared" si="700"/>
        <v>1.0955455694082934</v>
      </c>
      <c r="EA79" s="122" t="str">
        <f t="shared" ref="EA79:EA100" si="714">IF($DY79=0,"-",DZ79-$DW79)</f>
        <v>-</v>
      </c>
      <c r="EB79" s="107">
        <f t="shared" si="701"/>
        <v>1.1459492666239066</v>
      </c>
      <c r="EC79" s="122" t="str">
        <f t="shared" ref="EC79:EC100" si="715">IF($DY79=0,"-",EB79-$DW79)</f>
        <v>-</v>
      </c>
      <c r="ED79" s="107">
        <f>IF(SeilBeregnet=0,ED78,SeilBeregnet^0.5/Depl^0.33333)</f>
        <v>3.2056308524391954</v>
      </c>
      <c r="EE79" s="107">
        <f>IF(SeilBeregnet=0,EE78,Lwl^0.3333)</f>
        <v>2.2438356573015867</v>
      </c>
      <c r="EF79" s="107">
        <f>IF(SeilBeregnet=0,EF78,((Loa+Lwl)/Bredde)^EF$3)</f>
        <v>1.5735954135403782</v>
      </c>
      <c r="EH79" s="107">
        <f t="shared" si="702"/>
        <v>1.1416419039683281</v>
      </c>
      <c r="EJ79" s="107">
        <f>IF(SeilBeregnet=0,EJ78,SeilBeregnet^0.5/Depl^0.33333)</f>
        <v>3.2056308524391954</v>
      </c>
      <c r="EK79" s="107">
        <f>IF(SeilBeregnet=0,EK78,Lwl^EK$3)</f>
        <v>2.2439988890031217</v>
      </c>
      <c r="EL79" s="107">
        <f>IF(SeilBeregnet=0,EL78,((Loa+Lwl)/Bredde)^EL$3)</f>
        <v>1.830197069920783</v>
      </c>
      <c r="EM79" s="107">
        <f t="shared" si="703"/>
        <v>1.1329588554383494</v>
      </c>
      <c r="EO79" s="107">
        <f>IF(SeilBeregnet=0,EO78,(EP79*EQ79)^EO$3)</f>
        <v>5.0443660069018508</v>
      </c>
      <c r="EP79" s="107">
        <f>IF(SeilBeregnet=0,EP78,SeilBeregnet^0.5/Depl^0.33333)</f>
        <v>3.2056308524391954</v>
      </c>
      <c r="EQ79" s="107">
        <f>IF(SeilBeregnet=0,EQ78,((Loa+Lwl)/Bredde)^EQ$3)</f>
        <v>1.5735954135403782</v>
      </c>
      <c r="ER79" s="107">
        <f>IF(SeilBeregnet=0,ER78,Lwl^ER$3)</f>
        <v>1.8334522799337654</v>
      </c>
      <c r="ES79" s="107">
        <f t="shared" si="654"/>
        <v>1.1297999854678173</v>
      </c>
      <c r="EU79" s="107">
        <f t="shared" si="710"/>
        <v>1.7952890785063675</v>
      </c>
      <c r="EV79" s="107">
        <f>IF(SeilBeregnet=0,EV78,SeilBeregnet^0.5/Depl^0.33333)</f>
        <v>3.2056308524391954</v>
      </c>
      <c r="EW79" s="107">
        <f>IF(SeilBeregnet=0,EW78,((Loa+Lwl)/Bredde/6)^EW$3)</f>
        <v>1.0054379383551861</v>
      </c>
      <c r="EX79" s="107">
        <f>IF(SeilBeregnet=0,EX78,(Lwl*0.7+Loa*0.3)^EX$3)</f>
        <v>1.8419118031918562</v>
      </c>
      <c r="EY79" s="107">
        <f t="shared" si="658"/>
        <v>1.0943545738786249</v>
      </c>
      <c r="FA79" s="107">
        <f t="shared" si="611"/>
        <v>1.7953620059817934</v>
      </c>
      <c r="FB79" s="107">
        <f>IF(SeilBeregnet=0,FB78,SeilBeregnet^0.5/Depl^0.3333)</f>
        <v>3.2058912932965944</v>
      </c>
      <c r="FC79" s="107">
        <f>IF(SeilBeregnet=0,FC78,((Loa+Lwl)/Bredde/6)^FC$3)</f>
        <v>1.0054379383551861</v>
      </c>
      <c r="FD79" s="107">
        <f>IF(SeilBeregnet=0,FD78,(Lwl*0.7+Loa*0.3)^FD$3)</f>
        <v>1.8419118031918562</v>
      </c>
      <c r="FE79" s="107">
        <f t="shared" si="662"/>
        <v>1.1219230696259905</v>
      </c>
      <c r="FF79" s="141" t="str">
        <f t="shared" ref="FF79:FF100" si="716">IF($DY79=0,"-",(FE79-$DW79)*100)</f>
        <v>-</v>
      </c>
      <c r="FG79" s="107">
        <f t="shared" si="613"/>
        <v>3.2408529737171765</v>
      </c>
      <c r="FH79" s="133">
        <f>IF(SeilBeregnet=0,FH78,(SeilBeregnet^0.5/(Depl^0.3333))^FH$3)</f>
        <v>3.2058912932965944</v>
      </c>
      <c r="FI79" s="133">
        <f>IF(SeilBeregnet=0,FI78,((Loa+Lwl)/Bredde/6)^FI$3)</f>
        <v>1.0109054478839272</v>
      </c>
      <c r="FJ79" s="107">
        <f>IF(SeilBeregnet=0,FJ78,(Lwl*0.07+Loa*0.03)^FJ$3)</f>
        <v>1.0357831242906539</v>
      </c>
      <c r="FK79" s="107">
        <f t="shared" si="666"/>
        <v>1.1128423017306965</v>
      </c>
      <c r="FL79" s="141" t="str">
        <f t="shared" ref="FL79:FL100" si="717">IF($DY79=0,"-",(FK79-$DW79)*100)</f>
        <v>-</v>
      </c>
      <c r="FM79" s="107">
        <f t="shared" si="615"/>
        <v>5.1825568779385573</v>
      </c>
      <c r="FN79" s="133">
        <f>IF(SeilBeregnet=0,FN78,(SeilBeregnet^0.5/(Depl^0.3333))^FN$3)</f>
        <v>3.2058912932965944</v>
      </c>
      <c r="FO79" s="133">
        <f>IF(SeilBeregnet=0,FO78,(SeilBeregnet^0.5/Lwl*FO$7)^FO$3)</f>
        <v>0.69961895136468566</v>
      </c>
      <c r="FP79" s="133">
        <f>IF(SeilBeregnet=0,FP78,((Loa)/Bredde)^FP$3*FP$7)</f>
        <v>1.7770466332772772</v>
      </c>
      <c r="FQ79" s="107">
        <f>IF(SeilBeregnet=0,FQ78,(Lwl)^FQ$3)</f>
        <v>1.8334522799337654</v>
      </c>
      <c r="FR79" s="107">
        <f t="shared" si="671"/>
        <v>1.1198523812851378</v>
      </c>
      <c r="FS79" s="141" t="str">
        <f t="shared" ref="FS79:FS100" si="718">IF($DY79=0,"-",(FR79-$DW79)*100)</f>
        <v>-</v>
      </c>
      <c r="FT79" s="107">
        <f t="shared" si="617"/>
        <v>5.6970183294056493</v>
      </c>
      <c r="FU79" s="133">
        <f>IF(SeilBeregnet=0,FU78,(SeilBeregnet^0.5/(Depl^0.3333))^FU$3)</f>
        <v>3.2058912932965944</v>
      </c>
      <c r="FV79" s="133">
        <f>IF(SeilBeregnet=0,FV78,(Loa/Bredde)^FV$3)</f>
        <v>1.7770466332772772</v>
      </c>
      <c r="FW79" s="107">
        <f>IF(SeilBeregnet=0,FW78,Lwl^FW$3)</f>
        <v>1.8334522799337654</v>
      </c>
      <c r="FY79">
        <v>0.95</v>
      </c>
      <c r="FZ79" s="62">
        <f t="shared" si="711"/>
        <v>1.1524736150408466</v>
      </c>
      <c r="GA79" s="62">
        <f t="shared" si="712"/>
        <v>2.0916500663351889</v>
      </c>
      <c r="GB79" s="107">
        <f t="shared" si="50"/>
        <v>1.2124906258370407</v>
      </c>
      <c r="GC79" s="440"/>
      <c r="GD79" s="17"/>
      <c r="GE79" s="442"/>
      <c r="GF79" s="462"/>
      <c r="GG79" s="17"/>
      <c r="GH79" s="17"/>
      <c r="GI79" s="17"/>
      <c r="GJ79" s="17"/>
      <c r="GL79" s="17"/>
      <c r="GM79" s="442"/>
      <c r="GN79" s="8"/>
      <c r="GO79" s="8"/>
      <c r="GP79" s="8"/>
      <c r="GQ79" s="8"/>
      <c r="GS79" s="17"/>
      <c r="GT79" s="17"/>
      <c r="GU79" s="17"/>
      <c r="GV79" s="629"/>
      <c r="GW79" s="17"/>
      <c r="GX79" s="17"/>
      <c r="GY79" s="17"/>
      <c r="GZ79" s="17"/>
    </row>
    <row r="80" spans="1:208" ht="15.6" x14ac:dyDescent="0.3">
      <c r="A80" s="60" t="s">
        <v>30</v>
      </c>
      <c r="B80" s="218"/>
      <c r="C80" s="14" t="str">
        <f>C78</f>
        <v>Gaffel</v>
      </c>
      <c r="G80" s="54"/>
      <c r="H80" s="204">
        <f>TBFavrundet</f>
        <v>109.00000000000001</v>
      </c>
      <c r="I80" s="63">
        <f>COUNTA(O80:AG80)</f>
        <v>3</v>
      </c>
      <c r="J80" s="222">
        <f>SUM(O80:AG80)</f>
        <v>72</v>
      </c>
      <c r="K80" s="116">
        <f>Seilareal/Depl^0.667/K$7</f>
        <v>1.0960621865211693</v>
      </c>
      <c r="L80" s="116">
        <f>Seilareal/Lwl/Lwl/L$7</f>
        <v>0.85556415957360765</v>
      </c>
      <c r="M80" s="92">
        <f>RiggF</f>
        <v>0.78472222222222221</v>
      </c>
      <c r="N80" s="242">
        <f>StHfaktor</f>
        <v>0.99664221838488598</v>
      </c>
      <c r="O80" s="143"/>
      <c r="P80" s="143"/>
      <c r="Q80" s="143"/>
      <c r="R80" s="143"/>
      <c r="S80" s="165">
        <v>17</v>
      </c>
      <c r="T80" s="143"/>
      <c r="U80" s="165">
        <v>15</v>
      </c>
      <c r="V80" s="559"/>
      <c r="W80" s="559"/>
      <c r="X80" s="165">
        <v>40</v>
      </c>
      <c r="Y80" s="143"/>
      <c r="Z80" s="143"/>
      <c r="AA80" s="143"/>
      <c r="AB80" s="143"/>
      <c r="AC80" s="143"/>
      <c r="AD80" s="143"/>
      <c r="AE80" s="143"/>
      <c r="AF80" s="143"/>
      <c r="AG80" s="551"/>
      <c r="AH80" s="557"/>
      <c r="AI80" s="557">
        <f t="shared" ref="AI80" si="719">AI79</f>
        <v>11</v>
      </c>
      <c r="AJ80" s="337">
        <f t="shared" ref="AJ80:AL80" si="720" xml:space="preserve"> AJ79</f>
        <v>0</v>
      </c>
      <c r="AK80" s="339"/>
      <c r="AL80" s="337">
        <f t="shared" si="720"/>
        <v>0</v>
      </c>
      <c r="AM80" s="339"/>
      <c r="AN80" s="267" t="str">
        <f t="shared" ref="AN80" si="721" xml:space="preserve"> AN79</f>
        <v>Kutter</v>
      </c>
      <c r="AO80" s="45">
        <f>VLOOKUP(AN80,Skrogform!$1:$1048576,3,FALSE)</f>
        <v>0.96</v>
      </c>
      <c r="AP80" s="64">
        <f t="shared" ref="AP80:AZ80" si="722">AP79</f>
        <v>12</v>
      </c>
      <c r="AQ80" s="64">
        <f t="shared" si="722"/>
        <v>11.3</v>
      </c>
      <c r="AR80" s="64">
        <f t="shared" si="722"/>
        <v>3.8</v>
      </c>
      <c r="AS80" s="64">
        <f t="shared" si="722"/>
        <v>2.1</v>
      </c>
      <c r="AT80" s="64">
        <f t="shared" ref="AT80" si="723">AT79</f>
        <v>14</v>
      </c>
      <c r="AU80" s="64">
        <f t="shared" si="722"/>
        <v>15</v>
      </c>
      <c r="AV80" s="64">
        <f t="shared" si="722"/>
        <v>4</v>
      </c>
      <c r="AW80" s="64">
        <f t="shared" si="722"/>
        <v>0.2</v>
      </c>
      <c r="AX80" s="256">
        <f>AX79</f>
        <v>0</v>
      </c>
      <c r="AY80" s="256">
        <f t="shared" si="722"/>
        <v>30</v>
      </c>
      <c r="AZ80" s="256">
        <f t="shared" si="722"/>
        <v>450</v>
      </c>
      <c r="BA80" s="256">
        <f t="shared" ref="BA80:BB80" si="724">BA79</f>
        <v>0</v>
      </c>
      <c r="BB80" s="256">
        <f t="shared" si="724"/>
        <v>0</v>
      </c>
      <c r="BC80" s="256"/>
      <c r="BD80" s="66"/>
      <c r="BE80" s="66"/>
      <c r="BF80" s="261"/>
      <c r="BG80" s="66"/>
      <c r="BH80" s="175"/>
      <c r="BI80" s="66"/>
      <c r="BJ80" s="66"/>
      <c r="BK80" s="65" t="str">
        <f t="shared" si="705"/>
        <v>Fast</v>
      </c>
      <c r="BL80" s="267">
        <f t="shared" si="705"/>
        <v>2</v>
      </c>
      <c r="BM80" s="267">
        <f t="shared" si="705"/>
        <v>60</v>
      </c>
      <c r="BN80" s="45">
        <f t="shared" si="410"/>
        <v>0.98417646747353715</v>
      </c>
      <c r="BO80" s="59"/>
      <c r="BP80" s="59"/>
      <c r="BR80" s="49">
        <f t="shared" si="706"/>
        <v>0</v>
      </c>
      <c r="BS80" s="49">
        <f t="shared" si="706"/>
        <v>0</v>
      </c>
      <c r="BT80" s="49">
        <f t="shared" si="706"/>
        <v>0</v>
      </c>
      <c r="BU80" s="49">
        <f t="shared" si="706"/>
        <v>0</v>
      </c>
      <c r="BV80" s="49">
        <f t="shared" si="706"/>
        <v>17</v>
      </c>
      <c r="BW80" s="49">
        <f t="shared" si="706"/>
        <v>0</v>
      </c>
      <c r="BX80" s="49">
        <f t="shared" si="706"/>
        <v>15</v>
      </c>
      <c r="BY80" s="549">
        <f>IF(COUNT(Q80:U80)&gt;1,MINA(Q80:U80)*BY$9,0)</f>
        <v>-7.5</v>
      </c>
      <c r="BZ80" s="85">
        <f t="shared" si="707"/>
        <v>0</v>
      </c>
      <c r="CA80" s="85">
        <f t="shared" si="707"/>
        <v>0</v>
      </c>
      <c r="CB80" s="85">
        <f t="shared" si="707"/>
        <v>32</v>
      </c>
      <c r="CC80" s="85">
        <f t="shared" si="707"/>
        <v>0</v>
      </c>
      <c r="CD80" s="85">
        <f t="shared" si="707"/>
        <v>0</v>
      </c>
      <c r="CE80" s="85">
        <f>IF(AC80=0,0,AC80*CE$9)</f>
        <v>0</v>
      </c>
      <c r="CF80" s="85">
        <f t="shared" si="708"/>
        <v>0</v>
      </c>
      <c r="CG80" s="85">
        <f t="shared" si="708"/>
        <v>0</v>
      </c>
      <c r="CH80" s="85">
        <f t="shared" si="709"/>
        <v>0</v>
      </c>
      <c r="CI80" s="85">
        <f t="shared" si="709"/>
        <v>0</v>
      </c>
      <c r="CJ80" s="85">
        <f t="shared" si="709"/>
        <v>0</v>
      </c>
      <c r="CK80" s="85">
        <f t="shared" si="709"/>
        <v>0</v>
      </c>
      <c r="CL80" s="100">
        <f>SUM(BR80:CK80)</f>
        <v>56.5</v>
      </c>
      <c r="CM80" s="50"/>
      <c r="CN80" s="104">
        <f>J80</f>
        <v>72</v>
      </c>
      <c r="CO80" s="101">
        <f>CL80/CN80</f>
        <v>0.78472222222222221</v>
      </c>
      <c r="CP80" s="51">
        <f>Seilareal/Lwl/Lwl</f>
        <v>0.56386561202913299</v>
      </c>
      <c r="CQ80" s="116">
        <f>Seilareal/Depl^0.667/K$7</f>
        <v>1.0960621865211693</v>
      </c>
      <c r="CR80" s="51">
        <f>Seilareal/Lwl/Lwl/SApRS1</f>
        <v>0.85556415957360765</v>
      </c>
      <c r="CS80" s="204"/>
      <c r="CT80" s="204">
        <f>(ROUND(TBF/CT$6,3)*CT$6)*CT$4</f>
        <v>109.00000000000001</v>
      </c>
      <c r="CU80" s="107">
        <f t="shared" si="36"/>
        <v>1.0877495092462066</v>
      </c>
      <c r="CV80" s="62">
        <f t="shared" si="13"/>
        <v>3.0242357396443773</v>
      </c>
      <c r="CW80" s="62">
        <f t="shared" si="14"/>
        <v>1.7509395973831339</v>
      </c>
      <c r="CX80" s="62">
        <f t="shared" si="15"/>
        <v>1.8334522799337654</v>
      </c>
      <c r="CY80" s="107">
        <f t="shared" si="16"/>
        <v>0.99664221838488598</v>
      </c>
      <c r="CZ80" s="168" t="str">
        <f t="shared" si="693"/>
        <v>-</v>
      </c>
      <c r="DA80" s="158"/>
      <c r="DB80" s="168" t="str">
        <f t="shared" si="694"/>
        <v>-</v>
      </c>
      <c r="DC80" s="160"/>
      <c r="DD80" s="190" t="s">
        <v>134</v>
      </c>
      <c r="DE80" s="62">
        <v>0.84</v>
      </c>
      <c r="DF80" s="62">
        <v>0.85</v>
      </c>
      <c r="DG80" s="62">
        <v>0.86</v>
      </c>
      <c r="DH80" s="150">
        <v>0.88</v>
      </c>
      <c r="DI80" s="62">
        <f t="shared" si="695"/>
        <v>2.0538457640993224</v>
      </c>
      <c r="DJ80" s="47">
        <f t="shared" si="696"/>
        <v>13.043478260869565</v>
      </c>
      <c r="DK80" s="48">
        <f t="shared" si="697"/>
        <v>0</v>
      </c>
      <c r="DM80" s="107">
        <f t="shared" si="643"/>
        <v>1.0796355749377748</v>
      </c>
      <c r="DN80" s="141" t="str">
        <f t="shared" si="713"/>
        <v>-</v>
      </c>
      <c r="DO80" s="107">
        <f t="shared" si="698"/>
        <v>4.8251732779443195</v>
      </c>
      <c r="DP80" s="133">
        <f t="shared" ref="DP80:DP113" si="725">IF(SeilBeregnet=0,DP79,(SeilBeregnet^0.5/(Depl^0.3333))^DP$3*DP$7)</f>
        <v>3.0481266446670419</v>
      </c>
      <c r="DQ80" s="133">
        <f t="shared" ref="DQ80:DQ113" si="726">IF(SeilBeregnet=0,DQ79,(SeilBeregnet^0.5/Lwl)^DQ$3*DQ$7)</f>
        <v>0</v>
      </c>
      <c r="DR80" s="133">
        <f t="shared" ref="DR80:DR113" si="727">IF(SeilBeregnet=0,DR79,(0.1*Loa/Depl^0.3333)^DR$3*DR$7)</f>
        <v>0</v>
      </c>
      <c r="DS80" s="133">
        <f t="shared" ref="DS80:DS113" si="728">IF(SeilBeregnet=0,DS79,((Loa)/Bredde)^DS$3*DS$7)</f>
        <v>1.7770466332772772</v>
      </c>
      <c r="DT80" s="107">
        <f t="shared" ref="DT80:DT113" si="729">IF(SeilBeregnet=0,DT79,(Lwl)^DT$3)</f>
        <v>1.8334522799337654</v>
      </c>
      <c r="DU80" s="133">
        <f t="shared" ref="DU80:DU113" si="730">IF(SeilBeregnet=0,DU79,(Dypg/Loa)^DU$3*5*DU$7)</f>
        <v>2.0916500663351889</v>
      </c>
      <c r="DW80" s="107">
        <f t="shared" si="247"/>
        <v>1.1330724054647987</v>
      </c>
      <c r="DX80" s="107">
        <f t="shared" si="699"/>
        <v>1.0445462333117097</v>
      </c>
      <c r="DZ80" s="107">
        <f t="shared" si="700"/>
        <v>1.0619831710157273</v>
      </c>
      <c r="EA80" s="122" t="str">
        <f t="shared" si="714"/>
        <v>-</v>
      </c>
      <c r="EB80" s="107">
        <f t="shared" si="701"/>
        <v>1.1033295615439671</v>
      </c>
      <c r="EC80" s="122" t="str">
        <f t="shared" si="715"/>
        <v>-</v>
      </c>
      <c r="ED80" s="107">
        <f t="shared" ref="ED80:ED97" si="731">IF(SeilBeregnet=0,ED79,SeilBeregnet^0.5/Depl^0.33333)</f>
        <v>3.0478790203266728</v>
      </c>
      <c r="EE80" s="107">
        <f t="shared" ref="EE80:EE97" si="732">IF(SeilBeregnet=0,EE79,Lwl^0.3333)</f>
        <v>2.2438356573015867</v>
      </c>
      <c r="EF80" s="107">
        <f t="shared" ref="EF80:EF113" si="733">IF(SeilBeregnet=0,EF79,((Loa+Lwl)/Bredde)^EF$3)</f>
        <v>1.5735954135403782</v>
      </c>
      <c r="EH80" s="107">
        <f t="shared" si="702"/>
        <v>1.103242326108081</v>
      </c>
      <c r="EJ80" s="107">
        <f t="shared" ref="EJ80:EJ97" si="734">IF(SeilBeregnet=0,EJ79,SeilBeregnet^0.5/Depl^0.33333)</f>
        <v>3.0478790203266728</v>
      </c>
      <c r="EK80" s="107">
        <f t="shared" ref="EK80:EK113" si="735">IF(SeilBeregnet=0,EK79,Lwl^EK$3)</f>
        <v>2.2439988890031217</v>
      </c>
      <c r="EL80" s="107">
        <f t="shared" ref="EL80:EL113" si="736">IF(SeilBeregnet=0,EL79,((Loa+Lwl)/Bredde)^EL$3)</f>
        <v>1.830197069920783</v>
      </c>
      <c r="EM80" s="107">
        <f t="shared" si="703"/>
        <v>1.0930343340547521</v>
      </c>
      <c r="EO80" s="107">
        <f t="shared" ref="EO80:EO113" si="737">IF(SeilBeregnet=0,EO79,(EP80*EQ80)^EO$3)</f>
        <v>4.7961284474119932</v>
      </c>
      <c r="EP80" s="107">
        <f t="shared" ref="EP80:EP97" si="738">IF(SeilBeregnet=0,EP79,SeilBeregnet^0.5/Depl^0.33333)</f>
        <v>3.0478790203266728</v>
      </c>
      <c r="EQ80" s="107">
        <f t="shared" ref="EQ80:EQ113" si="739">IF(SeilBeregnet=0,EQ79,((Loa+Lwl)/Bredde)^EQ$3)</f>
        <v>1.5735954135403782</v>
      </c>
      <c r="ER80" s="107">
        <f t="shared" ref="ER80:ER113" si="740">IF(SeilBeregnet=0,ER79,Lwl^ER$3)</f>
        <v>1.8334522799337654</v>
      </c>
      <c r="ES80" s="107">
        <f t="shared" si="654"/>
        <v>1.090783823679111</v>
      </c>
      <c r="EU80" s="107">
        <f t="shared" si="710"/>
        <v>1.7505579677786378</v>
      </c>
      <c r="EV80" s="107">
        <f t="shared" ref="EV80:EV97" si="741">IF(SeilBeregnet=0,EV79,SeilBeregnet^0.5/Depl^0.33333)</f>
        <v>3.0478790203266728</v>
      </c>
      <c r="EW80" s="107">
        <f t="shared" ref="EW80:EW113" si="742">IF(SeilBeregnet=0,EW79,((Loa+Lwl)/Bredde/6)^EW$3)</f>
        <v>1.0054379383551861</v>
      </c>
      <c r="EX80" s="107">
        <f t="shared" ref="EX80:EX113" si="743">IF(SeilBeregnet=0,EX79,(Lwl*0.7+Loa*0.3)^EX$3)</f>
        <v>1.8419118031918562</v>
      </c>
      <c r="EY80" s="107">
        <f t="shared" si="658"/>
        <v>1.0670878254726865</v>
      </c>
      <c r="FA80" s="107">
        <f t="shared" si="611"/>
        <v>1.7506290782057579</v>
      </c>
      <c r="FB80" s="107">
        <f t="shared" ref="FB80:FB97" si="744">IF(SeilBeregnet=0,FB79,SeilBeregnet^0.5/Depl^0.3333)</f>
        <v>3.0481266446670419</v>
      </c>
      <c r="FC80" s="107">
        <f t="shared" ref="FC80:FC113" si="745">IF(SeilBeregnet=0,FC79,((Loa+Lwl)/Bredde/6)^FC$3)</f>
        <v>1.0054379383551861</v>
      </c>
      <c r="FD80" s="107">
        <f t="shared" ref="FD80:FD113" si="746">IF(SeilBeregnet=0,FD79,(Lwl*0.7+Loa*0.3)^FD$3)</f>
        <v>1.8419118031918562</v>
      </c>
      <c r="FE80" s="107">
        <f t="shared" si="662"/>
        <v>1.0877816690088968</v>
      </c>
      <c r="FF80" s="141" t="str">
        <f t="shared" si="716"/>
        <v>-</v>
      </c>
      <c r="FG80" s="107">
        <f t="shared" si="613"/>
        <v>3.0813678309340684</v>
      </c>
      <c r="FH80" s="133">
        <f t="shared" ref="FH80:FH113" si="747">IF(SeilBeregnet=0,FH79,(SeilBeregnet^0.5/(Depl^0.3333))^FH$3)</f>
        <v>3.0481266446670419</v>
      </c>
      <c r="FI80" s="133">
        <f t="shared" ref="FI80:FI113" si="748">IF(SeilBeregnet=0,FI79,((Loa+Lwl)/Bredde/6)^FI$3)</f>
        <v>1.0109054478839272</v>
      </c>
      <c r="FJ80" s="107">
        <f t="shared" ref="FJ80:FJ113" si="749">IF(SeilBeregnet=0,FJ79,(Lwl*0.07+Loa*0.03)^FJ$3)</f>
        <v>1.0357831242906539</v>
      </c>
      <c r="FK80" s="107">
        <f t="shared" si="666"/>
        <v>1.0715728943474507</v>
      </c>
      <c r="FL80" s="141" t="str">
        <f t="shared" si="717"/>
        <v>-</v>
      </c>
      <c r="FM80" s="107">
        <f t="shared" si="615"/>
        <v>4.9903633831820589</v>
      </c>
      <c r="FN80" s="133">
        <f t="shared" ref="FN80:FN113" si="750">IF(SeilBeregnet=0,FN79,(SeilBeregnet^0.5/(Depl^0.3333))^FN$3)</f>
        <v>3.0481266446670419</v>
      </c>
      <c r="FO80" s="133">
        <f t="shared" ref="FO80:FO113" si="751">IF(SeilBeregnet=0,FO79,(SeilBeregnet^0.5/Lwl*FO$7)^FO$3)</f>
        <v>0.66519010523773925</v>
      </c>
      <c r="FP80" s="133">
        <f t="shared" ref="FP80:FP113" si="752">IF(SeilBeregnet=0,FP79,((Loa)/Bredde)^FP$3*FP$7)</f>
        <v>1.7770466332772772</v>
      </c>
      <c r="FQ80" s="107">
        <f t="shared" ref="FQ80:FQ113" si="753">IF(SeilBeregnet=0,FQ79,(Lwl)^FQ$3)</f>
        <v>1.8334522799337654</v>
      </c>
      <c r="FR80" s="107">
        <f t="shared" si="671"/>
        <v>1.087475793153525</v>
      </c>
      <c r="FS80" s="141" t="str">
        <f t="shared" si="718"/>
        <v>-</v>
      </c>
      <c r="FT80" s="107">
        <f t="shared" si="617"/>
        <v>5.4166631917083299</v>
      </c>
      <c r="FU80" s="133">
        <f t="shared" ref="FU80:FU113" si="754">IF(SeilBeregnet=0,FU79,(SeilBeregnet^0.5/(Depl^0.3333))^FU$3)</f>
        <v>3.0481266446670419</v>
      </c>
      <c r="FV80" s="133">
        <f t="shared" ref="FV80:FV113" si="755">IF(SeilBeregnet=0,FV79,(Loa/Bredde)^FV$3)</f>
        <v>1.7770466332772772</v>
      </c>
      <c r="FW80" s="107">
        <f t="shared" ref="FW80:FW113" si="756">IF(SeilBeregnet=0,FW79,Lwl^FW$3)</f>
        <v>1.8334522799337654</v>
      </c>
      <c r="FY80">
        <v>0.95</v>
      </c>
      <c r="FZ80" s="62">
        <f t="shared" si="711"/>
        <v>1.1267745043584771</v>
      </c>
      <c r="GA80" s="62">
        <f t="shared" si="712"/>
        <v>2.0916500663351889</v>
      </c>
      <c r="GB80" s="107">
        <f t="shared" si="50"/>
        <v>1.1922659141439647</v>
      </c>
      <c r="GC80" s="440"/>
      <c r="GD80" s="17"/>
      <c r="GE80" s="442"/>
      <c r="GF80" s="462"/>
      <c r="GG80" s="17"/>
      <c r="GH80" s="17"/>
      <c r="GI80" s="17"/>
      <c r="GJ80" s="17"/>
      <c r="GL80" s="17"/>
      <c r="GM80" s="442"/>
      <c r="GN80" s="8"/>
      <c r="GO80" s="8"/>
      <c r="GP80" s="8"/>
      <c r="GQ80" s="8"/>
      <c r="GS80" s="17"/>
      <c r="GT80" s="17"/>
      <c r="GU80" s="17"/>
      <c r="GV80" s="629"/>
      <c r="GW80" s="17"/>
      <c r="GX80" s="17"/>
      <c r="GY80" s="17"/>
      <c r="GZ80" s="17"/>
    </row>
    <row r="81" spans="1:208" ht="15.6" x14ac:dyDescent="0.3">
      <c r="A81" s="52" t="s">
        <v>62</v>
      </c>
      <c r="B81" s="218">
        <f t="shared" ref="B81" si="757">Loa/0.3048</f>
        <v>49.04855643044619</v>
      </c>
      <c r="C81" s="53" t="s">
        <v>19</v>
      </c>
      <c r="D81" s="53"/>
      <c r="E81" s="53"/>
      <c r="F81" s="53"/>
      <c r="G81" s="54"/>
      <c r="H81" s="112">
        <f>J82</f>
        <v>140.80000000000001</v>
      </c>
      <c r="I81" s="601">
        <f>H82/100</f>
        <v>1.2450000000000001</v>
      </c>
      <c r="J81" s="651">
        <f>IF(DC82=0,"-",DC82)</f>
        <v>1.27</v>
      </c>
      <c r="K81" s="123" t="str">
        <f>A81</f>
        <v>Jomfruen</v>
      </c>
      <c r="L81" s="116"/>
      <c r="M81" s="116"/>
      <c r="N81" s="92"/>
      <c r="O81" s="165"/>
      <c r="P81" s="165"/>
      <c r="Q81" s="165">
        <v>59.4</v>
      </c>
      <c r="R81" s="165">
        <v>35</v>
      </c>
      <c r="S81" s="165"/>
      <c r="T81" s="165"/>
      <c r="U81" s="165">
        <v>27</v>
      </c>
      <c r="V81" s="559"/>
      <c r="W81" s="559"/>
      <c r="X81" s="165">
        <v>47.5</v>
      </c>
      <c r="Y81" s="165"/>
      <c r="Z81" s="165"/>
      <c r="AA81" s="165">
        <v>20.399999999999999</v>
      </c>
      <c r="AB81" s="165"/>
      <c r="AC81" s="165">
        <v>10.9</v>
      </c>
      <c r="AD81" s="165"/>
      <c r="AE81" s="165"/>
      <c r="AF81" s="165"/>
      <c r="AG81" s="552"/>
      <c r="AH81" s="244"/>
      <c r="AI81" s="244">
        <v>12.05</v>
      </c>
      <c r="AJ81" s="554"/>
      <c r="AK81" s="339"/>
      <c r="AL81" s="268"/>
      <c r="AM81" s="339"/>
      <c r="AN81" s="268" t="s">
        <v>211</v>
      </c>
      <c r="AO81" s="45">
        <f>VLOOKUP(AN81,Skrogform!$1:$1048576,3,FALSE)</f>
        <v>0.98</v>
      </c>
      <c r="AP81" s="55">
        <v>14.95</v>
      </c>
      <c r="AQ81" s="55">
        <v>12.65</v>
      </c>
      <c r="AR81" s="55">
        <v>4.3</v>
      </c>
      <c r="AS81" s="55">
        <v>2.5</v>
      </c>
      <c r="AT81" s="637">
        <v>29</v>
      </c>
      <c r="AU81" s="171">
        <v>27</v>
      </c>
      <c r="AV81" s="55">
        <v>8</v>
      </c>
      <c r="AW81" s="55">
        <v>0.5</v>
      </c>
      <c r="AX81" s="253">
        <v>500</v>
      </c>
      <c r="AY81" s="253">
        <v>120</v>
      </c>
      <c r="AZ81" s="253">
        <v>900</v>
      </c>
      <c r="BA81" s="253"/>
      <c r="BB81" s="253"/>
      <c r="BC81" s="244">
        <f>Depl+Diesel/1000*0.84+Vann/1000</f>
        <v>27</v>
      </c>
      <c r="BD81" s="95">
        <f>Bredde/(Loa+Lwl)*2</f>
        <v>0.31159420289855072</v>
      </c>
      <c r="BE81" s="95">
        <f>(Kjøl+Ballast)/Depl</f>
        <v>0.31481481481481483</v>
      </c>
      <c r="BF81" s="260">
        <f>BF$7*((Depl-Kjøl-Ballast-VektMotor/1000-VektAnnet/1000)/Lwl/Lwl/Bredde)</f>
        <v>0.93783454859084403</v>
      </c>
      <c r="BG81" s="95">
        <f>BG$7*(Depl/Loa/Lwl/Lwl)</f>
        <v>0.83053082449578186</v>
      </c>
      <c r="BH81" s="174">
        <f>BH$7*(Depl/Loa/Lwl/Bredde)</f>
        <v>0.90312972647434342</v>
      </c>
      <c r="BI81" s="95">
        <f>BI$7*Bredde/(Loa+Lwl)*2</f>
        <v>0.8888810970858656</v>
      </c>
      <c r="BJ81" s="95">
        <f>BJ$7*(Dypg/Lwl)</f>
        <v>1.0809417425674515</v>
      </c>
      <c r="BK81" s="56" t="s">
        <v>21</v>
      </c>
      <c r="BL81" s="268">
        <v>3</v>
      </c>
      <c r="BM81" s="268">
        <v>60</v>
      </c>
      <c r="BN81" s="45">
        <f t="shared" si="410"/>
        <v>1</v>
      </c>
      <c r="BO81" s="59"/>
      <c r="BP81" s="59"/>
      <c r="BR81" s="209"/>
      <c r="BS81" s="209"/>
      <c r="BT81" s="209" t="str">
        <f>$A81</f>
        <v>Jomfruen</v>
      </c>
      <c r="BU81" s="10"/>
      <c r="BV81" s="10"/>
      <c r="BW81" s="10"/>
      <c r="BX81" s="10"/>
      <c r="BY81" s="549"/>
      <c r="BZ81" s="10"/>
      <c r="CA81" s="10"/>
      <c r="CB81" s="209" t="str">
        <f>$A81</f>
        <v>Jomfruen</v>
      </c>
      <c r="CC81" s="10"/>
      <c r="CD81" s="10"/>
      <c r="CE81" s="10"/>
      <c r="CF81" s="10"/>
      <c r="CG81" s="10"/>
      <c r="CH81" s="10"/>
      <c r="CI81" s="10"/>
      <c r="CJ81" s="10"/>
      <c r="CK81" s="10"/>
      <c r="CL81" s="209"/>
      <c r="CM81" s="10"/>
      <c r="CN81" s="209" t="str">
        <f>$A81</f>
        <v>Jomfruen</v>
      </c>
      <c r="CO81" s="207"/>
      <c r="CP81" s="207"/>
      <c r="CQ81" s="116"/>
      <c r="CR81" s="207"/>
      <c r="CS81" s="203"/>
      <c r="CT81" s="203" t="s">
        <v>23</v>
      </c>
      <c r="CU81" s="107" t="str">
        <f t="shared" si="36"/>
        <v>-</v>
      </c>
      <c r="CV81" s="62" t="str">
        <f t="shared" si="13"/>
        <v>-</v>
      </c>
      <c r="CW81" s="62" t="str">
        <f t="shared" si="14"/>
        <v>-</v>
      </c>
      <c r="CX81" s="62" t="str">
        <f t="shared" si="15"/>
        <v>-</v>
      </c>
      <c r="CY81" s="107" t="str">
        <f t="shared" si="16"/>
        <v>-</v>
      </c>
      <c r="CZ81" s="168">
        <f t="shared" si="693"/>
        <v>1.2345882352941175</v>
      </c>
      <c r="DA81" s="158">
        <v>0.99</v>
      </c>
      <c r="DB81" s="168" t="str">
        <f t="shared" si="694"/>
        <v>-</v>
      </c>
      <c r="DC81" s="160">
        <v>1.27</v>
      </c>
      <c r="DD81" s="190" t="s">
        <v>134</v>
      </c>
      <c r="DE81" s="29" t="s">
        <v>23</v>
      </c>
      <c r="DF81" s="29" t="s">
        <v>23</v>
      </c>
      <c r="DG81" s="29" t="s">
        <v>23</v>
      </c>
      <c r="DH81" s="149">
        <v>2022</v>
      </c>
      <c r="DI81" s="62" t="str">
        <f t="shared" si="695"/>
        <v>-</v>
      </c>
      <c r="DJ81" s="47">
        <f t="shared" si="696"/>
        <v>13.92757660167131</v>
      </c>
      <c r="DK81" s="48">
        <f t="shared" si="697"/>
        <v>0</v>
      </c>
      <c r="DM81" s="107" t="str">
        <f t="shared" si="643"/>
        <v>-</v>
      </c>
      <c r="DN81" s="141" t="str">
        <f t="shared" si="713"/>
        <v>-</v>
      </c>
      <c r="DO81" s="107">
        <f t="shared" si="698"/>
        <v>4.8251732779443195</v>
      </c>
      <c r="DP81" s="133">
        <f>IF(SeilBeregnet=0,DP80,(SeilBeregnet^0.5/(Depl^0.3333))^DP$3*DP$7)</f>
        <v>3.0481266446670419</v>
      </c>
      <c r="DQ81" s="133">
        <f>IF(SeilBeregnet=0,DQ80,(SeilBeregnet^0.5/Lwl)^DQ$3*DQ$7)</f>
        <v>0</v>
      </c>
      <c r="DR81" s="133">
        <f>IF(SeilBeregnet=0,DR80,(0.1*Loa/Depl^0.3333)^DR$3*DR$7)</f>
        <v>0</v>
      </c>
      <c r="DS81" s="133">
        <f>IF(SeilBeregnet=0,DS80,((Loa)/Bredde)^DS$3*DS$7)</f>
        <v>1.7770466332772772</v>
      </c>
      <c r="DT81" s="107">
        <f>IF(SeilBeregnet=0,DT80,(Lwl)^DT$3)</f>
        <v>1.8334522799337654</v>
      </c>
      <c r="DU81" s="133">
        <f>IF(SeilBeregnet=0,DU80,(Dypg/Loa)^DU$3*5*DU$7)</f>
        <v>2.0916500663351889</v>
      </c>
      <c r="DW81" s="107" t="str">
        <f t="shared" si="247"/>
        <v>-</v>
      </c>
      <c r="DX81" s="107" t="str">
        <f t="shared" si="699"/>
        <v>-</v>
      </c>
      <c r="DZ81" s="107" t="str">
        <f t="shared" si="700"/>
        <v>-</v>
      </c>
      <c r="EA81" s="122" t="str">
        <f t="shared" si="714"/>
        <v>-</v>
      </c>
      <c r="EB81" s="107" t="str">
        <f t="shared" si="701"/>
        <v>-</v>
      </c>
      <c r="EC81" s="122" t="str">
        <f t="shared" si="715"/>
        <v>-</v>
      </c>
      <c r="ED81" s="107">
        <f>IF(SeilBeregnet=0,ED80,SeilBeregnet^0.5/Depl^0.33333)</f>
        <v>3.0478790203266728</v>
      </c>
      <c r="EE81" s="107">
        <f>IF(SeilBeregnet=0,EE80,Lwl^0.3333)</f>
        <v>2.2438356573015867</v>
      </c>
      <c r="EF81" s="107">
        <f>IF(SeilBeregnet=0,EF80,((Loa+Lwl)/Bredde)^EF$3)</f>
        <v>1.5735954135403782</v>
      </c>
      <c r="EH81" s="107" t="str">
        <f t="shared" si="702"/>
        <v>-</v>
      </c>
      <c r="EJ81" s="107">
        <f>IF(SeilBeregnet=0,EJ80,SeilBeregnet^0.5/Depl^0.33333)</f>
        <v>3.0478790203266728</v>
      </c>
      <c r="EK81" s="107">
        <f>IF(SeilBeregnet=0,EK80,Lwl^EK$3)</f>
        <v>2.2439988890031217</v>
      </c>
      <c r="EL81" s="107">
        <f>IF(SeilBeregnet=0,EL80,((Loa+Lwl)/Bredde)^EL$3)</f>
        <v>1.830197069920783</v>
      </c>
      <c r="EM81" s="107" t="str">
        <f t="shared" si="703"/>
        <v>-</v>
      </c>
      <c r="EO81" s="107">
        <f>IF(SeilBeregnet=0,EO80,(EP81*EQ81)^EO$3)</f>
        <v>4.7961284474119932</v>
      </c>
      <c r="EP81" s="107">
        <f>IF(SeilBeregnet=0,EP80,SeilBeregnet^0.5/Depl^0.33333)</f>
        <v>3.0478790203266728</v>
      </c>
      <c r="EQ81" s="107">
        <f>IF(SeilBeregnet=0,EQ80,((Loa+Lwl)/Bredde)^EQ$3)</f>
        <v>1.5735954135403782</v>
      </c>
      <c r="ER81" s="107">
        <f>IF(SeilBeregnet=0,ER80,Lwl^ER$3)</f>
        <v>1.8334522799337654</v>
      </c>
      <c r="ES81" s="107" t="str">
        <f t="shared" si="654"/>
        <v>-</v>
      </c>
      <c r="EU81" s="107">
        <f t="shared" si="710"/>
        <v>1.7505579677786378</v>
      </c>
      <c r="EV81" s="107">
        <f>IF(SeilBeregnet=0,EV80,SeilBeregnet^0.5/Depl^0.33333)</f>
        <v>3.0478790203266728</v>
      </c>
      <c r="EW81" s="107">
        <f>IF(SeilBeregnet=0,EW80,((Loa+Lwl)/Bredde/6)^EW$3)</f>
        <v>1.0054379383551861</v>
      </c>
      <c r="EX81" s="107">
        <f>IF(SeilBeregnet=0,EX80,(Lwl*0.7+Loa*0.3)^EX$3)</f>
        <v>1.8419118031918562</v>
      </c>
      <c r="EY81" s="107" t="str">
        <f t="shared" si="658"/>
        <v>-</v>
      </c>
      <c r="FA81" s="107">
        <f t="shared" si="611"/>
        <v>1.7506290782057579</v>
      </c>
      <c r="FB81" s="107">
        <f>IF(SeilBeregnet=0,FB80,SeilBeregnet^0.5/Depl^0.3333)</f>
        <v>3.0481266446670419</v>
      </c>
      <c r="FC81" s="107">
        <f>IF(SeilBeregnet=0,FC80,((Loa+Lwl)/Bredde/6)^FC$3)</f>
        <v>1.0054379383551861</v>
      </c>
      <c r="FD81" s="107">
        <f>IF(SeilBeregnet=0,FD80,(Lwl*0.7+Loa*0.3)^FD$3)</f>
        <v>1.8419118031918562</v>
      </c>
      <c r="FE81" s="107" t="str">
        <f t="shared" si="662"/>
        <v>-</v>
      </c>
      <c r="FF81" s="141" t="str">
        <f t="shared" si="716"/>
        <v>-</v>
      </c>
      <c r="FG81" s="107">
        <f t="shared" si="613"/>
        <v>3.0813678309340684</v>
      </c>
      <c r="FH81" s="133">
        <f>IF(SeilBeregnet=0,FH80,(SeilBeregnet^0.5/(Depl^0.3333))^FH$3)</f>
        <v>3.0481266446670419</v>
      </c>
      <c r="FI81" s="133">
        <f>IF(SeilBeregnet=0,FI80,((Loa+Lwl)/Bredde/6)^FI$3)</f>
        <v>1.0109054478839272</v>
      </c>
      <c r="FJ81" s="107">
        <f>IF(SeilBeregnet=0,FJ80,(Lwl*0.07+Loa*0.03)^FJ$3)</f>
        <v>1.0357831242906539</v>
      </c>
      <c r="FK81" s="107" t="str">
        <f t="shared" si="666"/>
        <v>-</v>
      </c>
      <c r="FL81" s="141" t="str">
        <f t="shared" si="717"/>
        <v>-</v>
      </c>
      <c r="FM81" s="107">
        <f t="shared" si="615"/>
        <v>4.9903633831820589</v>
      </c>
      <c r="FN81" s="133">
        <f>IF(SeilBeregnet=0,FN80,(SeilBeregnet^0.5/(Depl^0.3333))^FN$3)</f>
        <v>3.0481266446670419</v>
      </c>
      <c r="FO81" s="133">
        <f>IF(SeilBeregnet=0,FO80,(SeilBeregnet^0.5/Lwl*FO$7)^FO$3)</f>
        <v>0.66519010523773925</v>
      </c>
      <c r="FP81" s="133">
        <f>IF(SeilBeregnet=0,FP80,((Loa)/Bredde)^FP$3*FP$7)</f>
        <v>1.7770466332772772</v>
      </c>
      <c r="FQ81" s="107">
        <f>IF(SeilBeregnet=0,FQ80,(Lwl)^FQ$3)</f>
        <v>1.8334522799337654</v>
      </c>
      <c r="FR81" s="107" t="str">
        <f t="shared" si="671"/>
        <v>-</v>
      </c>
      <c r="FS81" s="141" t="str">
        <f t="shared" si="718"/>
        <v>-</v>
      </c>
      <c r="FT81" s="107">
        <f t="shared" si="617"/>
        <v>5.4166631917083299</v>
      </c>
      <c r="FU81" s="133">
        <f>IF(SeilBeregnet=0,FU80,(SeilBeregnet^0.5/(Depl^0.3333))^FU$3)</f>
        <v>3.0481266446670419</v>
      </c>
      <c r="FV81" s="133">
        <f>IF(SeilBeregnet=0,FV80,(Loa/Bredde)^FV$3)</f>
        <v>1.7770466332772772</v>
      </c>
      <c r="FW81" s="107">
        <f>IF(SeilBeregnet=0,FW80,Lwl^FW$3)</f>
        <v>1.8334522799337654</v>
      </c>
      <c r="FY81">
        <v>0.95</v>
      </c>
      <c r="FZ81" s="62" t="str">
        <f t="shared" si="711"/>
        <v>-</v>
      </c>
      <c r="GA81" s="62">
        <f t="shared" si="712"/>
        <v>2.0446520502738266</v>
      </c>
      <c r="GB81" s="107" t="str">
        <f t="shared" si="50"/>
        <v>-</v>
      </c>
      <c r="GC81" s="441" t="s">
        <v>450</v>
      </c>
      <c r="GD81" s="57" t="s">
        <v>63</v>
      </c>
      <c r="GE81" s="436" t="s">
        <v>518</v>
      </c>
      <c r="GF81" s="464" t="s">
        <v>519</v>
      </c>
      <c r="GG81" s="57" t="s">
        <v>520</v>
      </c>
      <c r="GH81" s="57" t="s">
        <v>521</v>
      </c>
      <c r="GI81" s="57" t="s">
        <v>416</v>
      </c>
      <c r="GJ81" s="57" t="s">
        <v>474</v>
      </c>
      <c r="GL81" s="57" t="s">
        <v>478</v>
      </c>
      <c r="GM81" s="436" t="s">
        <v>478</v>
      </c>
      <c r="GN81" s="58" t="s">
        <v>478</v>
      </c>
      <c r="GO81" s="58" t="s">
        <v>478</v>
      </c>
      <c r="GP81" s="58" t="s">
        <v>478</v>
      </c>
      <c r="GQ81" s="58" t="s">
        <v>478</v>
      </c>
      <c r="GS81" s="57" t="s">
        <v>594</v>
      </c>
      <c r="GT81" s="57" t="s">
        <v>504</v>
      </c>
      <c r="GU81" s="57" t="s">
        <v>592</v>
      </c>
      <c r="GV81" s="632" t="s">
        <v>523</v>
      </c>
      <c r="GW81" s="57">
        <v>1978</v>
      </c>
      <c r="GX81" s="57" t="s">
        <v>524</v>
      </c>
      <c r="GY81" s="57" t="s">
        <v>931</v>
      </c>
      <c r="GZ81" s="57" t="s">
        <v>478</v>
      </c>
    </row>
    <row r="82" spans="1:208" ht="15.6" x14ac:dyDescent="0.3">
      <c r="A82" s="60" t="s">
        <v>65</v>
      </c>
      <c r="B82" s="218"/>
      <c r="C82" s="61" t="str">
        <f>C86</f>
        <v>Gaffel</v>
      </c>
      <c r="D82" s="61"/>
      <c r="E82" s="61"/>
      <c r="F82" s="61"/>
      <c r="G82" s="54"/>
      <c r="H82" s="204">
        <f>TBFavrundet</f>
        <v>124.50000000000001</v>
      </c>
      <c r="I82" s="63">
        <f>COUNTA(O82:AG82)</f>
        <v>5</v>
      </c>
      <c r="J82" s="222">
        <f>SUM(O82:AG82)</f>
        <v>140.80000000000001</v>
      </c>
      <c r="K82" s="116">
        <f>Seilareal/Depl^0.667/K$7</f>
        <v>1.4482335112844629</v>
      </c>
      <c r="L82" s="116">
        <f>Seilareal/Lwl/Lwl/L$7</f>
        <v>1.3350532169141422</v>
      </c>
      <c r="M82" s="92">
        <f>RiggF</f>
        <v>0.71875</v>
      </c>
      <c r="N82" s="242">
        <f>StHfaktor</f>
        <v>0.99394434046182945</v>
      </c>
      <c r="O82" s="143"/>
      <c r="P82" s="143"/>
      <c r="Q82" s="143"/>
      <c r="R82" s="165">
        <v>35</v>
      </c>
      <c r="S82" s="143"/>
      <c r="T82" s="143"/>
      <c r="U82" s="165">
        <v>27</v>
      </c>
      <c r="V82" s="559"/>
      <c r="W82" s="559"/>
      <c r="X82" s="165">
        <v>47.5</v>
      </c>
      <c r="Y82" s="143"/>
      <c r="Z82" s="143"/>
      <c r="AA82" s="165">
        <v>20.399999999999999</v>
      </c>
      <c r="AB82" s="143"/>
      <c r="AC82" s="165">
        <v>10.9</v>
      </c>
      <c r="AD82" s="143"/>
      <c r="AE82" s="143"/>
      <c r="AF82" s="143"/>
      <c r="AG82" s="551"/>
      <c r="AH82" s="557"/>
      <c r="AI82" s="557">
        <f t="shared" ref="AI82" si="758">AI81</f>
        <v>12.05</v>
      </c>
      <c r="AJ82" s="337">
        <f t="shared" ref="AJ82:AL86" si="759" xml:space="preserve"> AJ81</f>
        <v>0</v>
      </c>
      <c r="AK82" s="339"/>
      <c r="AL82" s="337">
        <f t="shared" si="759"/>
        <v>0</v>
      </c>
      <c r="AM82" s="339"/>
      <c r="AN82" s="267" t="str">
        <f t="shared" ref="AN82" si="760" xml:space="preserve"> AN81</f>
        <v>Lystb</v>
      </c>
      <c r="AO82" s="45">
        <f>VLOOKUP(AN82,Skrogform!$1:$1048576,3,FALSE)</f>
        <v>0.98</v>
      </c>
      <c r="AP82" s="64">
        <f t="shared" ref="AP82:AZ82" si="761">AP81</f>
        <v>14.95</v>
      </c>
      <c r="AQ82" s="64">
        <f t="shared" si="761"/>
        <v>12.65</v>
      </c>
      <c r="AR82" s="64">
        <f t="shared" si="761"/>
        <v>4.3</v>
      </c>
      <c r="AS82" s="64">
        <f t="shared" si="761"/>
        <v>2.5</v>
      </c>
      <c r="AT82" s="64">
        <f t="shared" ref="AT82" si="762">AT81</f>
        <v>29</v>
      </c>
      <c r="AU82" s="64">
        <f t="shared" si="761"/>
        <v>27</v>
      </c>
      <c r="AV82" s="64">
        <f t="shared" si="761"/>
        <v>8</v>
      </c>
      <c r="AW82" s="64">
        <f t="shared" si="761"/>
        <v>0.5</v>
      </c>
      <c r="AX82" s="256">
        <f>AX81</f>
        <v>500</v>
      </c>
      <c r="AY82" s="256">
        <f t="shared" si="761"/>
        <v>120</v>
      </c>
      <c r="AZ82" s="256">
        <f t="shared" si="761"/>
        <v>900</v>
      </c>
      <c r="BA82" s="256">
        <f t="shared" ref="BA82:BB82" si="763">BA81</f>
        <v>0</v>
      </c>
      <c r="BB82" s="256">
        <f t="shared" si="763"/>
        <v>0</v>
      </c>
      <c r="BC82" s="256"/>
      <c r="BD82" s="66"/>
      <c r="BE82" s="66"/>
      <c r="BF82" s="261"/>
      <c r="BG82" s="66"/>
      <c r="BH82" s="175"/>
      <c r="BI82" s="66"/>
      <c r="BJ82" s="66"/>
      <c r="BK82" s="65" t="str">
        <f t="shared" ref="BK82:BM82" si="764" xml:space="preserve"> BK81</f>
        <v>Seilrett</v>
      </c>
      <c r="BL82" s="267">
        <f t="shared" si="764"/>
        <v>3</v>
      </c>
      <c r="BM82" s="267">
        <f t="shared" si="764"/>
        <v>60</v>
      </c>
      <c r="BN82" s="45">
        <f t="shared" si="410"/>
        <v>1</v>
      </c>
      <c r="BO82" s="59"/>
      <c r="BP82" s="59"/>
      <c r="BR82" s="49">
        <f t="shared" ref="BR82:BX86" si="765">IF(O82=0,0,O82*BR$9)</f>
        <v>0</v>
      </c>
      <c r="BS82" s="49">
        <f t="shared" si="765"/>
        <v>0</v>
      </c>
      <c r="BT82" s="49">
        <f t="shared" si="765"/>
        <v>0</v>
      </c>
      <c r="BU82" s="49">
        <f t="shared" si="765"/>
        <v>35</v>
      </c>
      <c r="BV82" s="49">
        <f t="shared" si="765"/>
        <v>0</v>
      </c>
      <c r="BW82" s="49">
        <f t="shared" si="765"/>
        <v>0</v>
      </c>
      <c r="BX82" s="49">
        <f t="shared" si="765"/>
        <v>27</v>
      </c>
      <c r="BY82" s="549">
        <f>IF(COUNT(Q82:U82)&gt;1,MINA(Q82:U82)*BY$9,0)</f>
        <v>-13.5</v>
      </c>
      <c r="BZ82" s="85">
        <f t="shared" ref="BZ82:CD86" si="766">IF(V82=0,0,V82*BZ$9)</f>
        <v>0</v>
      </c>
      <c r="CA82" s="85">
        <f t="shared" si="766"/>
        <v>0</v>
      </c>
      <c r="CB82" s="85">
        <f t="shared" si="766"/>
        <v>38</v>
      </c>
      <c r="CC82" s="85">
        <f t="shared" si="766"/>
        <v>0</v>
      </c>
      <c r="CD82" s="85">
        <f t="shared" si="766"/>
        <v>0</v>
      </c>
      <c r="CE82" s="85">
        <f>IF(AC82=0,0,AC82*CE$9)</f>
        <v>6.54</v>
      </c>
      <c r="CF82" s="85">
        <f t="shared" ref="CF82:CG86" si="767">IF(AA82=0,0,AA82*CF$9)</f>
        <v>8.16</v>
      </c>
      <c r="CG82" s="85">
        <f t="shared" si="767"/>
        <v>0</v>
      </c>
      <c r="CH82" s="85">
        <f t="shared" ref="CH82:CK86" si="768">IF(AD82=0,0,AD82*CH$9)</f>
        <v>0</v>
      </c>
      <c r="CI82" s="85">
        <f t="shared" si="768"/>
        <v>0</v>
      </c>
      <c r="CJ82" s="85">
        <f t="shared" si="768"/>
        <v>0</v>
      </c>
      <c r="CK82" s="85">
        <f t="shared" si="768"/>
        <v>0</v>
      </c>
      <c r="CL82" s="100">
        <f>SUM(BR82:CK82)</f>
        <v>101.2</v>
      </c>
      <c r="CM82" s="50"/>
      <c r="CN82" s="104">
        <f>J82</f>
        <v>140.80000000000001</v>
      </c>
      <c r="CO82" s="101">
        <f>CL82/CN82</f>
        <v>0.71875</v>
      </c>
      <c r="CP82" s="51">
        <f>Seilareal/Lwl/Lwl</f>
        <v>0.87987626739989699</v>
      </c>
      <c r="CQ82" s="116">
        <f>Seilareal/Depl^0.667/K$7</f>
        <v>1.4482335112844629</v>
      </c>
      <c r="CR82" s="51">
        <f>Seilareal/Lwl/Lwl/SApRS1</f>
        <v>1.3350532169141422</v>
      </c>
      <c r="CS82" s="204"/>
      <c r="CT82" s="204">
        <f>(ROUND(TBF/CT$6,3)*CT$6)*CT$4</f>
        <v>124.50000000000001</v>
      </c>
      <c r="CU82" s="107">
        <f t="shared" si="36"/>
        <v>1.2434393044169318</v>
      </c>
      <c r="CV82" s="62">
        <f t="shared" si="13"/>
        <v>3.3247782647406998</v>
      </c>
      <c r="CW82" s="62">
        <f t="shared" si="14"/>
        <v>1.7914525741926286</v>
      </c>
      <c r="CX82" s="62">
        <f t="shared" si="15"/>
        <v>1.8859172433475835</v>
      </c>
      <c r="CY82" s="107">
        <f t="shared" si="16"/>
        <v>0.99394434046182945</v>
      </c>
      <c r="CZ82" s="168">
        <f t="shared" si="693"/>
        <v>1.2345882352941175</v>
      </c>
      <c r="DA82" s="159">
        <v>0.99</v>
      </c>
      <c r="DB82" s="168">
        <f t="shared" si="694"/>
        <v>1.1808771929824562</v>
      </c>
      <c r="DC82" s="159">
        <v>1.27</v>
      </c>
      <c r="DD82" s="190" t="s">
        <v>134</v>
      </c>
      <c r="DE82" s="62">
        <v>0.98</v>
      </c>
      <c r="DF82" s="62">
        <v>0.93</v>
      </c>
      <c r="DG82" s="62">
        <v>0.98</v>
      </c>
      <c r="DH82" s="150">
        <v>1.02</v>
      </c>
      <c r="DI82" s="62">
        <f t="shared" si="695"/>
        <v>2.1194274884384119</v>
      </c>
      <c r="DJ82" s="47">
        <f t="shared" si="696"/>
        <v>13.92757660167131</v>
      </c>
      <c r="DK82" s="48">
        <f t="shared" si="697"/>
        <v>0</v>
      </c>
      <c r="DM82" s="107">
        <f t="shared" si="643"/>
        <v>1.2203061145413894</v>
      </c>
      <c r="DN82" s="141">
        <f t="shared" si="713"/>
        <v>-4.8509502210581923</v>
      </c>
      <c r="DO82" s="107">
        <f t="shared" si="698"/>
        <v>5.2182450623375232</v>
      </c>
      <c r="DP82" s="133">
        <f t="shared" si="725"/>
        <v>3.3536421056610863</v>
      </c>
      <c r="DQ82" s="133">
        <f t="shared" si="726"/>
        <v>0</v>
      </c>
      <c r="DR82" s="133">
        <f t="shared" si="727"/>
        <v>0</v>
      </c>
      <c r="DS82" s="133">
        <f t="shared" si="728"/>
        <v>1.8646029566764373</v>
      </c>
      <c r="DT82" s="107">
        <f t="shared" si="729"/>
        <v>1.8859172433475835</v>
      </c>
      <c r="DU82" s="133">
        <f t="shared" si="730"/>
        <v>2.0446520502738266</v>
      </c>
      <c r="DW82" s="72">
        <f t="shared" ref="DW82:DW212" si="769">IF(SeilBeregnet=0,"-",Skaleringsfaktor*(1*(LBf+SaDeplf)*Lf*PropF+Strikkf2)+ErfaringsF+Dyp_F)</f>
        <v>1.2688156167519713</v>
      </c>
      <c r="DX82" s="107">
        <f t="shared" si="699"/>
        <v>1.2334855066240447</v>
      </c>
      <c r="DY82" s="122">
        <f>DX82-DW82</f>
        <v>-3.5330110127926639E-2</v>
      </c>
      <c r="DZ82" s="107">
        <f t="shared" si="700"/>
        <v>1.2153643390940607</v>
      </c>
      <c r="EA82" s="122">
        <f t="shared" si="714"/>
        <v>-5.3451277657910579E-2</v>
      </c>
      <c r="EB82" s="107">
        <f t="shared" si="701"/>
        <v>1.2466928075790558</v>
      </c>
      <c r="EC82" s="122">
        <f t="shared" si="715"/>
        <v>-2.2122809172915536E-2</v>
      </c>
      <c r="ED82" s="107">
        <f t="shared" si="731"/>
        <v>3.3533105303350115</v>
      </c>
      <c r="EE82" s="107">
        <f t="shared" si="732"/>
        <v>2.3298436208665341</v>
      </c>
      <c r="EF82" s="107">
        <f t="shared" si="733"/>
        <v>1.5916961163398649</v>
      </c>
      <c r="EH82" s="107">
        <f t="shared" si="702"/>
        <v>1.2357388263541071</v>
      </c>
      <c r="EJ82" s="107">
        <f t="shared" si="734"/>
        <v>3.3533105303350115</v>
      </c>
      <c r="EK82" s="107">
        <f t="shared" si="735"/>
        <v>2.3300209979525235</v>
      </c>
      <c r="EL82" s="107">
        <f t="shared" si="736"/>
        <v>1.8583176886572534</v>
      </c>
      <c r="EM82" s="107">
        <f t="shared" si="703"/>
        <v>1.2333817110026433</v>
      </c>
      <c r="EO82" s="107">
        <f t="shared" si="737"/>
        <v>5.3374513480158106</v>
      </c>
      <c r="EP82" s="107">
        <f t="shared" si="738"/>
        <v>3.3533105303350115</v>
      </c>
      <c r="EQ82" s="107">
        <f t="shared" si="739"/>
        <v>1.5916961163398649</v>
      </c>
      <c r="ER82" s="107">
        <f t="shared" si="740"/>
        <v>1.8859172433475835</v>
      </c>
      <c r="ES82" s="107">
        <f t="shared" si="654"/>
        <v>1.2383836657626601</v>
      </c>
      <c r="EU82" s="107">
        <f t="shared" si="710"/>
        <v>1.8467072678323095</v>
      </c>
      <c r="EV82" s="107">
        <f t="shared" si="741"/>
        <v>3.3533105303350115</v>
      </c>
      <c r="EW82" s="107">
        <f t="shared" si="742"/>
        <v>1.0170032575909294</v>
      </c>
      <c r="EX82" s="107">
        <f t="shared" si="743"/>
        <v>1.9111244003334622</v>
      </c>
      <c r="EY82" s="107">
        <f t="shared" si="658"/>
        <v>1.186786796606023</v>
      </c>
      <c r="FA82" s="107">
        <f t="shared" si="611"/>
        <v>1.8467985667775</v>
      </c>
      <c r="FB82" s="107">
        <f t="shared" si="744"/>
        <v>3.3536421056610863</v>
      </c>
      <c r="FC82" s="107">
        <f t="shared" si="745"/>
        <v>1.0170032575909294</v>
      </c>
      <c r="FD82" s="107">
        <f t="shared" si="746"/>
        <v>1.9111244003334622</v>
      </c>
      <c r="FE82" s="107">
        <f t="shared" si="662"/>
        <v>1.2342097291888079</v>
      </c>
      <c r="FF82" s="141">
        <f t="shared" si="716"/>
        <v>-3.4605887563163407</v>
      </c>
      <c r="FG82" s="107">
        <f t="shared" si="613"/>
        <v>3.4686573608888951</v>
      </c>
      <c r="FH82" s="133">
        <f t="shared" si="747"/>
        <v>3.3536421056610863</v>
      </c>
      <c r="FI82" s="133">
        <f t="shared" si="748"/>
        <v>1.0342956259505622</v>
      </c>
      <c r="FJ82" s="107">
        <f t="shared" si="749"/>
        <v>1.0747042278871302</v>
      </c>
      <c r="FK82" s="107">
        <f t="shared" si="666"/>
        <v>1.2373598316633636</v>
      </c>
      <c r="FL82" s="141">
        <f t="shared" si="717"/>
        <v>-3.1455785088607691</v>
      </c>
      <c r="FM82" s="107">
        <f t="shared" si="615"/>
        <v>5.5134878348250673</v>
      </c>
      <c r="FN82" s="133">
        <f t="shared" si="750"/>
        <v>3.3536421056610863</v>
      </c>
      <c r="FO82" s="133">
        <f t="shared" si="751"/>
        <v>0.79524277248754416</v>
      </c>
      <c r="FP82" s="133">
        <f t="shared" si="752"/>
        <v>1.8646029566764373</v>
      </c>
      <c r="FQ82" s="107">
        <f t="shared" si="753"/>
        <v>1.8859172433475835</v>
      </c>
      <c r="FR82" s="107">
        <f t="shared" si="671"/>
        <v>1.2375492734653357</v>
      </c>
      <c r="FS82" s="141">
        <f t="shared" si="718"/>
        <v>-3.1266343286635578</v>
      </c>
      <c r="FT82" s="107">
        <f t="shared" si="617"/>
        <v>6.253210985850254</v>
      </c>
      <c r="FU82" s="133">
        <f t="shared" si="754"/>
        <v>3.3536421056610863</v>
      </c>
      <c r="FV82" s="133">
        <f t="shared" si="755"/>
        <v>1.8646029566764373</v>
      </c>
      <c r="FW82" s="107">
        <f t="shared" si="756"/>
        <v>1.8859172433475835</v>
      </c>
      <c r="FY82">
        <v>0.95</v>
      </c>
      <c r="FZ82" s="62">
        <f t="shared" si="711"/>
        <v>1.2169941352478757</v>
      </c>
      <c r="GA82" s="62">
        <f t="shared" si="712"/>
        <v>2.0446520502738266</v>
      </c>
      <c r="GB82" s="107">
        <f t="shared" si="50"/>
        <v>1.1954658492234709</v>
      </c>
      <c r="GC82" s="440"/>
      <c r="GD82" s="17"/>
      <c r="GE82" s="442"/>
      <c r="GF82" s="462"/>
      <c r="GG82" s="17"/>
      <c r="GH82" s="17"/>
      <c r="GI82" s="17"/>
      <c r="GJ82" s="17"/>
      <c r="GL82" s="17"/>
      <c r="GM82" s="442"/>
      <c r="GN82" s="8"/>
      <c r="GO82" s="8"/>
      <c r="GP82" s="8"/>
      <c r="GQ82" s="8"/>
      <c r="GS82" s="17"/>
      <c r="GT82" s="17"/>
      <c r="GU82" s="17"/>
      <c r="GV82" s="629"/>
      <c r="GW82" s="17"/>
      <c r="GX82" s="17"/>
      <c r="GY82" s="17"/>
      <c r="GZ82" s="17"/>
    </row>
    <row r="83" spans="1:208" ht="15.6" x14ac:dyDescent="0.3">
      <c r="A83" s="60" t="s">
        <v>64</v>
      </c>
      <c r="B83" s="218"/>
      <c r="C83" s="14" t="str">
        <f>C81</f>
        <v>Gaffel</v>
      </c>
      <c r="G83" s="54"/>
      <c r="H83" s="204">
        <f>TBFavrundet</f>
        <v>121</v>
      </c>
      <c r="I83" s="63">
        <f>COUNTA(O83:AG83)</f>
        <v>4</v>
      </c>
      <c r="J83" s="222">
        <f>SUM(O83:AG83)</f>
        <v>120.4</v>
      </c>
      <c r="K83" s="116">
        <f>Seilareal/Depl^0.667/K$7</f>
        <v>1.2384042241381343</v>
      </c>
      <c r="L83" s="116">
        <f>Seilareal/Lwl/Lwl/L$7</f>
        <v>1.1416222110544227</v>
      </c>
      <c r="M83" s="92">
        <f>RiggF</f>
        <v>0.77275747508305648</v>
      </c>
      <c r="N83" s="242">
        <f>StHfaktor</f>
        <v>0.99394434046182945</v>
      </c>
      <c r="O83" s="143"/>
      <c r="P83" s="143"/>
      <c r="Q83" s="143"/>
      <c r="R83" s="165">
        <v>35</v>
      </c>
      <c r="S83" s="143"/>
      <c r="T83" s="143"/>
      <c r="U83" s="165">
        <v>27</v>
      </c>
      <c r="V83" s="559"/>
      <c r="W83" s="559"/>
      <c r="X83" s="165">
        <v>47.5</v>
      </c>
      <c r="Y83" s="143"/>
      <c r="Z83" s="143"/>
      <c r="AA83" s="143"/>
      <c r="AB83" s="143"/>
      <c r="AC83" s="165">
        <v>10.9</v>
      </c>
      <c r="AD83" s="143"/>
      <c r="AE83" s="143"/>
      <c r="AF83" s="143"/>
      <c r="AG83" s="551"/>
      <c r="AH83" s="557"/>
      <c r="AI83" s="557">
        <f t="shared" ref="AI83" si="770">AI82</f>
        <v>12.05</v>
      </c>
      <c r="AJ83" s="337">
        <f t="shared" si="759"/>
        <v>0</v>
      </c>
      <c r="AK83" s="339"/>
      <c r="AL83" s="337">
        <f t="shared" si="759"/>
        <v>0</v>
      </c>
      <c r="AM83" s="339"/>
      <c r="AN83" s="267" t="str">
        <f t="shared" ref="AN83" si="771" xml:space="preserve"> AN82</f>
        <v>Lystb</v>
      </c>
      <c r="AO83" s="45">
        <f>VLOOKUP(AN83,Skrogform!$1:$1048576,3,FALSE)</f>
        <v>0.98</v>
      </c>
      <c r="AP83" s="64">
        <f t="shared" ref="AP83:AZ83" si="772">AP82</f>
        <v>14.95</v>
      </c>
      <c r="AQ83" s="64">
        <f t="shared" si="772"/>
        <v>12.65</v>
      </c>
      <c r="AR83" s="64">
        <f t="shared" si="772"/>
        <v>4.3</v>
      </c>
      <c r="AS83" s="64">
        <f t="shared" si="772"/>
        <v>2.5</v>
      </c>
      <c r="AT83" s="64">
        <f t="shared" ref="AT83" si="773">AT82</f>
        <v>29</v>
      </c>
      <c r="AU83" s="64">
        <f t="shared" si="772"/>
        <v>27</v>
      </c>
      <c r="AV83" s="64">
        <f t="shared" si="772"/>
        <v>8</v>
      </c>
      <c r="AW83" s="64">
        <f t="shared" si="772"/>
        <v>0.5</v>
      </c>
      <c r="AX83" s="256">
        <f>AX82</f>
        <v>500</v>
      </c>
      <c r="AY83" s="256">
        <f t="shared" si="772"/>
        <v>120</v>
      </c>
      <c r="AZ83" s="256">
        <f t="shared" si="772"/>
        <v>900</v>
      </c>
      <c r="BA83" s="256">
        <f t="shared" ref="BA83:BB83" si="774">BA82</f>
        <v>0</v>
      </c>
      <c r="BB83" s="256">
        <f t="shared" si="774"/>
        <v>0</v>
      </c>
      <c r="BC83" s="256"/>
      <c r="BD83" s="66"/>
      <c r="BE83" s="66"/>
      <c r="BF83" s="261"/>
      <c r="BG83" s="66"/>
      <c r="BH83" s="175"/>
      <c r="BI83" s="66"/>
      <c r="BJ83" s="66"/>
      <c r="BK83" s="65" t="str">
        <f t="shared" ref="BK83:BM83" si="775" xml:space="preserve"> BK82</f>
        <v>Seilrett</v>
      </c>
      <c r="BL83" s="267">
        <f t="shared" si="775"/>
        <v>3</v>
      </c>
      <c r="BM83" s="267">
        <f t="shared" si="775"/>
        <v>60</v>
      </c>
      <c r="BN83" s="45">
        <f t="shared" si="410"/>
        <v>1</v>
      </c>
      <c r="BO83" s="59"/>
      <c r="BP83" s="59"/>
      <c r="BR83" s="49">
        <f t="shared" si="765"/>
        <v>0</v>
      </c>
      <c r="BS83" s="49">
        <f t="shared" si="765"/>
        <v>0</v>
      </c>
      <c r="BT83" s="49">
        <f t="shared" si="765"/>
        <v>0</v>
      </c>
      <c r="BU83" s="49">
        <f t="shared" si="765"/>
        <v>35</v>
      </c>
      <c r="BV83" s="49">
        <f t="shared" si="765"/>
        <v>0</v>
      </c>
      <c r="BW83" s="49">
        <f t="shared" si="765"/>
        <v>0</v>
      </c>
      <c r="BX83" s="49">
        <f t="shared" si="765"/>
        <v>27</v>
      </c>
      <c r="BY83" s="549">
        <f>IF(COUNT(Q83:U83)&gt;1,MINA(Q83:U83)*BY$9,0)</f>
        <v>-13.5</v>
      </c>
      <c r="BZ83" s="85">
        <f t="shared" si="766"/>
        <v>0</v>
      </c>
      <c r="CA83" s="85">
        <f t="shared" si="766"/>
        <v>0</v>
      </c>
      <c r="CB83" s="85">
        <f t="shared" si="766"/>
        <v>38</v>
      </c>
      <c r="CC83" s="85">
        <f t="shared" si="766"/>
        <v>0</v>
      </c>
      <c r="CD83" s="85">
        <f t="shared" si="766"/>
        <v>0</v>
      </c>
      <c r="CE83" s="85">
        <f>IF(AC83=0,0,AC83*CE$9)</f>
        <v>6.54</v>
      </c>
      <c r="CF83" s="85">
        <f t="shared" si="767"/>
        <v>0</v>
      </c>
      <c r="CG83" s="85">
        <f t="shared" si="767"/>
        <v>0</v>
      </c>
      <c r="CH83" s="85">
        <f t="shared" si="768"/>
        <v>0</v>
      </c>
      <c r="CI83" s="85">
        <f t="shared" si="768"/>
        <v>0</v>
      </c>
      <c r="CJ83" s="85">
        <f t="shared" si="768"/>
        <v>0</v>
      </c>
      <c r="CK83" s="85">
        <f t="shared" si="768"/>
        <v>0</v>
      </c>
      <c r="CL83" s="100">
        <f>SUM(BR83:CK83)</f>
        <v>93.04</v>
      </c>
      <c r="CM83" s="50"/>
      <c r="CN83" s="104">
        <f>J83</f>
        <v>120.4</v>
      </c>
      <c r="CO83" s="101">
        <f>CL83/CN83</f>
        <v>0.77275747508305648</v>
      </c>
      <c r="CP83" s="51">
        <f>Seilareal/Lwl/Lwl</f>
        <v>0.75239419456638912</v>
      </c>
      <c r="CQ83" s="116">
        <f>Seilareal/Depl^0.667/K$7</f>
        <v>1.2384042241381343</v>
      </c>
      <c r="CR83" s="51">
        <f>Seilareal/Lwl/Lwl/SApRS1</f>
        <v>1.1416222110544227</v>
      </c>
      <c r="CS83" s="204"/>
      <c r="CT83" s="204">
        <f>(ROUND(TBF/CT$6,3)*CT$6)*CT$4</f>
        <v>121</v>
      </c>
      <c r="CU83" s="107">
        <f t="shared" si="36"/>
        <v>1.2101772869640106</v>
      </c>
      <c r="CV83" s="62">
        <f t="shared" si="13"/>
        <v>3.1879190237200268</v>
      </c>
      <c r="CW83" s="62">
        <f t="shared" si="14"/>
        <v>1.7914525741926286</v>
      </c>
      <c r="CX83" s="62">
        <f t="shared" si="15"/>
        <v>1.8859172433475835</v>
      </c>
      <c r="CY83" s="107">
        <f t="shared" si="16"/>
        <v>0.99394434046182945</v>
      </c>
      <c r="CZ83" s="168" t="str">
        <f t="shared" si="693"/>
        <v>-</v>
      </c>
      <c r="DA83" s="158"/>
      <c r="DB83" s="168" t="str">
        <f t="shared" si="694"/>
        <v>-</v>
      </c>
      <c r="DC83" s="160"/>
      <c r="DD83" s="190" t="s">
        <v>134</v>
      </c>
      <c r="DE83" s="62">
        <v>0.96</v>
      </c>
      <c r="DF83" s="62">
        <v>0.92</v>
      </c>
      <c r="DG83" s="62">
        <v>0.95</v>
      </c>
      <c r="DH83" s="150">
        <v>0.99</v>
      </c>
      <c r="DI83" s="62">
        <f t="shared" si="695"/>
        <v>2.1194274884384119</v>
      </c>
      <c r="DJ83" s="47">
        <f t="shared" si="696"/>
        <v>13.92757660167131</v>
      </c>
      <c r="DK83" s="48">
        <f t="shared" si="697"/>
        <v>0</v>
      </c>
      <c r="DM83" s="107">
        <f t="shared" si="643"/>
        <v>1.1880232197587446</v>
      </c>
      <c r="DN83" s="141" t="str">
        <f t="shared" si="713"/>
        <v>-</v>
      </c>
      <c r="DO83" s="107">
        <f t="shared" si="698"/>
        <v>5.0801976869371241</v>
      </c>
      <c r="DP83" s="133">
        <f t="shared" si="725"/>
        <v>3.2155947302606869</v>
      </c>
      <c r="DQ83" s="133">
        <f t="shared" si="726"/>
        <v>0</v>
      </c>
      <c r="DR83" s="133">
        <f t="shared" si="727"/>
        <v>0</v>
      </c>
      <c r="DS83" s="133">
        <f t="shared" si="728"/>
        <v>1.8646029566764373</v>
      </c>
      <c r="DT83" s="107">
        <f t="shared" si="729"/>
        <v>1.8859172433475835</v>
      </c>
      <c r="DU83" s="133">
        <f t="shared" si="730"/>
        <v>2.0446520502738266</v>
      </c>
      <c r="DW83" s="107">
        <f t="shared" si="769"/>
        <v>1.2348747826163373</v>
      </c>
      <c r="DX83" s="107">
        <f t="shared" si="699"/>
        <v>1.1927657141256871</v>
      </c>
      <c r="DZ83" s="107">
        <f t="shared" si="700"/>
        <v>1.1823582385994116</v>
      </c>
      <c r="EA83" s="122" t="str">
        <f t="shared" si="714"/>
        <v>-</v>
      </c>
      <c r="EB83" s="107">
        <f t="shared" si="701"/>
        <v>1.2068957404569063</v>
      </c>
      <c r="EC83" s="122" t="str">
        <f t="shared" si="715"/>
        <v>-</v>
      </c>
      <c r="ED83" s="107">
        <f t="shared" si="731"/>
        <v>3.2152768037087123</v>
      </c>
      <c r="EE83" s="107">
        <f t="shared" si="732"/>
        <v>2.3298436208665341</v>
      </c>
      <c r="EF83" s="107">
        <f t="shared" si="733"/>
        <v>1.5916961163398649</v>
      </c>
      <c r="EH83" s="107">
        <f t="shared" si="702"/>
        <v>1.1997453679613219</v>
      </c>
      <c r="EJ83" s="107">
        <f t="shared" si="734"/>
        <v>3.2152768037087123</v>
      </c>
      <c r="EK83" s="107">
        <f t="shared" si="735"/>
        <v>2.3300209979525235</v>
      </c>
      <c r="EL83" s="107">
        <f t="shared" si="736"/>
        <v>1.8583176886572534</v>
      </c>
      <c r="EM83" s="107">
        <f t="shared" si="703"/>
        <v>1.1964501521325248</v>
      </c>
      <c r="EO83" s="107">
        <f t="shared" si="737"/>
        <v>5.1177436014208109</v>
      </c>
      <c r="EP83" s="107">
        <f t="shared" si="738"/>
        <v>3.2152768037087123</v>
      </c>
      <c r="EQ83" s="107">
        <f t="shared" si="739"/>
        <v>1.5916961163398649</v>
      </c>
      <c r="ER83" s="107">
        <f t="shared" si="740"/>
        <v>1.8859172433475835</v>
      </c>
      <c r="ES83" s="107">
        <f t="shared" si="654"/>
        <v>1.2030652360578562</v>
      </c>
      <c r="EU83" s="107">
        <f t="shared" si="710"/>
        <v>1.8082994728275268</v>
      </c>
      <c r="EV83" s="107">
        <f t="shared" si="741"/>
        <v>3.2152768037087123</v>
      </c>
      <c r="EW83" s="107">
        <f t="shared" si="742"/>
        <v>1.0170032575909294</v>
      </c>
      <c r="EX83" s="107">
        <f t="shared" si="743"/>
        <v>1.9111244003334622</v>
      </c>
      <c r="EY83" s="107">
        <f t="shared" si="658"/>
        <v>1.1621040194315273</v>
      </c>
      <c r="FA83" s="107">
        <f t="shared" si="611"/>
        <v>1.8083888729383799</v>
      </c>
      <c r="FB83" s="107">
        <f t="shared" si="744"/>
        <v>3.2155947302606869</v>
      </c>
      <c r="FC83" s="107">
        <f t="shared" si="745"/>
        <v>1.0170032575909294</v>
      </c>
      <c r="FD83" s="107">
        <f t="shared" si="746"/>
        <v>1.9111244003334622</v>
      </c>
      <c r="FE83" s="107">
        <f t="shared" si="662"/>
        <v>1.201985607100978</v>
      </c>
      <c r="FF83" s="141" t="str">
        <f t="shared" si="716"/>
        <v>-</v>
      </c>
      <c r="FG83" s="107">
        <f t="shared" si="613"/>
        <v>3.3258755643383067</v>
      </c>
      <c r="FH83" s="133">
        <f t="shared" si="747"/>
        <v>3.2155947302606869</v>
      </c>
      <c r="FI83" s="133">
        <f t="shared" si="748"/>
        <v>1.0342956259505622</v>
      </c>
      <c r="FJ83" s="107">
        <f t="shared" si="749"/>
        <v>1.0747042278871302</v>
      </c>
      <c r="FK83" s="107">
        <f t="shared" si="666"/>
        <v>1.1990321617551241</v>
      </c>
      <c r="FL83" s="141" t="str">
        <f t="shared" si="717"/>
        <v>-</v>
      </c>
      <c r="FM83" s="107">
        <f t="shared" si="615"/>
        <v>5.3427055479197323</v>
      </c>
      <c r="FN83" s="133">
        <f t="shared" si="750"/>
        <v>3.2155947302606869</v>
      </c>
      <c r="FO83" s="133">
        <f t="shared" si="751"/>
        <v>0.76250786098260837</v>
      </c>
      <c r="FP83" s="133">
        <f t="shared" si="752"/>
        <v>1.8646029566764373</v>
      </c>
      <c r="FQ83" s="107">
        <f t="shared" si="753"/>
        <v>1.8859172433475835</v>
      </c>
      <c r="FR83" s="107">
        <f t="shared" si="671"/>
        <v>1.2064809993689258</v>
      </c>
      <c r="FS83" s="141" t="str">
        <f t="shared" si="718"/>
        <v>-</v>
      </c>
      <c r="FT83" s="107">
        <f t="shared" si="617"/>
        <v>5.9958074415172478</v>
      </c>
      <c r="FU83" s="133">
        <f t="shared" si="754"/>
        <v>3.2155947302606869</v>
      </c>
      <c r="FV83" s="133">
        <f t="shared" si="755"/>
        <v>1.8646029566764373</v>
      </c>
      <c r="FW83" s="107">
        <f t="shared" si="756"/>
        <v>1.8859172433475835</v>
      </c>
      <c r="FY83">
        <v>0.95</v>
      </c>
      <c r="FZ83" s="62">
        <f t="shared" si="711"/>
        <v>1.1938638458875463</v>
      </c>
      <c r="GA83" s="62">
        <f t="shared" si="712"/>
        <v>2.0446520502738266</v>
      </c>
      <c r="GB83" s="107">
        <f t="shared" si="50"/>
        <v>1.1788323326676498</v>
      </c>
      <c r="GC83" s="440"/>
      <c r="GD83" s="17"/>
      <c r="GE83" s="442"/>
      <c r="GF83" s="462"/>
      <c r="GG83" s="17"/>
      <c r="GH83" s="17"/>
      <c r="GI83" s="17"/>
      <c r="GJ83" s="17"/>
      <c r="GL83" s="17"/>
      <c r="GM83" s="442"/>
      <c r="GN83" s="8"/>
      <c r="GO83" s="8"/>
      <c r="GP83" s="8"/>
      <c r="GQ83" s="8"/>
      <c r="GS83" s="17"/>
      <c r="GT83" s="17"/>
      <c r="GU83" s="17"/>
      <c r="GV83" s="629"/>
      <c r="GW83" s="17"/>
      <c r="GX83" s="17"/>
      <c r="GY83" s="17"/>
      <c r="GZ83" s="17"/>
    </row>
    <row r="84" spans="1:208" ht="15.6" x14ac:dyDescent="0.3">
      <c r="A84" s="60" t="s">
        <v>33</v>
      </c>
      <c r="B84" s="218"/>
      <c r="C84" s="14" t="str">
        <f>C86</f>
        <v>Gaffel</v>
      </c>
      <c r="G84" s="54"/>
      <c r="H84" s="204">
        <f>TBFavrundet</f>
        <v>108.5</v>
      </c>
      <c r="I84" s="63">
        <f>COUNTA(O84:AG84)</f>
        <v>2</v>
      </c>
      <c r="J84" s="222">
        <f>SUM(O84:AG84)</f>
        <v>74.5</v>
      </c>
      <c r="K84" s="116">
        <f>Seilareal/Depl^0.667/K$7</f>
        <v>0.76628832805889546</v>
      </c>
      <c r="L84" s="116">
        <f>Seilareal/Lwl/Lwl/L$7</f>
        <v>0.7064024478700538</v>
      </c>
      <c r="M84" s="92">
        <f>RiggF</f>
        <v>0.87248322147651003</v>
      </c>
      <c r="N84" s="242">
        <f>StHfaktor</f>
        <v>0.99394434046182945</v>
      </c>
      <c r="O84" s="143"/>
      <c r="P84" s="143"/>
      <c r="Q84" s="143"/>
      <c r="R84" s="143"/>
      <c r="S84" s="143"/>
      <c r="T84" s="143"/>
      <c r="U84" s="165">
        <v>27</v>
      </c>
      <c r="V84" s="559"/>
      <c r="W84" s="559"/>
      <c r="X84" s="165">
        <v>47.5</v>
      </c>
      <c r="Y84" s="143"/>
      <c r="Z84" s="143"/>
      <c r="AA84" s="143"/>
      <c r="AB84" s="143"/>
      <c r="AC84" s="144"/>
      <c r="AD84" s="143"/>
      <c r="AE84" s="143"/>
      <c r="AF84" s="143"/>
      <c r="AG84" s="551"/>
      <c r="AH84" s="557"/>
      <c r="AI84" s="557">
        <f t="shared" ref="AI84" si="776">AI83</f>
        <v>12.05</v>
      </c>
      <c r="AJ84" s="337">
        <f t="shared" si="759"/>
        <v>0</v>
      </c>
      <c r="AK84" s="339"/>
      <c r="AL84" s="337">
        <f t="shared" si="759"/>
        <v>0</v>
      </c>
      <c r="AM84" s="339"/>
      <c r="AN84" s="267" t="str">
        <f t="shared" ref="AN84" si="777" xml:space="preserve"> AN83</f>
        <v>Lystb</v>
      </c>
      <c r="AO84" s="45">
        <f>VLOOKUP(AN84,Skrogform!$1:$1048576,3,FALSE)</f>
        <v>0.98</v>
      </c>
      <c r="AP84" s="64">
        <f t="shared" ref="AP84:AZ84" si="778">AP83</f>
        <v>14.95</v>
      </c>
      <c r="AQ84" s="64">
        <f t="shared" si="778"/>
        <v>12.65</v>
      </c>
      <c r="AR84" s="64">
        <f t="shared" si="778"/>
        <v>4.3</v>
      </c>
      <c r="AS84" s="64">
        <f t="shared" si="778"/>
        <v>2.5</v>
      </c>
      <c r="AT84" s="64">
        <f t="shared" ref="AT84" si="779">AT83</f>
        <v>29</v>
      </c>
      <c r="AU84" s="64">
        <f t="shared" si="778"/>
        <v>27</v>
      </c>
      <c r="AV84" s="64">
        <f t="shared" si="778"/>
        <v>8</v>
      </c>
      <c r="AW84" s="64">
        <f t="shared" si="778"/>
        <v>0.5</v>
      </c>
      <c r="AX84" s="256">
        <f>AX83</f>
        <v>500</v>
      </c>
      <c r="AY84" s="256">
        <f t="shared" si="778"/>
        <v>120</v>
      </c>
      <c r="AZ84" s="256">
        <f t="shared" si="778"/>
        <v>900</v>
      </c>
      <c r="BA84" s="256">
        <f t="shared" ref="BA84:BB84" si="780">BA83</f>
        <v>0</v>
      </c>
      <c r="BB84" s="256">
        <f t="shared" si="780"/>
        <v>0</v>
      </c>
      <c r="BC84" s="256"/>
      <c r="BD84" s="66"/>
      <c r="BE84" s="66"/>
      <c r="BF84" s="261"/>
      <c r="BG84" s="66"/>
      <c r="BH84" s="175"/>
      <c r="BI84" s="66"/>
      <c r="BJ84" s="66"/>
      <c r="BK84" s="65" t="str">
        <f t="shared" ref="BK84:BM84" si="781" xml:space="preserve"> BK83</f>
        <v>Seilrett</v>
      </c>
      <c r="BL84" s="267">
        <f t="shared" si="781"/>
        <v>3</v>
      </c>
      <c r="BM84" s="267">
        <f t="shared" si="781"/>
        <v>60</v>
      </c>
      <c r="BN84" s="45">
        <f t="shared" si="410"/>
        <v>1</v>
      </c>
      <c r="BO84" s="59"/>
      <c r="BP84" s="59"/>
      <c r="BR84" s="49">
        <f t="shared" si="765"/>
        <v>0</v>
      </c>
      <c r="BS84" s="49">
        <f t="shared" si="765"/>
        <v>0</v>
      </c>
      <c r="BT84" s="49">
        <f t="shared" si="765"/>
        <v>0</v>
      </c>
      <c r="BU84" s="49">
        <f t="shared" si="765"/>
        <v>0</v>
      </c>
      <c r="BV84" s="49">
        <f t="shared" si="765"/>
        <v>0</v>
      </c>
      <c r="BW84" s="49">
        <f t="shared" si="765"/>
        <v>0</v>
      </c>
      <c r="BX84" s="49">
        <f t="shared" si="765"/>
        <v>27</v>
      </c>
      <c r="BY84" s="549">
        <f>IF(COUNT(Q84:U84)&gt;1,MINA(Q84:U84)*BY$9,0)</f>
        <v>0</v>
      </c>
      <c r="BZ84" s="85">
        <f t="shared" si="766"/>
        <v>0</v>
      </c>
      <c r="CA84" s="85">
        <f t="shared" si="766"/>
        <v>0</v>
      </c>
      <c r="CB84" s="85">
        <f t="shared" si="766"/>
        <v>38</v>
      </c>
      <c r="CC84" s="85">
        <f t="shared" si="766"/>
        <v>0</v>
      </c>
      <c r="CD84" s="85">
        <f t="shared" si="766"/>
        <v>0</v>
      </c>
      <c r="CE84" s="85">
        <f>IF(AC84=0,0,AC84*CE$9)</f>
        <v>0</v>
      </c>
      <c r="CF84" s="85">
        <f t="shared" si="767"/>
        <v>0</v>
      </c>
      <c r="CG84" s="85">
        <f t="shared" si="767"/>
        <v>0</v>
      </c>
      <c r="CH84" s="85">
        <f t="shared" si="768"/>
        <v>0</v>
      </c>
      <c r="CI84" s="85">
        <f t="shared" si="768"/>
        <v>0</v>
      </c>
      <c r="CJ84" s="85">
        <f t="shared" si="768"/>
        <v>0</v>
      </c>
      <c r="CK84" s="85">
        <f t="shared" si="768"/>
        <v>0</v>
      </c>
      <c r="CL84" s="100">
        <f>SUM(BR84:CK84)</f>
        <v>65</v>
      </c>
      <c r="CM84" s="50"/>
      <c r="CN84" s="104">
        <f>J84</f>
        <v>74.5</v>
      </c>
      <c r="CO84" s="101">
        <f>CL84/CN84</f>
        <v>0.87248322147651003</v>
      </c>
      <c r="CP84" s="51">
        <f>Seilareal/Lwl/Lwl</f>
        <v>0.46555953069099654</v>
      </c>
      <c r="CQ84" s="116">
        <f>Seilareal/Depl^0.667/K$7</f>
        <v>0.76628832805889546</v>
      </c>
      <c r="CR84" s="51">
        <f>Seilareal/Lwl/Lwl/SApRS1</f>
        <v>0.7064024478700538</v>
      </c>
      <c r="CS84" s="204"/>
      <c r="CT84" s="204">
        <f>(ROUND(TBF/CT$6,3)*CT$6)*CT$4</f>
        <v>108.5</v>
      </c>
      <c r="CU84" s="107">
        <f t="shared" si="36"/>
        <v>1.0829864505771014</v>
      </c>
      <c r="CV84" s="62">
        <f t="shared" si="13"/>
        <v>2.664582116770982</v>
      </c>
      <c r="CW84" s="62">
        <f t="shared" si="14"/>
        <v>1.7914525741926286</v>
      </c>
      <c r="CX84" s="62">
        <f t="shared" si="15"/>
        <v>1.8859172433475835</v>
      </c>
      <c r="CY84" s="107">
        <f t="shared" si="16"/>
        <v>0.99394434046182945</v>
      </c>
      <c r="CZ84" s="168" t="str">
        <f t="shared" si="693"/>
        <v>-</v>
      </c>
      <c r="DA84" s="158"/>
      <c r="DB84" s="168" t="str">
        <f t="shared" si="694"/>
        <v>-</v>
      </c>
      <c r="DC84" s="160"/>
      <c r="DD84" s="190" t="s">
        <v>134</v>
      </c>
      <c r="DE84" s="62">
        <v>0.83</v>
      </c>
      <c r="DF84" s="62">
        <v>0.84</v>
      </c>
      <c r="DG84" s="62">
        <v>0.83</v>
      </c>
      <c r="DH84" s="150">
        <v>0.86</v>
      </c>
      <c r="DI84" s="62">
        <f t="shared" si="695"/>
        <v>2.1194274884384119</v>
      </c>
      <c r="DJ84" s="47">
        <f t="shared" si="696"/>
        <v>13.92757660167131</v>
      </c>
      <c r="DK84" s="48">
        <f t="shared" si="697"/>
        <v>0</v>
      </c>
      <c r="DM84" s="107">
        <f t="shared" si="643"/>
        <v>1.0645764566690765</v>
      </c>
      <c r="DN84" s="141" t="str">
        <f t="shared" si="713"/>
        <v>-</v>
      </c>
      <c r="DO84" s="107">
        <f t="shared" si="698"/>
        <v>4.5523174655089935</v>
      </c>
      <c r="DP84" s="133">
        <f t="shared" si="725"/>
        <v>2.6877145088325567</v>
      </c>
      <c r="DQ84" s="133">
        <f t="shared" si="726"/>
        <v>0</v>
      </c>
      <c r="DR84" s="133">
        <f t="shared" si="727"/>
        <v>0</v>
      </c>
      <c r="DS84" s="133">
        <f t="shared" si="728"/>
        <v>1.8646029566764373</v>
      </c>
      <c r="DT84" s="107">
        <f t="shared" si="729"/>
        <v>1.8859172433475835</v>
      </c>
      <c r="DU84" s="133">
        <f t="shared" si="730"/>
        <v>2.0446520502738266</v>
      </c>
      <c r="DW84" s="107">
        <f t="shared" si="769"/>
        <v>1.1050882148745931</v>
      </c>
      <c r="DX84" s="107">
        <f t="shared" si="699"/>
        <v>1.0370570451401671</v>
      </c>
      <c r="DZ84" s="107">
        <f t="shared" si="700"/>
        <v>1.0561460046684199</v>
      </c>
      <c r="EA84" s="122" t="str">
        <f t="shared" si="714"/>
        <v>-</v>
      </c>
      <c r="EB84" s="107">
        <f t="shared" si="701"/>
        <v>1.0547154868034223</v>
      </c>
      <c r="EC84" s="122" t="str">
        <f t="shared" si="715"/>
        <v>-</v>
      </c>
      <c r="ED84" s="107">
        <f t="shared" si="731"/>
        <v>2.6874487739131512</v>
      </c>
      <c r="EE84" s="107">
        <f t="shared" si="732"/>
        <v>2.3298436208665341</v>
      </c>
      <c r="EF84" s="107">
        <f t="shared" si="733"/>
        <v>1.5916961163398649</v>
      </c>
      <c r="EH84" s="107">
        <f t="shared" si="702"/>
        <v>1.0621097574961567</v>
      </c>
      <c r="EJ84" s="107">
        <f t="shared" si="734"/>
        <v>2.6874487739131512</v>
      </c>
      <c r="EK84" s="107">
        <f t="shared" si="735"/>
        <v>2.3300209979525235</v>
      </c>
      <c r="EL84" s="107">
        <f t="shared" si="736"/>
        <v>1.8583176886572534</v>
      </c>
      <c r="EM84" s="107">
        <f t="shared" si="703"/>
        <v>1.0552273333900561</v>
      </c>
      <c r="EO84" s="107">
        <f t="shared" si="737"/>
        <v>4.2776017762998944</v>
      </c>
      <c r="EP84" s="107">
        <f t="shared" si="738"/>
        <v>2.6874487739131512</v>
      </c>
      <c r="EQ84" s="107">
        <f t="shared" si="739"/>
        <v>1.5916961163398649</v>
      </c>
      <c r="ER84" s="107">
        <f t="shared" si="740"/>
        <v>1.8859172433475835</v>
      </c>
      <c r="ES84" s="107">
        <f t="shared" si="654"/>
        <v>1.0604618854544359</v>
      </c>
      <c r="EU84" s="107">
        <f t="shared" si="710"/>
        <v>1.6532223557883627</v>
      </c>
      <c r="EV84" s="107">
        <f t="shared" si="741"/>
        <v>2.6874487739131512</v>
      </c>
      <c r="EW84" s="107">
        <f t="shared" si="742"/>
        <v>1.0170032575909294</v>
      </c>
      <c r="EX84" s="107">
        <f t="shared" si="743"/>
        <v>1.9111244003334622</v>
      </c>
      <c r="EY84" s="107">
        <f t="shared" si="658"/>
        <v>1.0624436790171856</v>
      </c>
      <c r="FA84" s="107">
        <f t="shared" si="611"/>
        <v>1.6533040890765118</v>
      </c>
      <c r="FB84" s="107">
        <f t="shared" si="744"/>
        <v>2.6877145088325567</v>
      </c>
      <c r="FC84" s="107">
        <f t="shared" si="745"/>
        <v>1.0170032575909294</v>
      </c>
      <c r="FD84" s="107">
        <f t="shared" si="746"/>
        <v>1.9111244003334622</v>
      </c>
      <c r="FE84" s="107">
        <f t="shared" si="662"/>
        <v>1.0787635852862734</v>
      </c>
      <c r="FF84" s="141" t="str">
        <f t="shared" si="716"/>
        <v>-</v>
      </c>
      <c r="FG84" s="107">
        <f t="shared" si="613"/>
        <v>2.7798913602893771</v>
      </c>
      <c r="FH84" s="133">
        <f t="shared" si="747"/>
        <v>2.6877145088325567</v>
      </c>
      <c r="FI84" s="133">
        <f t="shared" si="748"/>
        <v>1.0342956259505622</v>
      </c>
      <c r="FJ84" s="107">
        <f t="shared" si="749"/>
        <v>1.0747042278871302</v>
      </c>
      <c r="FK84" s="107">
        <f t="shared" si="666"/>
        <v>1.0524707452899236</v>
      </c>
      <c r="FL84" s="141" t="str">
        <f t="shared" si="717"/>
        <v>-</v>
      </c>
      <c r="FM84" s="107">
        <f t="shared" si="615"/>
        <v>4.6896500938329897</v>
      </c>
      <c r="FN84" s="133">
        <f t="shared" si="750"/>
        <v>2.6877145088325567</v>
      </c>
      <c r="FO84" s="133">
        <f t="shared" si="751"/>
        <v>0.63733262832399595</v>
      </c>
      <c r="FP84" s="133">
        <f t="shared" si="752"/>
        <v>1.8646029566764373</v>
      </c>
      <c r="FQ84" s="107">
        <f t="shared" si="753"/>
        <v>1.8859172433475835</v>
      </c>
      <c r="FR84" s="107">
        <f t="shared" si="671"/>
        <v>1.0876788319113104</v>
      </c>
      <c r="FS84" s="141" t="str">
        <f t="shared" si="718"/>
        <v>-</v>
      </c>
      <c r="FT84" s="107">
        <f t="shared" si="617"/>
        <v>5.0115204198713439</v>
      </c>
      <c r="FU84" s="133">
        <f t="shared" si="754"/>
        <v>2.6877145088325567</v>
      </c>
      <c r="FV84" s="133">
        <f t="shared" si="755"/>
        <v>1.8646029566764373</v>
      </c>
      <c r="FW84" s="107">
        <f t="shared" si="756"/>
        <v>1.8859172433475835</v>
      </c>
      <c r="FY84">
        <v>0.95</v>
      </c>
      <c r="FZ84" s="62">
        <f t="shared" si="711"/>
        <v>1.1054157878653441</v>
      </c>
      <c r="GA84" s="62">
        <f t="shared" si="712"/>
        <v>2.0446520502738266</v>
      </c>
      <c r="GB84" s="107">
        <f t="shared" si="50"/>
        <v>1.1104337375827484</v>
      </c>
      <c r="GC84" s="440"/>
      <c r="GD84" s="17"/>
      <c r="GE84" s="442"/>
      <c r="GF84" s="462"/>
      <c r="GG84" s="17"/>
      <c r="GH84" s="17"/>
      <c r="GI84" s="17"/>
      <c r="GJ84" s="17"/>
      <c r="GL84" s="17"/>
      <c r="GM84" s="442"/>
      <c r="GN84" s="8"/>
      <c r="GO84" s="8"/>
      <c r="GP84" s="8"/>
      <c r="GQ84" s="8"/>
      <c r="GS84" s="17"/>
      <c r="GT84" s="17"/>
      <c r="GU84" s="17"/>
      <c r="GV84" s="629"/>
      <c r="GW84" s="17"/>
      <c r="GX84" s="17"/>
      <c r="GY84" s="17"/>
      <c r="GZ84" s="17"/>
    </row>
    <row r="85" spans="1:208" ht="15.6" x14ac:dyDescent="0.3">
      <c r="A85" s="60" t="s">
        <v>628</v>
      </c>
      <c r="B85" s="218"/>
      <c r="C85" s="61" t="str">
        <f>C80</f>
        <v>Gaffel</v>
      </c>
      <c r="D85" s="61"/>
      <c r="E85" s="61"/>
      <c r="F85" s="61"/>
      <c r="G85" s="54"/>
      <c r="H85" s="204">
        <f>TBFavrundet</f>
        <v>133.5</v>
      </c>
      <c r="I85" s="63">
        <f>COUNTA(O85:AG85)</f>
        <v>5</v>
      </c>
      <c r="J85" s="222">
        <f>SUM(O85:AG85)</f>
        <v>165.20000000000002</v>
      </c>
      <c r="K85" s="116">
        <f>Seilareal/Depl^0.667/K$7</f>
        <v>1.6992057959104636</v>
      </c>
      <c r="L85" s="116">
        <f>Seilareal/Lwl/Lwl/L$7</f>
        <v>1.5664118709816497</v>
      </c>
      <c r="M85" s="92">
        <f>RiggF</f>
        <v>0.76029055690072633</v>
      </c>
      <c r="N85" s="242">
        <f>StHfaktor</f>
        <v>0.99394434046182945</v>
      </c>
      <c r="O85" s="143"/>
      <c r="P85" s="143"/>
      <c r="Q85" s="165">
        <v>59.4</v>
      </c>
      <c r="R85" s="143"/>
      <c r="S85" s="143"/>
      <c r="T85" s="143"/>
      <c r="U85" s="165">
        <v>27</v>
      </c>
      <c r="V85" s="559"/>
      <c r="W85" s="559"/>
      <c r="X85" s="165">
        <v>47.5</v>
      </c>
      <c r="Y85" s="143"/>
      <c r="Z85" s="143"/>
      <c r="AA85" s="165">
        <v>20.399999999999999</v>
      </c>
      <c r="AB85" s="143"/>
      <c r="AC85" s="165">
        <v>10.9</v>
      </c>
      <c r="AD85" s="143"/>
      <c r="AE85" s="143"/>
      <c r="AF85" s="143"/>
      <c r="AG85" s="551"/>
      <c r="AH85" s="557"/>
      <c r="AI85" s="557">
        <f t="shared" ref="AI85" si="782">AI84</f>
        <v>12.05</v>
      </c>
      <c r="AJ85" s="337">
        <f t="shared" si="759"/>
        <v>0</v>
      </c>
      <c r="AK85" s="339"/>
      <c r="AL85" s="337">
        <f t="shared" si="759"/>
        <v>0</v>
      </c>
      <c r="AM85" s="339"/>
      <c r="AN85" s="267" t="str">
        <f t="shared" ref="AN85" si="783" xml:space="preserve"> AN84</f>
        <v>Lystb</v>
      </c>
      <c r="AO85" s="45">
        <f>VLOOKUP(AN85,Skrogform!$1:$1048576,3,FALSE)</f>
        <v>0.98</v>
      </c>
      <c r="AP85" s="64">
        <f t="shared" ref="AP85:AZ85" si="784">AP84</f>
        <v>14.95</v>
      </c>
      <c r="AQ85" s="64">
        <f t="shared" si="784"/>
        <v>12.65</v>
      </c>
      <c r="AR85" s="64">
        <f t="shared" si="784"/>
        <v>4.3</v>
      </c>
      <c r="AS85" s="64">
        <f t="shared" si="784"/>
        <v>2.5</v>
      </c>
      <c r="AT85" s="64">
        <f t="shared" ref="AT85" si="785">AT84</f>
        <v>29</v>
      </c>
      <c r="AU85" s="64">
        <f t="shared" si="784"/>
        <v>27</v>
      </c>
      <c r="AV85" s="64">
        <f t="shared" si="784"/>
        <v>8</v>
      </c>
      <c r="AW85" s="64">
        <f t="shared" si="784"/>
        <v>0.5</v>
      </c>
      <c r="AX85" s="256">
        <f>AX84</f>
        <v>500</v>
      </c>
      <c r="AY85" s="256">
        <f t="shared" si="784"/>
        <v>120</v>
      </c>
      <c r="AZ85" s="256">
        <f t="shared" si="784"/>
        <v>900</v>
      </c>
      <c r="BA85" s="256">
        <f t="shared" ref="BA85:BB85" si="786">BA84</f>
        <v>0</v>
      </c>
      <c r="BB85" s="256">
        <f t="shared" si="786"/>
        <v>0</v>
      </c>
      <c r="BC85" s="256"/>
      <c r="BD85" s="66"/>
      <c r="BE85" s="66"/>
      <c r="BF85" s="261"/>
      <c r="BG85" s="66"/>
      <c r="BH85" s="175"/>
      <c r="BI85" s="66"/>
      <c r="BJ85" s="66"/>
      <c r="BK85" s="65" t="str">
        <f t="shared" ref="BK85:BM85" si="787" xml:space="preserve"> BK84</f>
        <v>Seilrett</v>
      </c>
      <c r="BL85" s="267">
        <f t="shared" si="787"/>
        <v>3</v>
      </c>
      <c r="BM85" s="267">
        <f t="shared" si="787"/>
        <v>60</v>
      </c>
      <c r="BN85" s="45">
        <f t="shared" ref="BN85:BN111" si="788">IF((BK85="Fast"),(1.006248-(0.06415*((BM85/100*SQRT(BL85))/POWER(AU85,(1/3))))),1)</f>
        <v>1</v>
      </c>
      <c r="BO85" s="59"/>
      <c r="BP85" s="59"/>
      <c r="BR85" s="49">
        <f t="shared" si="765"/>
        <v>0</v>
      </c>
      <c r="BS85" s="49">
        <f t="shared" si="765"/>
        <v>0</v>
      </c>
      <c r="BT85" s="49">
        <f t="shared" si="765"/>
        <v>59.4</v>
      </c>
      <c r="BU85" s="49">
        <f t="shared" si="765"/>
        <v>0</v>
      </c>
      <c r="BV85" s="49">
        <f t="shared" si="765"/>
        <v>0</v>
      </c>
      <c r="BW85" s="49">
        <f t="shared" si="765"/>
        <v>0</v>
      </c>
      <c r="BX85" s="49">
        <f t="shared" si="765"/>
        <v>27</v>
      </c>
      <c r="BY85" s="549">
        <f>IF(COUNT(Q85:U85)&gt;1,MINA(Q85:U85)*BY$9,0)</f>
        <v>-13.5</v>
      </c>
      <c r="BZ85" s="85">
        <f t="shared" si="766"/>
        <v>0</v>
      </c>
      <c r="CA85" s="85">
        <f t="shared" si="766"/>
        <v>0</v>
      </c>
      <c r="CB85" s="85">
        <f t="shared" si="766"/>
        <v>38</v>
      </c>
      <c r="CC85" s="85">
        <f t="shared" si="766"/>
        <v>0</v>
      </c>
      <c r="CD85" s="85">
        <f t="shared" si="766"/>
        <v>0</v>
      </c>
      <c r="CE85" s="85">
        <f>IF(AC85=0,0,AC85*CE$9)</f>
        <v>6.54</v>
      </c>
      <c r="CF85" s="85">
        <f t="shared" si="767"/>
        <v>8.16</v>
      </c>
      <c r="CG85" s="85">
        <f t="shared" si="767"/>
        <v>0</v>
      </c>
      <c r="CH85" s="85">
        <f t="shared" si="768"/>
        <v>0</v>
      </c>
      <c r="CI85" s="85">
        <f t="shared" si="768"/>
        <v>0</v>
      </c>
      <c r="CJ85" s="85">
        <f t="shared" si="768"/>
        <v>0</v>
      </c>
      <c r="CK85" s="85">
        <f t="shared" si="768"/>
        <v>0</v>
      </c>
      <c r="CL85" s="100">
        <f>SUM(BR85:CK85)</f>
        <v>125.60000000000001</v>
      </c>
      <c r="CM85" s="50"/>
      <c r="CN85" s="104">
        <f>J85</f>
        <v>165.20000000000002</v>
      </c>
      <c r="CO85" s="101">
        <f>CL85/CN85</f>
        <v>0.76029055690072633</v>
      </c>
      <c r="CP85" s="51">
        <f>Seilareal/Lwl/Lwl</f>
        <v>1.0323548251027199</v>
      </c>
      <c r="CQ85" s="116">
        <f>Seilareal/Depl^0.667/K$7</f>
        <v>1.6992057959104636</v>
      </c>
      <c r="CR85" s="51">
        <f>Seilareal/Lwl/Lwl/SApRS1</f>
        <v>1.5664118709816497</v>
      </c>
      <c r="CS85" s="204"/>
      <c r="CT85" s="204">
        <f>(ROUND(TBF/CT$6,3)*CT$6)*CT$4</f>
        <v>133.5</v>
      </c>
      <c r="CU85" s="107">
        <f t="shared" si="36"/>
        <v>1.3355969283043339</v>
      </c>
      <c r="CV85" s="62">
        <f t="shared" ref="CV85:CV168" si="789">IF(SeilBeregnet=0,"-",(SeilBeregnet)^(1/2)*StHfaktor/(Depl+DeplTillegg/1000+Vann/1000+Diesel/1000*0.84)^(1/3))</f>
        <v>3.7039682064617701</v>
      </c>
      <c r="CW85" s="62">
        <f t="shared" si="14"/>
        <v>1.7914525741926286</v>
      </c>
      <c r="CX85" s="62">
        <f t="shared" ref="CX85:CX168" si="790">IF(SeilBeregnet=0,"-",(Lwl)^(1/CX$7))</f>
        <v>1.8859172433475835</v>
      </c>
      <c r="CY85" s="107">
        <f t="shared" si="16"/>
        <v>0.99394434046182945</v>
      </c>
      <c r="CZ85" s="168" t="str">
        <f t="shared" si="693"/>
        <v>-</v>
      </c>
      <c r="DA85" s="159"/>
      <c r="DB85" s="168" t="str">
        <f t="shared" si="694"/>
        <v>-</v>
      </c>
      <c r="DC85" s="159"/>
      <c r="DD85" s="190" t="s">
        <v>134</v>
      </c>
      <c r="DE85" s="62">
        <v>1.07</v>
      </c>
      <c r="DF85" s="62">
        <v>0.99</v>
      </c>
      <c r="DG85" s="62">
        <v>1.06</v>
      </c>
      <c r="DH85" s="150">
        <v>1.18</v>
      </c>
      <c r="DI85" s="62">
        <f t="shared" si="695"/>
        <v>2.1194274884384119</v>
      </c>
      <c r="DJ85" s="47">
        <f t="shared" si="696"/>
        <v>13.92757660167131</v>
      </c>
      <c r="DK85" s="48">
        <f t="shared" si="697"/>
        <v>0</v>
      </c>
      <c r="DM85" s="107">
        <f t="shared" si="643"/>
        <v>1.3097509258666942</v>
      </c>
      <c r="DN85" s="141" t="str">
        <f t="shared" si="713"/>
        <v>-</v>
      </c>
      <c r="DO85" s="107">
        <f t="shared" si="698"/>
        <v>5.6007269162659483</v>
      </c>
      <c r="DP85" s="133">
        <f t="shared" si="725"/>
        <v>3.7361239595895115</v>
      </c>
      <c r="DQ85" s="133">
        <f t="shared" si="726"/>
        <v>0</v>
      </c>
      <c r="DR85" s="133">
        <f t="shared" si="727"/>
        <v>0</v>
      </c>
      <c r="DS85" s="133">
        <f t="shared" si="728"/>
        <v>1.8646029566764373</v>
      </c>
      <c r="DT85" s="107">
        <f t="shared" si="729"/>
        <v>1.8859172433475835</v>
      </c>
      <c r="DU85" s="133">
        <f t="shared" si="730"/>
        <v>2.0446520502738266</v>
      </c>
      <c r="DW85" s="107">
        <f t="shared" si="247"/>
        <v>1.3628540084738103</v>
      </c>
      <c r="DX85" s="107">
        <f t="shared" si="699"/>
        <v>1.3463060631987662</v>
      </c>
      <c r="DZ85" s="107">
        <f t="shared" si="700"/>
        <v>1.3068129050050419</v>
      </c>
      <c r="EA85" s="122" t="str">
        <f t="shared" si="714"/>
        <v>-</v>
      </c>
      <c r="EB85" s="107">
        <f t="shared" si="701"/>
        <v>1.3569568091194262</v>
      </c>
      <c r="EC85" s="122" t="str">
        <f t="shared" si="715"/>
        <v>-</v>
      </c>
      <c r="ED85" s="107">
        <f t="shared" si="731"/>
        <v>3.7357545681991584</v>
      </c>
      <c r="EE85" s="107">
        <f t="shared" si="732"/>
        <v>2.3298436208665341</v>
      </c>
      <c r="EF85" s="107">
        <f t="shared" si="733"/>
        <v>1.5916961163398649</v>
      </c>
      <c r="EH85" s="107">
        <f t="shared" si="702"/>
        <v>1.335464334756119</v>
      </c>
      <c r="EJ85" s="107">
        <f t="shared" si="734"/>
        <v>3.7357545681991584</v>
      </c>
      <c r="EK85" s="107">
        <f t="shared" si="735"/>
        <v>2.3300209979525235</v>
      </c>
      <c r="EL85" s="107">
        <f t="shared" si="736"/>
        <v>1.8583176886572534</v>
      </c>
      <c r="EM85" s="107">
        <f t="shared" si="703"/>
        <v>1.3357063735624273</v>
      </c>
      <c r="EO85" s="107">
        <f t="shared" si="737"/>
        <v>5.9461860378015094</v>
      </c>
      <c r="EP85" s="107">
        <f t="shared" si="738"/>
        <v>3.7357545681991584</v>
      </c>
      <c r="EQ85" s="107">
        <f t="shared" si="739"/>
        <v>1.5916961163398649</v>
      </c>
      <c r="ER85" s="107">
        <f t="shared" si="740"/>
        <v>1.8859172433475835</v>
      </c>
      <c r="ES85" s="107">
        <f t="shared" si="654"/>
        <v>1.3326072821583594</v>
      </c>
      <c r="EU85" s="107">
        <f t="shared" si="710"/>
        <v>1.949172790036517</v>
      </c>
      <c r="EV85" s="107">
        <f t="shared" si="741"/>
        <v>3.7357545681991584</v>
      </c>
      <c r="EW85" s="107">
        <f t="shared" si="742"/>
        <v>1.0170032575909294</v>
      </c>
      <c r="EX85" s="107">
        <f t="shared" si="743"/>
        <v>1.9111244003334622</v>
      </c>
      <c r="EY85" s="107">
        <f t="shared" si="658"/>
        <v>1.2526362850320021</v>
      </c>
      <c r="FA85" s="107">
        <f t="shared" si="611"/>
        <v>1.9492691547516097</v>
      </c>
      <c r="FB85" s="107">
        <f t="shared" si="744"/>
        <v>3.7361239595895115</v>
      </c>
      <c r="FC85" s="107">
        <f t="shared" si="745"/>
        <v>1.0170032575909294</v>
      </c>
      <c r="FD85" s="107">
        <f t="shared" si="746"/>
        <v>1.9111244003334622</v>
      </c>
      <c r="FE85" s="107">
        <f t="shared" si="662"/>
        <v>1.3234917015669179</v>
      </c>
      <c r="FF85" s="141" t="str">
        <f t="shared" si="716"/>
        <v>-</v>
      </c>
      <c r="FG85" s="107">
        <f t="shared" si="613"/>
        <v>3.8642566694125269</v>
      </c>
      <c r="FH85" s="133">
        <f t="shared" si="747"/>
        <v>3.7361239595895115</v>
      </c>
      <c r="FI85" s="133">
        <f t="shared" si="748"/>
        <v>1.0342956259505622</v>
      </c>
      <c r="FJ85" s="107">
        <f t="shared" si="749"/>
        <v>1.0747042278871302</v>
      </c>
      <c r="FK85" s="107">
        <f t="shared" si="666"/>
        <v>1.3435526383048566</v>
      </c>
      <c r="FL85" s="141" t="str">
        <f t="shared" si="717"/>
        <v>-</v>
      </c>
      <c r="FM85" s="107">
        <f t="shared" si="615"/>
        <v>5.9866668831353183</v>
      </c>
      <c r="FN85" s="133">
        <f t="shared" si="750"/>
        <v>3.7361239595895115</v>
      </c>
      <c r="FO85" s="133">
        <f t="shared" si="751"/>
        <v>0.88593996686936927</v>
      </c>
      <c r="FP85" s="133">
        <f t="shared" si="752"/>
        <v>1.8646029566764373</v>
      </c>
      <c r="FQ85" s="107">
        <f t="shared" si="753"/>
        <v>1.8859172433475835</v>
      </c>
      <c r="FR85" s="107">
        <f t="shared" si="671"/>
        <v>1.3236287881267705</v>
      </c>
      <c r="FS85" s="141" t="str">
        <f t="shared" si="718"/>
        <v>-</v>
      </c>
      <c r="FT85" s="107">
        <f t="shared" si="617"/>
        <v>6.9663877815602815</v>
      </c>
      <c r="FU85" s="133">
        <f t="shared" si="754"/>
        <v>3.7361239595895115</v>
      </c>
      <c r="FV85" s="133">
        <f t="shared" si="755"/>
        <v>1.8646029566764373</v>
      </c>
      <c r="FW85" s="107">
        <f t="shared" si="756"/>
        <v>1.8859172433475835</v>
      </c>
      <c r="FY85">
        <v>0.95</v>
      </c>
      <c r="FZ85" s="62">
        <f t="shared" si="711"/>
        <v>1.2810802211352716</v>
      </c>
      <c r="GA85" s="62">
        <f t="shared" si="712"/>
        <v>2.0446520502738266</v>
      </c>
      <c r="GB85" s="107">
        <f t="shared" si="50"/>
        <v>1.2392873842128647</v>
      </c>
      <c r="GC85" s="440"/>
      <c r="GD85" s="17"/>
      <c r="GE85" s="442"/>
      <c r="GF85" s="462"/>
      <c r="GG85" s="17"/>
      <c r="GH85" s="17"/>
      <c r="GI85" s="17"/>
      <c r="GJ85" s="17"/>
      <c r="GL85" s="17"/>
      <c r="GM85" s="442"/>
      <c r="GN85" s="8"/>
      <c r="GO85" s="8"/>
      <c r="GP85" s="8"/>
      <c r="GQ85" s="8"/>
      <c r="GS85" s="17"/>
      <c r="GT85" s="17"/>
      <c r="GU85" s="17"/>
      <c r="GV85" s="629"/>
      <c r="GW85" s="17"/>
      <c r="GX85" s="17"/>
      <c r="GY85" s="17"/>
      <c r="GZ85" s="17"/>
    </row>
    <row r="86" spans="1:208" ht="15.6" x14ac:dyDescent="0.3">
      <c r="A86" s="60" t="s">
        <v>146</v>
      </c>
      <c r="B86" s="218"/>
      <c r="C86" s="61" t="str">
        <f>C81</f>
        <v>Gaffel</v>
      </c>
      <c r="D86" s="61"/>
      <c r="E86" s="61"/>
      <c r="F86" s="61"/>
      <c r="G86" s="54"/>
      <c r="H86" s="204">
        <f>TBFavrundet</f>
        <v>128.5</v>
      </c>
      <c r="I86" s="63">
        <f>COUNTA(O86:AG86)</f>
        <v>4</v>
      </c>
      <c r="J86" s="222">
        <f>SUM(O86:AG86)</f>
        <v>138.20000000000002</v>
      </c>
      <c r="K86" s="116">
        <f>Seilareal/Depl^0.667/K$7</f>
        <v>1.4214905629226759</v>
      </c>
      <c r="L86" s="116">
        <f>Seilareal/Lwl/Lwl/L$7</f>
        <v>1.31040024557908</v>
      </c>
      <c r="M86" s="92">
        <f>RiggF</f>
        <v>0.81114327062228653</v>
      </c>
      <c r="N86" s="242">
        <f>StHfaktor</f>
        <v>0.99394434046182945</v>
      </c>
      <c r="O86" s="143"/>
      <c r="P86" s="143"/>
      <c r="Q86" s="165">
        <v>59.4</v>
      </c>
      <c r="R86" s="143"/>
      <c r="S86" s="143"/>
      <c r="T86" s="143"/>
      <c r="U86" s="143"/>
      <c r="V86" s="143"/>
      <c r="W86" s="143"/>
      <c r="X86" s="165">
        <v>47.5</v>
      </c>
      <c r="Y86" s="143"/>
      <c r="Z86" s="143"/>
      <c r="AA86" s="165">
        <v>20.399999999999999</v>
      </c>
      <c r="AB86" s="143"/>
      <c r="AC86" s="165">
        <v>10.9</v>
      </c>
      <c r="AD86" s="143"/>
      <c r="AE86" s="143"/>
      <c r="AF86" s="143"/>
      <c r="AG86" s="551"/>
      <c r="AH86" s="557"/>
      <c r="AI86" s="557">
        <f t="shared" ref="AI86" si="791">AI85</f>
        <v>12.05</v>
      </c>
      <c r="AJ86" s="337">
        <f t="shared" si="759"/>
        <v>0</v>
      </c>
      <c r="AK86" s="339"/>
      <c r="AL86" s="337">
        <f t="shared" si="759"/>
        <v>0</v>
      </c>
      <c r="AM86" s="339"/>
      <c r="AN86" s="267" t="str">
        <f t="shared" ref="AN86" si="792" xml:space="preserve"> AN85</f>
        <v>Lystb</v>
      </c>
      <c r="AO86" s="45">
        <f>VLOOKUP(AN86,Skrogform!$1:$1048576,3,FALSE)</f>
        <v>0.98</v>
      </c>
      <c r="AP86" s="64">
        <f t="shared" ref="AP86:AZ86" si="793">AP85</f>
        <v>14.95</v>
      </c>
      <c r="AQ86" s="64">
        <f t="shared" si="793"/>
        <v>12.65</v>
      </c>
      <c r="AR86" s="64">
        <f t="shared" si="793"/>
        <v>4.3</v>
      </c>
      <c r="AS86" s="64">
        <f t="shared" si="793"/>
        <v>2.5</v>
      </c>
      <c r="AT86" s="64">
        <f t="shared" ref="AT86" si="794">AT85</f>
        <v>29</v>
      </c>
      <c r="AU86" s="64">
        <f t="shared" si="793"/>
        <v>27</v>
      </c>
      <c r="AV86" s="64">
        <f t="shared" si="793"/>
        <v>8</v>
      </c>
      <c r="AW86" s="64">
        <f t="shared" si="793"/>
        <v>0.5</v>
      </c>
      <c r="AX86" s="256">
        <f>AX85</f>
        <v>500</v>
      </c>
      <c r="AY86" s="256">
        <f t="shared" si="793"/>
        <v>120</v>
      </c>
      <c r="AZ86" s="256">
        <f t="shared" si="793"/>
        <v>900</v>
      </c>
      <c r="BA86" s="256">
        <f t="shared" ref="BA86:BB86" si="795">BA85</f>
        <v>0</v>
      </c>
      <c r="BB86" s="256">
        <f t="shared" si="795"/>
        <v>0</v>
      </c>
      <c r="BC86" s="256"/>
      <c r="BD86" s="66"/>
      <c r="BE86" s="66"/>
      <c r="BF86" s="261"/>
      <c r="BG86" s="66"/>
      <c r="BH86" s="175"/>
      <c r="BI86" s="66"/>
      <c r="BJ86" s="66"/>
      <c r="BK86" s="65" t="str">
        <f t="shared" ref="BK86:BM86" si="796" xml:space="preserve"> BK85</f>
        <v>Seilrett</v>
      </c>
      <c r="BL86" s="267">
        <f t="shared" si="796"/>
        <v>3</v>
      </c>
      <c r="BM86" s="267">
        <f t="shared" si="796"/>
        <v>60</v>
      </c>
      <c r="BN86" s="45">
        <f t="shared" si="788"/>
        <v>1</v>
      </c>
      <c r="BO86" s="59"/>
      <c r="BP86" s="59"/>
      <c r="BR86" s="49">
        <f t="shared" si="765"/>
        <v>0</v>
      </c>
      <c r="BS86" s="49">
        <f t="shared" si="765"/>
        <v>0</v>
      </c>
      <c r="BT86" s="49">
        <f t="shared" si="765"/>
        <v>59.4</v>
      </c>
      <c r="BU86" s="49">
        <f t="shared" si="765"/>
        <v>0</v>
      </c>
      <c r="BV86" s="49">
        <f t="shared" si="765"/>
        <v>0</v>
      </c>
      <c r="BW86" s="49">
        <f t="shared" si="765"/>
        <v>0</v>
      </c>
      <c r="BX86" s="49">
        <f t="shared" si="765"/>
        <v>0</v>
      </c>
      <c r="BY86" s="549">
        <f>IF(COUNT(Q86:U86)&gt;1,MINA(Q86:U86)*BY$9,0)</f>
        <v>0</v>
      </c>
      <c r="BZ86" s="85">
        <f t="shared" si="766"/>
        <v>0</v>
      </c>
      <c r="CA86" s="85">
        <f t="shared" si="766"/>
        <v>0</v>
      </c>
      <c r="CB86" s="85">
        <f t="shared" si="766"/>
        <v>38</v>
      </c>
      <c r="CC86" s="85">
        <f t="shared" si="766"/>
        <v>0</v>
      </c>
      <c r="CD86" s="85">
        <f t="shared" si="766"/>
        <v>0</v>
      </c>
      <c r="CE86" s="85">
        <f>IF(AC86=0,0,AC86*CE$9)</f>
        <v>6.54</v>
      </c>
      <c r="CF86" s="85">
        <f t="shared" si="767"/>
        <v>8.16</v>
      </c>
      <c r="CG86" s="85">
        <f t="shared" si="767"/>
        <v>0</v>
      </c>
      <c r="CH86" s="85">
        <f t="shared" si="768"/>
        <v>0</v>
      </c>
      <c r="CI86" s="85">
        <f t="shared" si="768"/>
        <v>0</v>
      </c>
      <c r="CJ86" s="85">
        <f t="shared" si="768"/>
        <v>0</v>
      </c>
      <c r="CK86" s="85">
        <f t="shared" si="768"/>
        <v>0</v>
      </c>
      <c r="CL86" s="100">
        <f>SUM(BR86:CK86)</f>
        <v>112.10000000000001</v>
      </c>
      <c r="CM86" s="50"/>
      <c r="CN86" s="104">
        <f>J86</f>
        <v>138.20000000000002</v>
      </c>
      <c r="CO86" s="101">
        <f>CL86/CN86</f>
        <v>0.81114327062228653</v>
      </c>
      <c r="CP86" s="51">
        <f>Seilareal/Lwl/Lwl</f>
        <v>0.86362855223484203</v>
      </c>
      <c r="CQ86" s="116">
        <f>Seilareal/Depl^0.667/K$7</f>
        <v>1.4214905629226759</v>
      </c>
      <c r="CR86" s="51">
        <f>Seilareal/Lwl/Lwl/SApRS1</f>
        <v>1.31040024557908</v>
      </c>
      <c r="CS86" s="204"/>
      <c r="CT86" s="204">
        <f>(ROUND(TBF/CT$6,3)*CT$6)*CT$4</f>
        <v>128.5</v>
      </c>
      <c r="CU86" s="107">
        <f t="shared" si="36"/>
        <v>1.2858431130308308</v>
      </c>
      <c r="CV86" s="62">
        <f t="shared" si="789"/>
        <v>3.4992521393785823</v>
      </c>
      <c r="CW86" s="62">
        <f t="shared" si="14"/>
        <v>1.7914525741926286</v>
      </c>
      <c r="CX86" s="62">
        <f t="shared" si="790"/>
        <v>1.8859172433475835</v>
      </c>
      <c r="CY86" s="107">
        <f t="shared" si="16"/>
        <v>0.99394434046182945</v>
      </c>
      <c r="CZ86" s="168" t="str">
        <f t="shared" si="693"/>
        <v>-</v>
      </c>
      <c r="DA86" s="159"/>
      <c r="DB86" s="168" t="str">
        <f t="shared" si="694"/>
        <v>-</v>
      </c>
      <c r="DC86" s="159"/>
      <c r="DD86" s="190" t="s">
        <v>134</v>
      </c>
      <c r="DE86" s="62">
        <v>1.01</v>
      </c>
      <c r="DF86" s="62">
        <v>0.95</v>
      </c>
      <c r="DG86" s="62">
        <v>1</v>
      </c>
      <c r="DH86" s="150">
        <v>1.04</v>
      </c>
      <c r="DI86" s="62">
        <f t="shared" si="695"/>
        <v>2.1194274884384119</v>
      </c>
      <c r="DJ86" s="47">
        <f t="shared" si="696"/>
        <v>13.92757660167131</v>
      </c>
      <c r="DK86" s="48">
        <f t="shared" si="697"/>
        <v>0</v>
      </c>
      <c r="DM86" s="107">
        <f t="shared" si="643"/>
        <v>1.2614616966946202</v>
      </c>
      <c r="DN86" s="141" t="str">
        <f t="shared" si="713"/>
        <v>-</v>
      </c>
      <c r="DO86" s="107">
        <f t="shared" si="698"/>
        <v>5.3942336202899952</v>
      </c>
      <c r="DP86" s="133">
        <f t="shared" si="725"/>
        <v>3.5296306636135579</v>
      </c>
      <c r="DQ86" s="133">
        <f t="shared" si="726"/>
        <v>0</v>
      </c>
      <c r="DR86" s="133">
        <f t="shared" si="727"/>
        <v>0</v>
      </c>
      <c r="DS86" s="133">
        <f t="shared" si="728"/>
        <v>1.8646029566764373</v>
      </c>
      <c r="DT86" s="107">
        <f t="shared" si="729"/>
        <v>1.8859172433475835</v>
      </c>
      <c r="DU86" s="133">
        <f t="shared" si="730"/>
        <v>2.0446520502738266</v>
      </c>
      <c r="DW86" s="107">
        <f t="shared" si="247"/>
        <v>1.3120848092151334</v>
      </c>
      <c r="DX86" s="107">
        <f t="shared" si="699"/>
        <v>1.2853967982449435</v>
      </c>
      <c r="DY86" s="122"/>
      <c r="DZ86" s="107">
        <f t="shared" si="700"/>
        <v>1.257441894084439</v>
      </c>
      <c r="EA86" s="122" t="str">
        <f t="shared" si="714"/>
        <v>-</v>
      </c>
      <c r="EB86" s="107">
        <f t="shared" si="701"/>
        <v>1.2974277703644805</v>
      </c>
      <c r="EC86" s="122" t="str">
        <f t="shared" si="715"/>
        <v>-</v>
      </c>
      <c r="ED86" s="107">
        <f t="shared" si="731"/>
        <v>3.5292816882603932</v>
      </c>
      <c r="EE86" s="107">
        <f t="shared" si="732"/>
        <v>2.3298436208665341</v>
      </c>
      <c r="EF86" s="107">
        <f t="shared" si="733"/>
        <v>1.5916961163398649</v>
      </c>
      <c r="EH86" s="107">
        <f t="shared" si="702"/>
        <v>1.2816247899220192</v>
      </c>
      <c r="EJ86" s="107">
        <f t="shared" si="734"/>
        <v>3.5292816882603932</v>
      </c>
      <c r="EK86" s="107">
        <f t="shared" si="735"/>
        <v>2.3300209979525235</v>
      </c>
      <c r="EL86" s="107">
        <f t="shared" si="736"/>
        <v>1.8583176886572534</v>
      </c>
      <c r="EM86" s="107">
        <f t="shared" si="703"/>
        <v>1.2804636042268889</v>
      </c>
      <c r="EO86" s="107">
        <f t="shared" si="737"/>
        <v>5.6175439566734697</v>
      </c>
      <c r="EP86" s="107">
        <f t="shared" si="738"/>
        <v>3.5292816882603932</v>
      </c>
      <c r="EQ86" s="107">
        <f t="shared" si="739"/>
        <v>1.5916961163398649</v>
      </c>
      <c r="ER86" s="107">
        <f t="shared" si="740"/>
        <v>1.8859172433475835</v>
      </c>
      <c r="ES86" s="107">
        <f t="shared" si="654"/>
        <v>1.2823711529731907</v>
      </c>
      <c r="EU86" s="107">
        <f t="shared" si="710"/>
        <v>1.8945424180832782</v>
      </c>
      <c r="EV86" s="107">
        <f t="shared" si="741"/>
        <v>3.5292816882603932</v>
      </c>
      <c r="EW86" s="107">
        <f t="shared" si="742"/>
        <v>1.0170032575909294</v>
      </c>
      <c r="EX86" s="107">
        <f t="shared" si="743"/>
        <v>1.9111244003334622</v>
      </c>
      <c r="EY86" s="107">
        <f t="shared" si="658"/>
        <v>1.2175280655230794</v>
      </c>
      <c r="FA86" s="107">
        <f t="shared" si="611"/>
        <v>1.8946360819397012</v>
      </c>
      <c r="FB86" s="107">
        <f t="shared" si="744"/>
        <v>3.5296306636135579</v>
      </c>
      <c r="FC86" s="107">
        <f t="shared" si="745"/>
        <v>1.0170032575909294</v>
      </c>
      <c r="FD86" s="107">
        <f t="shared" si="746"/>
        <v>1.9111244003334622</v>
      </c>
      <c r="FE86" s="107">
        <f t="shared" si="662"/>
        <v>1.2752903854567947</v>
      </c>
      <c r="FF86" s="141" t="str">
        <f t="shared" si="716"/>
        <v>-</v>
      </c>
      <c r="FG86" s="107">
        <f t="shared" si="613"/>
        <v>3.6506815565964832</v>
      </c>
      <c r="FH86" s="133">
        <f t="shared" si="747"/>
        <v>3.5296306636135579</v>
      </c>
      <c r="FI86" s="133">
        <f t="shared" si="748"/>
        <v>1.0342956259505622</v>
      </c>
      <c r="FJ86" s="107">
        <f t="shared" si="749"/>
        <v>1.0747042278871302</v>
      </c>
      <c r="FK86" s="107">
        <f t="shared" si="666"/>
        <v>1.2862215455298187</v>
      </c>
      <c r="FL86" s="141" t="str">
        <f t="shared" si="717"/>
        <v>-</v>
      </c>
      <c r="FM86" s="107">
        <f t="shared" si="615"/>
        <v>5.7312082247210734</v>
      </c>
      <c r="FN86" s="133">
        <f t="shared" si="750"/>
        <v>3.5296306636135579</v>
      </c>
      <c r="FO86" s="133">
        <f t="shared" si="751"/>
        <v>0.8369746044310783</v>
      </c>
      <c r="FP86" s="133">
        <f t="shared" si="752"/>
        <v>1.8646029566764373</v>
      </c>
      <c r="FQ86" s="107">
        <f t="shared" si="753"/>
        <v>1.8859172433475835</v>
      </c>
      <c r="FR86" s="107">
        <f t="shared" si="671"/>
        <v>1.2771564064545766</v>
      </c>
      <c r="FS86" s="141" t="str">
        <f t="shared" si="718"/>
        <v>-</v>
      </c>
      <c r="FT86" s="107">
        <f t="shared" si="617"/>
        <v>6.5813597713496552</v>
      </c>
      <c r="FU86" s="133">
        <f t="shared" si="754"/>
        <v>3.5296306636135579</v>
      </c>
      <c r="FV86" s="133">
        <f t="shared" si="755"/>
        <v>1.8646029566764373</v>
      </c>
      <c r="FW86" s="107">
        <f t="shared" si="756"/>
        <v>1.8859172433475835</v>
      </c>
      <c r="FY86">
        <v>0.95</v>
      </c>
      <c r="FZ86" s="62">
        <f t="shared" si="711"/>
        <v>1.2464815938666358</v>
      </c>
      <c r="GA86" s="62">
        <f t="shared" si="712"/>
        <v>2.0446520502738266</v>
      </c>
      <c r="GB86" s="107">
        <f t="shared" si="50"/>
        <v>1.2160217909943416</v>
      </c>
      <c r="GC86" s="440"/>
      <c r="GD86" s="17"/>
      <c r="GE86" s="442"/>
      <c r="GF86" s="462"/>
      <c r="GG86" s="17"/>
      <c r="GH86" s="17"/>
      <c r="GI86" s="17"/>
      <c r="GJ86" s="17"/>
      <c r="GL86" s="17"/>
      <c r="GM86" s="442"/>
      <c r="GN86" s="8"/>
      <c r="GO86" s="8"/>
      <c r="GP86" s="8"/>
      <c r="GQ86" s="8"/>
      <c r="GS86" s="17"/>
      <c r="GT86" s="17"/>
      <c r="GU86" s="17"/>
      <c r="GV86" s="629"/>
      <c r="GW86" s="17"/>
      <c r="GX86" s="17"/>
      <c r="GY86" s="17"/>
      <c r="GZ86" s="17"/>
    </row>
    <row r="87" spans="1:208" ht="15.6" x14ac:dyDescent="0.3">
      <c r="A87" s="52" t="s">
        <v>66</v>
      </c>
      <c r="B87" s="218">
        <f t="shared" ref="B87" si="797">Loa/0.3048</f>
        <v>32.15223097112861</v>
      </c>
      <c r="C87" s="53" t="s">
        <v>19</v>
      </c>
      <c r="D87" s="53"/>
      <c r="E87" s="53"/>
      <c r="F87" s="53"/>
      <c r="G87" s="54"/>
      <c r="H87" s="112">
        <f>J88</f>
        <v>71.400000000000006</v>
      </c>
      <c r="I87" s="601">
        <f>H88/100</f>
        <v>1.085</v>
      </c>
      <c r="J87" s="651">
        <f>IF(DC88=0,"-",DC88)</f>
        <v>1.1399999999999999</v>
      </c>
      <c r="K87" s="123" t="str">
        <f>A87</f>
        <v>Karen Sophie II</v>
      </c>
      <c r="L87" s="116"/>
      <c r="M87" s="116"/>
      <c r="N87" s="92"/>
      <c r="O87" s="165"/>
      <c r="P87" s="165"/>
      <c r="Q87" s="165"/>
      <c r="R87" s="165">
        <v>15.4</v>
      </c>
      <c r="S87" s="165"/>
      <c r="T87" s="165"/>
      <c r="U87" s="165">
        <v>11.2</v>
      </c>
      <c r="V87" s="559"/>
      <c r="W87" s="559"/>
      <c r="X87" s="165">
        <v>36.200000000000003</v>
      </c>
      <c r="Y87" s="165" t="s">
        <v>184</v>
      </c>
      <c r="Z87" s="165"/>
      <c r="AA87" s="165">
        <v>8.6</v>
      </c>
      <c r="AB87" s="165"/>
      <c r="AC87" s="165"/>
      <c r="AD87" s="165"/>
      <c r="AE87" s="165"/>
      <c r="AF87" s="165"/>
      <c r="AG87" s="552"/>
      <c r="AH87" s="244"/>
      <c r="AI87" s="244">
        <v>9.15</v>
      </c>
      <c r="AJ87" s="554"/>
      <c r="AK87" s="339"/>
      <c r="AL87" s="268"/>
      <c r="AM87" s="339"/>
      <c r="AN87" s="268" t="s">
        <v>203</v>
      </c>
      <c r="AO87" s="45">
        <f>VLOOKUP(AN87,Skrogform!$1:$1048576,3,FALSE)</f>
        <v>0.97</v>
      </c>
      <c r="AP87" s="55">
        <v>9.8000000000000007</v>
      </c>
      <c r="AQ87" s="55">
        <v>8.43</v>
      </c>
      <c r="AR87" s="55">
        <v>3.38</v>
      </c>
      <c r="AS87" s="55">
        <v>1.5</v>
      </c>
      <c r="AT87" s="637">
        <v>9.6</v>
      </c>
      <c r="AU87" s="55">
        <v>9.6</v>
      </c>
      <c r="AV87" s="55">
        <v>2</v>
      </c>
      <c r="AW87" s="55">
        <v>0.5</v>
      </c>
      <c r="AX87" s="253"/>
      <c r="AY87" s="253">
        <v>16</v>
      </c>
      <c r="AZ87" s="254">
        <v>300</v>
      </c>
      <c r="BA87" s="253"/>
      <c r="BB87" s="253"/>
      <c r="BC87" s="244">
        <f>Depl+Diesel/1000*0.84+Vann/1000</f>
        <v>9.6</v>
      </c>
      <c r="BD87" s="95">
        <f>Bredde/(Loa+Lwl)*2</f>
        <v>0.37081733406472844</v>
      </c>
      <c r="BE87" s="95">
        <f>(Kjøl+Ballast)/Depl</f>
        <v>0.26041666666666669</v>
      </c>
      <c r="BF87" s="260">
        <f>BF$7*((Depl-Kjøl-Ballast-VektMotor/1000-VektAnnet/1000)/Lwl/Lwl/Bredde)</f>
        <v>1.0683577060650786</v>
      </c>
      <c r="BG87" s="95">
        <f>BG$7*(Depl/Loa/Lwl/Lwl)</f>
        <v>1.0143883275882255</v>
      </c>
      <c r="BH87" s="174">
        <f>BH$7*(Depl/Loa/Lwl/Bredde)</f>
        <v>0.93516324510810456</v>
      </c>
      <c r="BI87" s="95">
        <f>BI$7*Bredde/(Loa+Lwl)*2</f>
        <v>1.0578262228749726</v>
      </c>
      <c r="BJ87" s="95">
        <f>BJ$7*(Dypg/Lwl)</f>
        <v>0.97323224508742079</v>
      </c>
      <c r="BK87" s="56" t="s">
        <v>39</v>
      </c>
      <c r="BL87" s="268">
        <v>2</v>
      </c>
      <c r="BM87" s="268">
        <v>59</v>
      </c>
      <c r="BN87" s="45">
        <f t="shared" si="788"/>
        <v>0.98106311768326038</v>
      </c>
      <c r="BO87" s="59"/>
      <c r="BP87" s="59"/>
      <c r="BR87" s="209"/>
      <c r="BS87" s="209"/>
      <c r="BT87" s="209" t="str">
        <f>$A87</f>
        <v>Karen Sophie II</v>
      </c>
      <c r="BU87" s="10"/>
      <c r="BV87" s="10"/>
      <c r="BW87" s="10"/>
      <c r="BX87" s="10"/>
      <c r="BY87" s="549"/>
      <c r="BZ87" s="10"/>
      <c r="CA87" s="10"/>
      <c r="CB87" s="209" t="str">
        <f>$A87</f>
        <v>Karen Sophie II</v>
      </c>
      <c r="CC87" s="10"/>
      <c r="CD87" s="10"/>
      <c r="CE87" s="10"/>
      <c r="CF87" s="10"/>
      <c r="CG87" s="10"/>
      <c r="CH87" s="10"/>
      <c r="CI87" s="10"/>
      <c r="CJ87" s="10"/>
      <c r="CK87" s="10"/>
      <c r="CL87" s="209"/>
      <c r="CM87" s="10"/>
      <c r="CN87" s="209" t="str">
        <f>$A87</f>
        <v>Karen Sophie II</v>
      </c>
      <c r="CO87" s="207"/>
      <c r="CP87" s="207"/>
      <c r="CQ87" s="116"/>
      <c r="CR87" s="207"/>
      <c r="CS87" s="203"/>
      <c r="CT87" s="203" t="s">
        <v>23</v>
      </c>
      <c r="CU87" s="107" t="str">
        <f t="shared" si="36"/>
        <v>-</v>
      </c>
      <c r="CV87" s="62" t="str">
        <f t="shared" si="789"/>
        <v>-</v>
      </c>
      <c r="CW87" s="62" t="str">
        <f t="shared" si="14"/>
        <v>-</v>
      </c>
      <c r="CX87" s="62" t="str">
        <f t="shared" si="790"/>
        <v>-</v>
      </c>
      <c r="CY87" s="107" t="str">
        <f t="shared" si="16"/>
        <v>-</v>
      </c>
      <c r="CZ87" s="168" t="str">
        <f t="shared" si="693"/>
        <v>-</v>
      </c>
      <c r="DA87" s="158"/>
      <c r="DB87" s="168" t="str">
        <f t="shared" si="694"/>
        <v>-</v>
      </c>
      <c r="DC87" s="160">
        <v>1.1399999999999999</v>
      </c>
      <c r="DD87" s="190" t="s">
        <v>134</v>
      </c>
      <c r="DE87" s="29" t="s">
        <v>23</v>
      </c>
      <c r="DF87" s="29" t="s">
        <v>23</v>
      </c>
      <c r="DG87" s="29" t="s">
        <v>23</v>
      </c>
      <c r="DH87" s="149">
        <v>2022</v>
      </c>
      <c r="DI87" s="62" t="str">
        <f t="shared" si="695"/>
        <v>-</v>
      </c>
      <c r="DJ87" s="47">
        <f t="shared" si="696"/>
        <v>11.7096018735363</v>
      </c>
      <c r="DK87" s="48">
        <f t="shared" si="697"/>
        <v>0</v>
      </c>
      <c r="DM87" s="107" t="str">
        <f t="shared" si="643"/>
        <v>-</v>
      </c>
      <c r="DN87" s="141" t="str">
        <f t="shared" si="713"/>
        <v>-</v>
      </c>
      <c r="DO87" s="107">
        <f t="shared" si="698"/>
        <v>5.3942336202899952</v>
      </c>
      <c r="DP87" s="133">
        <f t="shared" si="725"/>
        <v>3.5296306636135579</v>
      </c>
      <c r="DQ87" s="133">
        <f t="shared" si="726"/>
        <v>0</v>
      </c>
      <c r="DR87" s="133">
        <f t="shared" si="727"/>
        <v>0</v>
      </c>
      <c r="DS87" s="133">
        <f t="shared" si="728"/>
        <v>1.8646029566764373</v>
      </c>
      <c r="DT87" s="107">
        <f t="shared" si="729"/>
        <v>1.8859172433475835</v>
      </c>
      <c r="DU87" s="133">
        <f t="shared" si="730"/>
        <v>2.0446520502738266</v>
      </c>
      <c r="DW87" s="107" t="str">
        <f t="shared" si="769"/>
        <v>-</v>
      </c>
      <c r="DX87" s="107" t="str">
        <f t="shared" si="699"/>
        <v>-</v>
      </c>
      <c r="DZ87" s="107" t="str">
        <f t="shared" si="700"/>
        <v>-</v>
      </c>
      <c r="EA87" s="122" t="str">
        <f t="shared" si="714"/>
        <v>-</v>
      </c>
      <c r="EB87" s="107" t="str">
        <f t="shared" si="701"/>
        <v>-</v>
      </c>
      <c r="EC87" s="122" t="str">
        <f t="shared" si="715"/>
        <v>-</v>
      </c>
      <c r="ED87" s="107">
        <f t="shared" si="731"/>
        <v>3.5292816882603932</v>
      </c>
      <c r="EE87" s="107">
        <f t="shared" si="732"/>
        <v>2.3298436208665341</v>
      </c>
      <c r="EF87" s="107">
        <f t="shared" si="733"/>
        <v>1.5916961163398649</v>
      </c>
      <c r="EH87" s="107" t="str">
        <f t="shared" si="702"/>
        <v>-</v>
      </c>
      <c r="EJ87" s="107">
        <f t="shared" si="734"/>
        <v>3.5292816882603932</v>
      </c>
      <c r="EK87" s="107">
        <f t="shared" si="735"/>
        <v>2.3300209979525235</v>
      </c>
      <c r="EL87" s="107">
        <f t="shared" si="736"/>
        <v>1.8583176886572534</v>
      </c>
      <c r="EM87" s="107" t="str">
        <f t="shared" si="703"/>
        <v>-</v>
      </c>
      <c r="EO87" s="107">
        <f t="shared" si="737"/>
        <v>5.6175439566734697</v>
      </c>
      <c r="EP87" s="107">
        <f t="shared" si="738"/>
        <v>3.5292816882603932</v>
      </c>
      <c r="EQ87" s="107">
        <f t="shared" si="739"/>
        <v>1.5916961163398649</v>
      </c>
      <c r="ER87" s="107">
        <f t="shared" si="740"/>
        <v>1.8859172433475835</v>
      </c>
      <c r="ES87" s="107" t="str">
        <f t="shared" si="654"/>
        <v>-</v>
      </c>
      <c r="EU87" s="107">
        <f t="shared" si="710"/>
        <v>1.8945424180832782</v>
      </c>
      <c r="EV87" s="107">
        <f t="shared" si="741"/>
        <v>3.5292816882603932</v>
      </c>
      <c r="EW87" s="107">
        <f t="shared" si="742"/>
        <v>1.0170032575909294</v>
      </c>
      <c r="EX87" s="107">
        <f t="shared" si="743"/>
        <v>1.9111244003334622</v>
      </c>
      <c r="EY87" s="107" t="str">
        <f t="shared" si="658"/>
        <v>-</v>
      </c>
      <c r="FA87" s="107">
        <f t="shared" si="611"/>
        <v>1.8946360819397012</v>
      </c>
      <c r="FB87" s="107">
        <f t="shared" si="744"/>
        <v>3.5296306636135579</v>
      </c>
      <c r="FC87" s="107">
        <f t="shared" si="745"/>
        <v>1.0170032575909294</v>
      </c>
      <c r="FD87" s="107">
        <f t="shared" si="746"/>
        <v>1.9111244003334622</v>
      </c>
      <c r="FE87" s="107" t="str">
        <f t="shared" si="662"/>
        <v>-</v>
      </c>
      <c r="FF87" s="141" t="str">
        <f t="shared" si="716"/>
        <v>-</v>
      </c>
      <c r="FG87" s="107">
        <f t="shared" si="613"/>
        <v>3.6506815565964832</v>
      </c>
      <c r="FH87" s="133">
        <f t="shared" si="747"/>
        <v>3.5296306636135579</v>
      </c>
      <c r="FI87" s="133">
        <f t="shared" si="748"/>
        <v>1.0342956259505622</v>
      </c>
      <c r="FJ87" s="107">
        <f t="shared" si="749"/>
        <v>1.0747042278871302</v>
      </c>
      <c r="FK87" s="107" t="str">
        <f t="shared" si="666"/>
        <v>-</v>
      </c>
      <c r="FL87" s="141" t="str">
        <f t="shared" si="717"/>
        <v>-</v>
      </c>
      <c r="FM87" s="107">
        <f t="shared" si="615"/>
        <v>5.7312082247210734</v>
      </c>
      <c r="FN87" s="133">
        <f t="shared" si="750"/>
        <v>3.5296306636135579</v>
      </c>
      <c r="FO87" s="133">
        <f t="shared" si="751"/>
        <v>0.8369746044310783</v>
      </c>
      <c r="FP87" s="133">
        <f t="shared" si="752"/>
        <v>1.8646029566764373</v>
      </c>
      <c r="FQ87" s="107">
        <f t="shared" si="753"/>
        <v>1.8859172433475835</v>
      </c>
      <c r="FR87" s="107" t="str">
        <f t="shared" si="671"/>
        <v>-</v>
      </c>
      <c r="FS87" s="141" t="str">
        <f t="shared" si="718"/>
        <v>-</v>
      </c>
      <c r="FT87" s="107">
        <f t="shared" si="617"/>
        <v>6.5813597713496552</v>
      </c>
      <c r="FU87" s="133">
        <f t="shared" si="754"/>
        <v>3.5296306636135579</v>
      </c>
      <c r="FV87" s="133">
        <f t="shared" si="755"/>
        <v>1.8646029566764373</v>
      </c>
      <c r="FW87" s="107">
        <f t="shared" si="756"/>
        <v>1.8859172433475835</v>
      </c>
      <c r="FY87">
        <v>0.95</v>
      </c>
      <c r="FZ87" s="62" t="str">
        <f t="shared" si="711"/>
        <v>-</v>
      </c>
      <c r="GA87" s="62">
        <f t="shared" si="712"/>
        <v>1.9561519910898788</v>
      </c>
      <c r="GB87" s="107" t="str">
        <f t="shared" ref="GB87:GB176" si="798">IF(SeilBeregnet=0,"-",GB$7*(((SeilBeregnet*StHfaktor)/(Depl+DeplTillegg/1000+Vann/1000+Diesel/1000*0.84))^(1/3)/Bredde)^(1/GB$5)*Lwl^(1/GB$4)*Skrogfaktor*PropF*(Mast+1)+ErfaringsF)</f>
        <v>-</v>
      </c>
      <c r="GC87" s="441" t="s">
        <v>451</v>
      </c>
      <c r="GD87" s="57" t="s">
        <v>510</v>
      </c>
      <c r="GE87" s="436" t="s">
        <v>513</v>
      </c>
      <c r="GF87" s="464" t="s">
        <v>514</v>
      </c>
      <c r="GG87" s="436" t="s">
        <v>511</v>
      </c>
      <c r="GH87" s="57" t="s">
        <v>512</v>
      </c>
      <c r="GI87" s="57" t="s">
        <v>416</v>
      </c>
      <c r="GJ87" s="57" t="s">
        <v>522</v>
      </c>
      <c r="GL87" s="599" t="s">
        <v>515</v>
      </c>
      <c r="GM87" s="436" t="s">
        <v>478</v>
      </c>
      <c r="GN87" s="58" t="s">
        <v>478</v>
      </c>
      <c r="GO87" s="58" t="s">
        <v>478</v>
      </c>
      <c r="GP87" s="58" t="s">
        <v>478</v>
      </c>
      <c r="GQ87" s="58" t="s">
        <v>478</v>
      </c>
      <c r="GS87" s="57" t="s">
        <v>470</v>
      </c>
      <c r="GT87" s="57" t="s">
        <v>516</v>
      </c>
      <c r="GU87" s="57" t="s">
        <v>585</v>
      </c>
      <c r="GV87" s="632" t="s">
        <v>517</v>
      </c>
      <c r="GW87" s="57">
        <v>1989</v>
      </c>
      <c r="GX87" s="57" t="s">
        <v>431</v>
      </c>
      <c r="GY87" s="57" t="s">
        <v>438</v>
      </c>
      <c r="GZ87" s="57" t="s">
        <v>478</v>
      </c>
    </row>
    <row r="88" spans="1:208" ht="15.6" x14ac:dyDescent="0.3">
      <c r="A88" s="60" t="s">
        <v>28</v>
      </c>
      <c r="B88" s="218"/>
      <c r="C88" s="61" t="str">
        <f>C87</f>
        <v>Gaffel</v>
      </c>
      <c r="D88" s="61"/>
      <c r="E88" s="61"/>
      <c r="F88" s="61"/>
      <c r="G88" s="54"/>
      <c r="H88" s="204">
        <f>TBFavrundet</f>
        <v>108.5</v>
      </c>
      <c r="I88" s="63">
        <f>COUNTA(O88:AG88)</f>
        <v>4</v>
      </c>
      <c r="J88" s="222">
        <f>SUM(O88:AG88)</f>
        <v>71.400000000000006</v>
      </c>
      <c r="K88" s="116">
        <f>Seilareal/Depl^0.667/K$7</f>
        <v>1.4637903097353024</v>
      </c>
      <c r="L88" s="116">
        <f>Seilareal/Lwl/Lwl/L$7</f>
        <v>1.5244740508064372</v>
      </c>
      <c r="M88" s="92">
        <f>RiggF</f>
        <v>0.74789915966386555</v>
      </c>
      <c r="N88" s="242">
        <f>StHfaktor</f>
        <v>1.0102972943774455</v>
      </c>
      <c r="O88" s="143"/>
      <c r="P88" s="143"/>
      <c r="Q88" s="143"/>
      <c r="R88" s="143">
        <v>15.4</v>
      </c>
      <c r="S88" s="143"/>
      <c r="T88" s="143"/>
      <c r="U88" s="165">
        <v>11.2</v>
      </c>
      <c r="V88" s="559"/>
      <c r="W88" s="559"/>
      <c r="X88" s="165">
        <v>36.200000000000003</v>
      </c>
      <c r="Y88" s="143"/>
      <c r="Z88" s="143"/>
      <c r="AA88" s="165">
        <v>8.6</v>
      </c>
      <c r="AB88" s="143"/>
      <c r="AC88" s="143"/>
      <c r="AD88" s="143"/>
      <c r="AE88" s="143"/>
      <c r="AF88" s="143"/>
      <c r="AG88" s="551"/>
      <c r="AH88" s="557"/>
      <c r="AI88" s="557">
        <f>AI87</f>
        <v>9.15</v>
      </c>
      <c r="AJ88" s="337">
        <f t="shared" ref="AJ88:AL90" si="799" xml:space="preserve"> AJ87</f>
        <v>0</v>
      </c>
      <c r="AK88" s="339"/>
      <c r="AL88" s="337">
        <f t="shared" si="799"/>
        <v>0</v>
      </c>
      <c r="AM88" s="339"/>
      <c r="AN88" s="267" t="str">
        <f t="shared" ref="AN88" si="800" xml:space="preserve"> AN87</f>
        <v>Los</v>
      </c>
      <c r="AO88" s="45">
        <f>VLOOKUP(AN88,Skrogform!$1:$1048576,3,FALSE)</f>
        <v>0.97</v>
      </c>
      <c r="AP88" s="64">
        <f>AP87</f>
        <v>9.8000000000000007</v>
      </c>
      <c r="AQ88" s="64">
        <f t="shared" ref="AQ88:AZ88" si="801">AQ87</f>
        <v>8.43</v>
      </c>
      <c r="AR88" s="64">
        <f t="shared" si="801"/>
        <v>3.38</v>
      </c>
      <c r="AS88" s="64">
        <f t="shared" si="801"/>
        <v>1.5</v>
      </c>
      <c r="AT88" s="64">
        <f t="shared" ref="AT88" si="802">AT87</f>
        <v>9.6</v>
      </c>
      <c r="AU88" s="64">
        <f t="shared" si="801"/>
        <v>9.6</v>
      </c>
      <c r="AV88" s="64">
        <f t="shared" si="801"/>
        <v>2</v>
      </c>
      <c r="AW88" s="64">
        <f t="shared" si="801"/>
        <v>0.5</v>
      </c>
      <c r="AX88" s="256">
        <f>AX87</f>
        <v>0</v>
      </c>
      <c r="AY88" s="256">
        <f t="shared" si="801"/>
        <v>16</v>
      </c>
      <c r="AZ88" s="256">
        <f t="shared" si="801"/>
        <v>300</v>
      </c>
      <c r="BA88" s="256">
        <f t="shared" ref="BA88:BB88" si="803">BA87</f>
        <v>0</v>
      </c>
      <c r="BB88" s="256">
        <f t="shared" si="803"/>
        <v>0</v>
      </c>
      <c r="BC88" s="256"/>
      <c r="BD88" s="66"/>
      <c r="BE88" s="66"/>
      <c r="BF88" s="261"/>
      <c r="BG88" s="66"/>
      <c r="BH88" s="175"/>
      <c r="BI88" s="66"/>
      <c r="BJ88" s="66"/>
      <c r="BK88" s="65" t="str">
        <f t="shared" ref="BK88:BM88" si="804" xml:space="preserve"> BK87</f>
        <v>Fast</v>
      </c>
      <c r="BL88" s="267">
        <f t="shared" si="804"/>
        <v>2</v>
      </c>
      <c r="BM88" s="267">
        <f t="shared" si="804"/>
        <v>59</v>
      </c>
      <c r="BN88" s="45">
        <f t="shared" si="788"/>
        <v>0.98106311768326038</v>
      </c>
      <c r="BO88" s="59"/>
      <c r="BP88" s="59"/>
      <c r="BR88" s="49">
        <f t="shared" ref="BR88:BX90" si="805">IF(O88=0,0,O88*BR$9)</f>
        <v>0</v>
      </c>
      <c r="BS88" s="49">
        <f t="shared" si="805"/>
        <v>0</v>
      </c>
      <c r="BT88" s="49">
        <f t="shared" si="805"/>
        <v>0</v>
      </c>
      <c r="BU88" s="49">
        <f t="shared" si="805"/>
        <v>15.4</v>
      </c>
      <c r="BV88" s="49">
        <f t="shared" si="805"/>
        <v>0</v>
      </c>
      <c r="BW88" s="49">
        <f t="shared" si="805"/>
        <v>0</v>
      </c>
      <c r="BX88" s="49">
        <f t="shared" si="805"/>
        <v>11.2</v>
      </c>
      <c r="BY88" s="549">
        <f>IF(COUNT(Q88:U88)&gt;1,MINA(Q88:U88)*BY$9,0)</f>
        <v>-5.6</v>
      </c>
      <c r="BZ88" s="85">
        <f t="shared" ref="BZ88:CD90" si="806">IF(V88=0,0,V88*BZ$9)</f>
        <v>0</v>
      </c>
      <c r="CA88" s="85">
        <f t="shared" si="806"/>
        <v>0</v>
      </c>
      <c r="CB88" s="85">
        <f t="shared" si="806"/>
        <v>28.960000000000004</v>
      </c>
      <c r="CC88" s="85">
        <f t="shared" si="806"/>
        <v>0</v>
      </c>
      <c r="CD88" s="85">
        <f t="shared" si="806"/>
        <v>0</v>
      </c>
      <c r="CE88" s="85">
        <f>IF(AC88=0,0,AC88*CE$9)</f>
        <v>0</v>
      </c>
      <c r="CF88" s="85">
        <f t="shared" ref="CF88:CG90" si="807">IF(AA88=0,0,AA88*CF$9)</f>
        <v>3.44</v>
      </c>
      <c r="CG88" s="85">
        <f t="shared" si="807"/>
        <v>0</v>
      </c>
      <c r="CH88" s="85">
        <f t="shared" ref="CH88:CK90" si="808">IF(AD88=0,0,AD88*CH$9)</f>
        <v>0</v>
      </c>
      <c r="CI88" s="85">
        <f t="shared" si="808"/>
        <v>0</v>
      </c>
      <c r="CJ88" s="85">
        <f t="shared" si="808"/>
        <v>0</v>
      </c>
      <c r="CK88" s="85">
        <f t="shared" si="808"/>
        <v>0</v>
      </c>
      <c r="CL88" s="100">
        <f>SUM(BR88:CK88)</f>
        <v>53.400000000000006</v>
      </c>
      <c r="CM88" s="50"/>
      <c r="CN88" s="104">
        <f>J88</f>
        <v>71.400000000000006</v>
      </c>
      <c r="CO88" s="101">
        <f>CL88/CN88</f>
        <v>0.74789915966386555</v>
      </c>
      <c r="CP88" s="51">
        <f>Seilareal/Lwl/Lwl</f>
        <v>1.0047154080284362</v>
      </c>
      <c r="CQ88" s="116">
        <f>Seilareal/Depl^0.667/K$7</f>
        <v>1.4637903097353024</v>
      </c>
      <c r="CR88" s="51">
        <f>Seilareal/Lwl/Lwl/SApRS1</f>
        <v>1.5244740508064372</v>
      </c>
      <c r="CS88" s="204"/>
      <c r="CT88" s="204">
        <f>(ROUND(TBF/CT$6,3)*CT$6)*CT$4</f>
        <v>108.5</v>
      </c>
      <c r="CU88" s="107">
        <f t="shared" si="36"/>
        <v>1.0857989787861761</v>
      </c>
      <c r="CV88" s="62">
        <f t="shared" si="789"/>
        <v>3.449936699256825</v>
      </c>
      <c r="CW88" s="62">
        <f t="shared" si="14"/>
        <v>1.6421770800160918</v>
      </c>
      <c r="CX88" s="62">
        <f t="shared" si="790"/>
        <v>1.703950183600329</v>
      </c>
      <c r="CY88" s="107">
        <f t="shared" si="16"/>
        <v>1.0102972943774455</v>
      </c>
      <c r="CZ88" s="168" t="str">
        <f t="shared" si="693"/>
        <v>-</v>
      </c>
      <c r="DA88" s="159">
        <f>DA87</f>
        <v>0</v>
      </c>
      <c r="DB88" s="168">
        <f t="shared" si="694"/>
        <v>1.06</v>
      </c>
      <c r="DC88" s="159">
        <f>DC87</f>
        <v>1.1399999999999999</v>
      </c>
      <c r="DD88" s="190" t="s">
        <v>134</v>
      </c>
      <c r="DE88" s="62">
        <v>0.81</v>
      </c>
      <c r="DF88" s="62">
        <v>0.83</v>
      </c>
      <c r="DG88" s="62">
        <v>0.87</v>
      </c>
      <c r="DH88" s="62">
        <v>0.9</v>
      </c>
      <c r="DI88" s="62">
        <f t="shared" si="695"/>
        <v>2.0345097893118802</v>
      </c>
      <c r="DJ88" s="47">
        <f t="shared" si="696"/>
        <v>11.7096018735363</v>
      </c>
      <c r="DK88" s="48">
        <f t="shared" si="697"/>
        <v>0</v>
      </c>
      <c r="DM88" s="107">
        <f t="shared" si="643"/>
        <v>1.0657432641417475</v>
      </c>
      <c r="DN88" s="141">
        <f t="shared" si="713"/>
        <v>-5.3637126359464826</v>
      </c>
      <c r="DO88" s="107">
        <f t="shared" si="698"/>
        <v>5.1413488029018657</v>
      </c>
      <c r="DP88" s="133">
        <f t="shared" si="725"/>
        <v>3.4385839089650458</v>
      </c>
      <c r="DQ88" s="133">
        <f t="shared" si="726"/>
        <v>0</v>
      </c>
      <c r="DR88" s="133">
        <f t="shared" si="727"/>
        <v>0</v>
      </c>
      <c r="DS88" s="133">
        <f t="shared" si="728"/>
        <v>1.7027648939368196</v>
      </c>
      <c r="DT88" s="107">
        <f t="shared" si="729"/>
        <v>1.703950183600329</v>
      </c>
      <c r="DU88" s="133">
        <f t="shared" si="730"/>
        <v>1.9561519910898788</v>
      </c>
      <c r="DW88" s="107">
        <f t="shared" si="769"/>
        <v>1.1193803905012123</v>
      </c>
      <c r="DX88" s="107">
        <f t="shared" si="699"/>
        <v>1.1007179985429081</v>
      </c>
      <c r="DY88" s="122">
        <f>DX88-DW88</f>
        <v>-1.8662391958304214E-2</v>
      </c>
      <c r="DZ88" s="107">
        <f t="shared" si="700"/>
        <v>1.0785128960999872</v>
      </c>
      <c r="EA88" s="122">
        <f t="shared" si="714"/>
        <v>-4.0867494401225057E-2</v>
      </c>
      <c r="EB88" s="107">
        <f t="shared" si="701"/>
        <v>1.0932256455005795</v>
      </c>
      <c r="EC88" s="122">
        <f t="shared" si="715"/>
        <v>-2.6154745000632751E-2</v>
      </c>
      <c r="ED88" s="107">
        <f t="shared" si="731"/>
        <v>3.4383505990146239</v>
      </c>
      <c r="EE88" s="107">
        <f t="shared" si="732"/>
        <v>2.0350652130627531</v>
      </c>
      <c r="EF88" s="107">
        <f t="shared" si="733"/>
        <v>1.5239386793362142</v>
      </c>
      <c r="EH88" s="107">
        <f t="shared" si="702"/>
        <v>1.0863448990219342</v>
      </c>
      <c r="EJ88" s="107">
        <f t="shared" si="734"/>
        <v>3.4383505990146239</v>
      </c>
      <c r="EK88" s="107">
        <f t="shared" si="735"/>
        <v>2.0351953675882153</v>
      </c>
      <c r="EL88" s="107">
        <f t="shared" si="736"/>
        <v>1.7536069598143333</v>
      </c>
      <c r="EM88" s="107">
        <f t="shared" si="703"/>
        <v>1.0787285615664992</v>
      </c>
      <c r="EO88" s="107">
        <f t="shared" si="737"/>
        <v>5.2398354709572272</v>
      </c>
      <c r="EP88" s="107">
        <f t="shared" si="738"/>
        <v>3.4383505990146239</v>
      </c>
      <c r="EQ88" s="107">
        <f t="shared" si="739"/>
        <v>1.5239386793362142</v>
      </c>
      <c r="ER88" s="107">
        <f t="shared" si="740"/>
        <v>1.703950183600329</v>
      </c>
      <c r="ES88" s="107">
        <f t="shared" si="654"/>
        <v>1.0823876338864287</v>
      </c>
      <c r="EU88" s="107">
        <f t="shared" si="710"/>
        <v>1.8297422609627672</v>
      </c>
      <c r="EV88" s="107">
        <f t="shared" si="741"/>
        <v>3.4383505990146239</v>
      </c>
      <c r="EW88" s="107">
        <f t="shared" si="742"/>
        <v>0.97371011045604539</v>
      </c>
      <c r="EX88" s="107">
        <f t="shared" si="743"/>
        <v>1.7243497072538914</v>
      </c>
      <c r="EY88" s="107">
        <f t="shared" si="658"/>
        <v>1.0408572449269791</v>
      </c>
      <c r="FA88" s="107">
        <f t="shared" si="611"/>
        <v>1.8298043386686826</v>
      </c>
      <c r="FB88" s="107">
        <f t="shared" si="744"/>
        <v>3.4385839089650458</v>
      </c>
      <c r="FC88" s="107">
        <f t="shared" si="745"/>
        <v>0.97371011045604539</v>
      </c>
      <c r="FD88" s="107">
        <f t="shared" si="746"/>
        <v>1.7243497072538914</v>
      </c>
      <c r="FE88" s="107">
        <f t="shared" si="662"/>
        <v>1.0508496642744034</v>
      </c>
      <c r="FF88" s="141">
        <f t="shared" si="716"/>
        <v>-6.8530726226808891</v>
      </c>
      <c r="FG88" s="107">
        <f t="shared" si="613"/>
        <v>3.260160532438646</v>
      </c>
      <c r="FH88" s="133">
        <f t="shared" si="747"/>
        <v>3.4385839089650458</v>
      </c>
      <c r="FI88" s="133">
        <f t="shared" si="748"/>
        <v>0.9481113792043242</v>
      </c>
      <c r="FJ88" s="107">
        <f t="shared" si="749"/>
        <v>0.9696730994687438</v>
      </c>
      <c r="FK88" s="107">
        <f t="shared" si="666"/>
        <v>1.0957469463410592</v>
      </c>
      <c r="FL88" s="141">
        <f t="shared" si="717"/>
        <v>-2.3633444160153116</v>
      </c>
      <c r="FM88" s="107">
        <f t="shared" si="615"/>
        <v>5.5081970072408986</v>
      </c>
      <c r="FN88" s="133">
        <f t="shared" si="750"/>
        <v>3.4385839089650458</v>
      </c>
      <c r="FO88" s="133">
        <f t="shared" si="751"/>
        <v>0.86684820433903265</v>
      </c>
      <c r="FP88" s="133">
        <f t="shared" si="752"/>
        <v>1.7027648939368196</v>
      </c>
      <c r="FQ88" s="107">
        <f t="shared" si="753"/>
        <v>1.703950183600329</v>
      </c>
      <c r="FR88" s="107">
        <f t="shared" si="671"/>
        <v>1.0543743946432218</v>
      </c>
      <c r="FS88" s="141">
        <f t="shared" si="718"/>
        <v>-6.5005995857990495</v>
      </c>
      <c r="FT88" s="107">
        <f t="shared" si="617"/>
        <v>5.8550999650417213</v>
      </c>
      <c r="FU88" s="133">
        <f t="shared" si="754"/>
        <v>3.4385839089650458</v>
      </c>
      <c r="FV88" s="133">
        <f t="shared" si="755"/>
        <v>1.7027648939368196</v>
      </c>
      <c r="FW88" s="107">
        <f t="shared" si="756"/>
        <v>1.703950183600329</v>
      </c>
      <c r="FY88">
        <v>0.95</v>
      </c>
      <c r="FZ88" s="62">
        <f t="shared" si="711"/>
        <v>1.0745446674103891</v>
      </c>
      <c r="GA88" s="62">
        <f t="shared" si="712"/>
        <v>1.9561519910898788</v>
      </c>
      <c r="GB88" s="107">
        <f t="shared" si="798"/>
        <v>1.2641202004147771</v>
      </c>
      <c r="GC88" s="440"/>
      <c r="GD88" s="17"/>
      <c r="GE88" s="442"/>
      <c r="GF88" s="462"/>
      <c r="GG88" s="17"/>
      <c r="GH88" s="17"/>
      <c r="GI88" s="17"/>
      <c r="GJ88" s="17"/>
      <c r="GL88" s="17"/>
      <c r="GM88" s="442"/>
      <c r="GN88" s="8"/>
      <c r="GO88" s="8"/>
      <c r="GP88" s="8"/>
      <c r="GQ88" s="8"/>
      <c r="GS88" s="17"/>
      <c r="GT88" s="17"/>
      <c r="GU88" s="17"/>
      <c r="GV88" s="629"/>
      <c r="GW88" s="17"/>
      <c r="GX88" s="17"/>
      <c r="GY88" s="17"/>
      <c r="GZ88" s="17"/>
    </row>
    <row r="89" spans="1:208" ht="15.6" x14ac:dyDescent="0.3">
      <c r="A89" s="60" t="s">
        <v>29</v>
      </c>
      <c r="B89" s="218"/>
      <c r="C89" s="14" t="str">
        <f>C87</f>
        <v>Gaffel</v>
      </c>
      <c r="G89" s="54"/>
      <c r="H89" s="204">
        <f>TBFavrundet</f>
        <v>106</v>
      </c>
      <c r="I89" s="63">
        <f>COUNTA(O89:AG89)</f>
        <v>3</v>
      </c>
      <c r="J89" s="222">
        <f>SUM(O89:AG89)</f>
        <v>62.800000000000004</v>
      </c>
      <c r="K89" s="116">
        <f>Seilareal/Depl^0.667/K$7</f>
        <v>1.2874794320921148</v>
      </c>
      <c r="L89" s="116">
        <f>Seilareal/Lwl/Lwl/L$7</f>
        <v>1.3408539270398354</v>
      </c>
      <c r="M89" s="92">
        <f>RiggF</f>
        <v>0.7955414012738854</v>
      </c>
      <c r="N89" s="242">
        <f>StHfaktor</f>
        <v>1.0102972943774455</v>
      </c>
      <c r="O89" s="143"/>
      <c r="P89" s="143"/>
      <c r="Q89" s="143"/>
      <c r="R89" s="143">
        <v>15.4</v>
      </c>
      <c r="S89" s="143"/>
      <c r="T89" s="143"/>
      <c r="U89" s="165">
        <v>11.2</v>
      </c>
      <c r="V89" s="559"/>
      <c r="W89" s="559"/>
      <c r="X89" s="165">
        <v>36.200000000000003</v>
      </c>
      <c r="Y89" s="143"/>
      <c r="Z89" s="143"/>
      <c r="AA89" s="143"/>
      <c r="AB89" s="143"/>
      <c r="AC89" s="143"/>
      <c r="AD89" s="143"/>
      <c r="AE89" s="143"/>
      <c r="AF89" s="143"/>
      <c r="AG89" s="551"/>
      <c r="AH89" s="557"/>
      <c r="AI89" s="557">
        <f t="shared" ref="AI89" si="809">AI88</f>
        <v>9.15</v>
      </c>
      <c r="AJ89" s="337">
        <f t="shared" si="799"/>
        <v>0</v>
      </c>
      <c r="AK89" s="339"/>
      <c r="AL89" s="337">
        <f t="shared" si="799"/>
        <v>0</v>
      </c>
      <c r="AM89" s="339"/>
      <c r="AN89" s="267" t="str">
        <f t="shared" ref="AN89" si="810" xml:space="preserve"> AN88</f>
        <v>Los</v>
      </c>
      <c r="AO89" s="45">
        <f>VLOOKUP(AN89,Skrogform!$1:$1048576,3,FALSE)</f>
        <v>0.97</v>
      </c>
      <c r="AP89" s="64">
        <f t="shared" ref="AP89:AZ89" si="811">AP88</f>
        <v>9.8000000000000007</v>
      </c>
      <c r="AQ89" s="64">
        <f t="shared" si="811"/>
        <v>8.43</v>
      </c>
      <c r="AR89" s="64">
        <f t="shared" si="811"/>
        <v>3.38</v>
      </c>
      <c r="AS89" s="64">
        <f t="shared" si="811"/>
        <v>1.5</v>
      </c>
      <c r="AT89" s="64">
        <f t="shared" ref="AT89" si="812">AT88</f>
        <v>9.6</v>
      </c>
      <c r="AU89" s="64">
        <f t="shared" si="811"/>
        <v>9.6</v>
      </c>
      <c r="AV89" s="64">
        <f t="shared" si="811"/>
        <v>2</v>
      </c>
      <c r="AW89" s="64">
        <f t="shared" si="811"/>
        <v>0.5</v>
      </c>
      <c r="AX89" s="256">
        <f>AX88</f>
        <v>0</v>
      </c>
      <c r="AY89" s="256">
        <f t="shared" si="811"/>
        <v>16</v>
      </c>
      <c r="AZ89" s="256">
        <f t="shared" si="811"/>
        <v>300</v>
      </c>
      <c r="BA89" s="256">
        <f t="shared" ref="BA89:BB89" si="813">BA88</f>
        <v>0</v>
      </c>
      <c r="BB89" s="256">
        <f t="shared" si="813"/>
        <v>0</v>
      </c>
      <c r="BC89" s="256"/>
      <c r="BD89" s="66"/>
      <c r="BE89" s="66"/>
      <c r="BF89" s="261"/>
      <c r="BG89" s="66"/>
      <c r="BH89" s="175"/>
      <c r="BI89" s="66"/>
      <c r="BJ89" s="66"/>
      <c r="BK89" s="65" t="str">
        <f t="shared" ref="BK89:BM89" si="814" xml:space="preserve"> BK88</f>
        <v>Fast</v>
      </c>
      <c r="BL89" s="267">
        <f t="shared" si="814"/>
        <v>2</v>
      </c>
      <c r="BM89" s="267">
        <f t="shared" si="814"/>
        <v>59</v>
      </c>
      <c r="BN89" s="45">
        <f t="shared" si="788"/>
        <v>0.98106311768326038</v>
      </c>
      <c r="BO89" s="59"/>
      <c r="BP89" s="59"/>
      <c r="BR89" s="49">
        <f t="shared" si="805"/>
        <v>0</v>
      </c>
      <c r="BS89" s="49">
        <f t="shared" si="805"/>
        <v>0</v>
      </c>
      <c r="BT89" s="49">
        <f t="shared" si="805"/>
        <v>0</v>
      </c>
      <c r="BU89" s="49">
        <f t="shared" si="805"/>
        <v>15.4</v>
      </c>
      <c r="BV89" s="49">
        <f t="shared" si="805"/>
        <v>0</v>
      </c>
      <c r="BW89" s="49">
        <f t="shared" si="805"/>
        <v>0</v>
      </c>
      <c r="BX89" s="49">
        <f t="shared" si="805"/>
        <v>11.2</v>
      </c>
      <c r="BY89" s="549">
        <f>IF(COUNT(Q89:U89)&gt;1,MINA(Q89:U89)*BY$9,0)</f>
        <v>-5.6</v>
      </c>
      <c r="BZ89" s="85">
        <f t="shared" si="806"/>
        <v>0</v>
      </c>
      <c r="CA89" s="85">
        <f t="shared" si="806"/>
        <v>0</v>
      </c>
      <c r="CB89" s="85">
        <f t="shared" si="806"/>
        <v>28.960000000000004</v>
      </c>
      <c r="CC89" s="85">
        <f t="shared" si="806"/>
        <v>0</v>
      </c>
      <c r="CD89" s="85">
        <f t="shared" si="806"/>
        <v>0</v>
      </c>
      <c r="CE89" s="85">
        <f>IF(AC89=0,0,AC89*CE$9)</f>
        <v>0</v>
      </c>
      <c r="CF89" s="85">
        <f t="shared" si="807"/>
        <v>0</v>
      </c>
      <c r="CG89" s="85">
        <f t="shared" si="807"/>
        <v>0</v>
      </c>
      <c r="CH89" s="85">
        <f t="shared" si="808"/>
        <v>0</v>
      </c>
      <c r="CI89" s="85">
        <f t="shared" si="808"/>
        <v>0</v>
      </c>
      <c r="CJ89" s="85">
        <f t="shared" si="808"/>
        <v>0</v>
      </c>
      <c r="CK89" s="85">
        <f t="shared" si="808"/>
        <v>0</v>
      </c>
      <c r="CL89" s="100">
        <f>SUM(BR89:CK89)</f>
        <v>49.960000000000008</v>
      </c>
      <c r="CM89" s="50"/>
      <c r="CN89" s="104">
        <f>J89</f>
        <v>62.800000000000004</v>
      </c>
      <c r="CO89" s="101">
        <f>CL89/CN89</f>
        <v>0.7955414012738854</v>
      </c>
      <c r="CP89" s="51">
        <f>Seilareal/Lwl/Lwl</f>
        <v>0.88369926644517915</v>
      </c>
      <c r="CQ89" s="116">
        <f>Seilareal/Depl^0.667/K$7</f>
        <v>1.2874794320921148</v>
      </c>
      <c r="CR89" s="51">
        <f>Seilareal/Lwl/Lwl/SApRS1</f>
        <v>1.3408539270398354</v>
      </c>
      <c r="CS89" s="204"/>
      <c r="CT89" s="204">
        <f>(ROUND(TBF/CT$6,3)*CT$6)*CT$4</f>
        <v>106</v>
      </c>
      <c r="CU89" s="107">
        <f t="shared" si="36"/>
        <v>1.0617099561727779</v>
      </c>
      <c r="CV89" s="62">
        <f t="shared" si="789"/>
        <v>3.3369654712713022</v>
      </c>
      <c r="CW89" s="62">
        <f t="shared" si="14"/>
        <v>1.6421770800160918</v>
      </c>
      <c r="CX89" s="62">
        <f t="shared" si="790"/>
        <v>1.703950183600329</v>
      </c>
      <c r="CY89" s="107">
        <f t="shared" si="16"/>
        <v>1.0102972943774455</v>
      </c>
      <c r="CZ89" s="168" t="str">
        <f t="shared" si="693"/>
        <v>-</v>
      </c>
      <c r="DA89" s="158"/>
      <c r="DB89" s="168" t="str">
        <f t="shared" si="694"/>
        <v>-</v>
      </c>
      <c r="DC89" s="160"/>
      <c r="DD89" s="190" t="s">
        <v>134</v>
      </c>
      <c r="DE89" s="62">
        <v>0.78</v>
      </c>
      <c r="DF89" s="62">
        <v>0.82</v>
      </c>
      <c r="DG89" s="62">
        <v>0.84</v>
      </c>
      <c r="DH89" s="150">
        <v>0.88</v>
      </c>
      <c r="DI89" s="62">
        <f t="shared" si="695"/>
        <v>2.0345097893118802</v>
      </c>
      <c r="DJ89" s="47">
        <f t="shared" si="696"/>
        <v>11.7096018735363</v>
      </c>
      <c r="DK89" s="48">
        <f t="shared" si="697"/>
        <v>0</v>
      </c>
      <c r="DM89" s="107">
        <f t="shared" si="643"/>
        <v>1.0424026715888111</v>
      </c>
      <c r="DN89" s="141" t="str">
        <f t="shared" si="713"/>
        <v>-</v>
      </c>
      <c r="DO89" s="107">
        <f t="shared" si="698"/>
        <v>5.0287493320736845</v>
      </c>
      <c r="DP89" s="133">
        <f t="shared" si="725"/>
        <v>3.3259844381368646</v>
      </c>
      <c r="DQ89" s="133">
        <f t="shared" si="726"/>
        <v>0</v>
      </c>
      <c r="DR89" s="133">
        <f t="shared" si="727"/>
        <v>0</v>
      </c>
      <c r="DS89" s="133">
        <f t="shared" si="728"/>
        <v>1.7027648939368196</v>
      </c>
      <c r="DT89" s="107">
        <f t="shared" si="729"/>
        <v>1.703950183600329</v>
      </c>
      <c r="DU89" s="133">
        <f t="shared" si="730"/>
        <v>1.9561519910898788</v>
      </c>
      <c r="DW89" s="107">
        <f t="shared" si="769"/>
        <v>1.0945463465698744</v>
      </c>
      <c r="DX89" s="107">
        <f t="shared" si="699"/>
        <v>1.0726726127834567</v>
      </c>
      <c r="DZ89" s="107">
        <f t="shared" si="700"/>
        <v>1.0567375564283359</v>
      </c>
      <c r="EA89" s="122" t="str">
        <f t="shared" si="714"/>
        <v>-</v>
      </c>
      <c r="EB89" s="107">
        <f t="shared" si="701"/>
        <v>1.066592124870082</v>
      </c>
      <c r="EC89" s="122" t="str">
        <f t="shared" si="715"/>
        <v>-</v>
      </c>
      <c r="ED89" s="107">
        <f t="shared" si="731"/>
        <v>3.3257587681270846</v>
      </c>
      <c r="EE89" s="107">
        <f t="shared" si="732"/>
        <v>2.0350652130627531</v>
      </c>
      <c r="EF89" s="107">
        <f t="shared" si="733"/>
        <v>1.5239386793362142</v>
      </c>
      <c r="EH89" s="107">
        <f t="shared" si="702"/>
        <v>1.0626038029841001</v>
      </c>
      <c r="EJ89" s="107">
        <f t="shared" si="734"/>
        <v>3.3257587681270846</v>
      </c>
      <c r="EK89" s="107">
        <f t="shared" si="735"/>
        <v>2.0351953675882153</v>
      </c>
      <c r="EL89" s="107">
        <f t="shared" si="736"/>
        <v>1.7536069598143333</v>
      </c>
      <c r="EM89" s="107">
        <f t="shared" si="703"/>
        <v>1.0531628517910021</v>
      </c>
      <c r="EO89" s="107">
        <f t="shared" si="737"/>
        <v>5.0682524248904235</v>
      </c>
      <c r="EP89" s="107">
        <f t="shared" si="738"/>
        <v>3.3257587681270846</v>
      </c>
      <c r="EQ89" s="107">
        <f t="shared" si="739"/>
        <v>1.5239386793362142</v>
      </c>
      <c r="ER89" s="107">
        <f t="shared" si="740"/>
        <v>1.703950183600329</v>
      </c>
      <c r="ES89" s="107">
        <f t="shared" si="654"/>
        <v>1.0577991468874117</v>
      </c>
      <c r="EU89" s="107">
        <f t="shared" si="710"/>
        <v>1.799534644696563</v>
      </c>
      <c r="EV89" s="107">
        <f t="shared" si="741"/>
        <v>3.3257587681270846</v>
      </c>
      <c r="EW89" s="107">
        <f t="shared" si="742"/>
        <v>0.97371011045604539</v>
      </c>
      <c r="EX89" s="107">
        <f t="shared" si="743"/>
        <v>1.7243497072538914</v>
      </c>
      <c r="EY89" s="107">
        <f t="shared" si="658"/>
        <v>1.0236735044005354</v>
      </c>
      <c r="FA89" s="107">
        <f t="shared" si="611"/>
        <v>1.7995956975480172</v>
      </c>
      <c r="FB89" s="107">
        <f t="shared" si="744"/>
        <v>3.3259844381368646</v>
      </c>
      <c r="FC89" s="107">
        <f t="shared" si="745"/>
        <v>0.97371011045604539</v>
      </c>
      <c r="FD89" s="107">
        <f t="shared" si="746"/>
        <v>1.7243497072538914</v>
      </c>
      <c r="FE89" s="107">
        <f t="shared" si="662"/>
        <v>1.0295222944451696</v>
      </c>
      <c r="FF89" s="141" t="str">
        <f t="shared" si="716"/>
        <v>-</v>
      </c>
      <c r="FG89" s="107">
        <f t="shared" si="613"/>
        <v>3.1534036928540621</v>
      </c>
      <c r="FH89" s="133">
        <f t="shared" si="747"/>
        <v>3.3259844381368646</v>
      </c>
      <c r="FI89" s="133">
        <f t="shared" si="748"/>
        <v>0.9481113792043242</v>
      </c>
      <c r="FJ89" s="107">
        <f t="shared" si="749"/>
        <v>0.9696730994687438</v>
      </c>
      <c r="FK89" s="107">
        <f t="shared" si="666"/>
        <v>1.0677007304437387</v>
      </c>
      <c r="FL89" s="141" t="str">
        <f t="shared" si="717"/>
        <v>-</v>
      </c>
      <c r="FM89" s="107">
        <f t="shared" si="615"/>
        <v>5.3672118254104486</v>
      </c>
      <c r="FN89" s="133">
        <f t="shared" si="750"/>
        <v>3.3259844381368646</v>
      </c>
      <c r="FO89" s="133">
        <f t="shared" si="751"/>
        <v>0.8384624933367637</v>
      </c>
      <c r="FP89" s="133">
        <f t="shared" si="752"/>
        <v>1.7027648939368196</v>
      </c>
      <c r="FQ89" s="107">
        <f t="shared" si="753"/>
        <v>1.703950183600329</v>
      </c>
      <c r="FR89" s="107">
        <f t="shared" si="671"/>
        <v>1.0338615989772488</v>
      </c>
      <c r="FS89" s="141" t="str">
        <f t="shared" si="718"/>
        <v>-</v>
      </c>
      <c r="FT89" s="107">
        <f t="shared" si="617"/>
        <v>5.663369539039631</v>
      </c>
      <c r="FU89" s="133">
        <f t="shared" si="754"/>
        <v>3.3259844381368646</v>
      </c>
      <c r="FV89" s="133">
        <f t="shared" si="755"/>
        <v>1.7027648939368196</v>
      </c>
      <c r="FW89" s="107">
        <f t="shared" si="756"/>
        <v>1.703950183600329</v>
      </c>
      <c r="FY89">
        <v>0.95</v>
      </c>
      <c r="FZ89" s="62">
        <f t="shared" si="711"/>
        <v>1.0574980390414659</v>
      </c>
      <c r="GA89" s="62">
        <f t="shared" si="712"/>
        <v>1.9561519910898788</v>
      </c>
      <c r="GB89" s="107">
        <f t="shared" si="798"/>
        <v>1.2501685426565226</v>
      </c>
      <c r="GC89" s="440"/>
      <c r="GD89" s="17"/>
      <c r="GE89" s="442"/>
      <c r="GF89" s="462"/>
      <c r="GG89" s="17"/>
      <c r="GH89" s="17"/>
      <c r="GI89" s="17"/>
      <c r="GJ89" s="17"/>
      <c r="GL89" s="17"/>
      <c r="GM89" s="442"/>
      <c r="GN89" s="8"/>
      <c r="GO89" s="8"/>
      <c r="GP89" s="8"/>
      <c r="GQ89" s="8"/>
      <c r="GS89" s="17"/>
      <c r="GT89" s="17"/>
      <c r="GU89" s="17"/>
      <c r="GV89" s="629"/>
      <c r="GW89" s="17"/>
      <c r="GX89" s="17"/>
      <c r="GY89" s="17"/>
      <c r="GZ89" s="17"/>
    </row>
    <row r="90" spans="1:208" ht="15.6" x14ac:dyDescent="0.3">
      <c r="A90" s="60" t="s">
        <v>35</v>
      </c>
      <c r="B90" s="218"/>
      <c r="C90" s="14" t="str">
        <f>C88</f>
        <v>Gaffel</v>
      </c>
      <c r="G90" s="54"/>
      <c r="H90" s="204">
        <f>TBFavrundet</f>
        <v>93</v>
      </c>
      <c r="I90" s="63">
        <f>COUNTA(O90:AG90)</f>
        <v>2</v>
      </c>
      <c r="J90" s="222">
        <f>SUM(O90:AG90)</f>
        <v>39.4</v>
      </c>
      <c r="K90" s="116">
        <f>Seilareal/Depl^0.667/K$7</f>
        <v>0.80774983478390627</v>
      </c>
      <c r="L90" s="116">
        <f>Seilareal/Lwl/Lwl/L$7</f>
        <v>0.84123638097722142</v>
      </c>
      <c r="M90" s="92">
        <f>RiggF</f>
        <v>0.84253807106598988</v>
      </c>
      <c r="N90" s="242">
        <f>StHfaktor</f>
        <v>1.0102972943774455</v>
      </c>
      <c r="O90" s="143"/>
      <c r="P90" s="143"/>
      <c r="Q90" s="143"/>
      <c r="R90" s="143"/>
      <c r="S90" s="143"/>
      <c r="T90" s="143"/>
      <c r="U90" s="165">
        <v>11.2</v>
      </c>
      <c r="V90" s="559"/>
      <c r="W90" s="559"/>
      <c r="X90" s="144"/>
      <c r="Y90" s="165">
        <v>28.2</v>
      </c>
      <c r="Z90" s="143"/>
      <c r="AA90" s="143"/>
      <c r="AB90" s="143"/>
      <c r="AC90" s="143"/>
      <c r="AD90" s="143"/>
      <c r="AE90" s="143"/>
      <c r="AF90" s="143"/>
      <c r="AG90" s="551"/>
      <c r="AH90" s="557"/>
      <c r="AI90" s="557">
        <f t="shared" ref="AI90" si="815">AI89</f>
        <v>9.15</v>
      </c>
      <c r="AJ90" s="337">
        <f t="shared" si="799"/>
        <v>0</v>
      </c>
      <c r="AK90" s="339"/>
      <c r="AL90" s="337">
        <f t="shared" si="799"/>
        <v>0</v>
      </c>
      <c r="AM90" s="339"/>
      <c r="AN90" s="267" t="str">
        <f t="shared" ref="AN90" si="816" xml:space="preserve"> AN89</f>
        <v>Los</v>
      </c>
      <c r="AO90" s="45">
        <f>VLOOKUP(AN90,Skrogform!$1:$1048576,3,FALSE)</f>
        <v>0.97</v>
      </c>
      <c r="AP90" s="64">
        <f t="shared" ref="AP90:AZ90" si="817">AP89</f>
        <v>9.8000000000000007</v>
      </c>
      <c r="AQ90" s="64">
        <f t="shared" si="817"/>
        <v>8.43</v>
      </c>
      <c r="AR90" s="64">
        <f t="shared" si="817"/>
        <v>3.38</v>
      </c>
      <c r="AS90" s="64">
        <f t="shared" si="817"/>
        <v>1.5</v>
      </c>
      <c r="AT90" s="64">
        <f t="shared" ref="AT90" si="818">AT89</f>
        <v>9.6</v>
      </c>
      <c r="AU90" s="64">
        <f t="shared" si="817"/>
        <v>9.6</v>
      </c>
      <c r="AV90" s="64">
        <f t="shared" si="817"/>
        <v>2</v>
      </c>
      <c r="AW90" s="64">
        <f t="shared" si="817"/>
        <v>0.5</v>
      </c>
      <c r="AX90" s="256">
        <f>AX89</f>
        <v>0</v>
      </c>
      <c r="AY90" s="256">
        <f t="shared" si="817"/>
        <v>16</v>
      </c>
      <c r="AZ90" s="256">
        <f t="shared" si="817"/>
        <v>300</v>
      </c>
      <c r="BA90" s="256">
        <f t="shared" ref="BA90:BB90" si="819">BA89</f>
        <v>0</v>
      </c>
      <c r="BB90" s="256">
        <f t="shared" si="819"/>
        <v>0</v>
      </c>
      <c r="BC90" s="256"/>
      <c r="BD90" s="66"/>
      <c r="BE90" s="66"/>
      <c r="BF90" s="261"/>
      <c r="BG90" s="66"/>
      <c r="BH90" s="175"/>
      <c r="BI90" s="66"/>
      <c r="BJ90" s="66"/>
      <c r="BK90" s="65" t="str">
        <f t="shared" ref="BK90:BM90" si="820" xml:space="preserve"> BK89</f>
        <v>Fast</v>
      </c>
      <c r="BL90" s="267">
        <f t="shared" si="820"/>
        <v>2</v>
      </c>
      <c r="BM90" s="267">
        <f t="shared" si="820"/>
        <v>59</v>
      </c>
      <c r="BN90" s="45">
        <f t="shared" si="788"/>
        <v>0.98106311768326038</v>
      </c>
      <c r="BO90" s="59"/>
      <c r="BP90" s="59"/>
      <c r="BR90" s="49">
        <f t="shared" si="805"/>
        <v>0</v>
      </c>
      <c r="BS90" s="49">
        <f t="shared" si="805"/>
        <v>0</v>
      </c>
      <c r="BT90" s="49">
        <f t="shared" si="805"/>
        <v>0</v>
      </c>
      <c r="BU90" s="49">
        <f t="shared" si="805"/>
        <v>0</v>
      </c>
      <c r="BV90" s="49">
        <f t="shared" si="805"/>
        <v>0</v>
      </c>
      <c r="BW90" s="49">
        <f t="shared" si="805"/>
        <v>0</v>
      </c>
      <c r="BX90" s="49">
        <f t="shared" si="805"/>
        <v>11.2</v>
      </c>
      <c r="BY90" s="549">
        <f>IF(COUNT(Q90:U90)&gt;1,MINA(Q90:U90)*BY$9,0)</f>
        <v>0</v>
      </c>
      <c r="BZ90" s="85">
        <f t="shared" si="806"/>
        <v>0</v>
      </c>
      <c r="CA90" s="85">
        <f t="shared" si="806"/>
        <v>0</v>
      </c>
      <c r="CB90" s="85">
        <f t="shared" si="806"/>
        <v>0</v>
      </c>
      <c r="CC90" s="85">
        <f t="shared" si="806"/>
        <v>21.995999999999999</v>
      </c>
      <c r="CD90" s="85">
        <f t="shared" si="806"/>
        <v>0</v>
      </c>
      <c r="CE90" s="85">
        <f>IF(AC90=0,0,AC90*CE$9)</f>
        <v>0</v>
      </c>
      <c r="CF90" s="85">
        <f t="shared" si="807"/>
        <v>0</v>
      </c>
      <c r="CG90" s="85">
        <f t="shared" si="807"/>
        <v>0</v>
      </c>
      <c r="CH90" s="85">
        <f t="shared" si="808"/>
        <v>0</v>
      </c>
      <c r="CI90" s="85">
        <f t="shared" si="808"/>
        <v>0</v>
      </c>
      <c r="CJ90" s="85">
        <f t="shared" si="808"/>
        <v>0</v>
      </c>
      <c r="CK90" s="85">
        <f t="shared" si="808"/>
        <v>0</v>
      </c>
      <c r="CL90" s="100">
        <f>SUM(BR90:CK90)</f>
        <v>33.195999999999998</v>
      </c>
      <c r="CM90" s="50"/>
      <c r="CN90" s="104">
        <f>J90</f>
        <v>39.4</v>
      </c>
      <c r="CO90" s="101">
        <f>CL90/CN90</f>
        <v>0.84253807106598988</v>
      </c>
      <c r="CP90" s="51">
        <f>Seilareal/Lwl/Lwl</f>
        <v>0.55442278818375879</v>
      </c>
      <c r="CQ90" s="116">
        <f>Seilareal/Depl^0.667/K$7</f>
        <v>0.80774983478390627</v>
      </c>
      <c r="CR90" s="51">
        <f>Seilareal/Lwl/Lwl/SApRS1</f>
        <v>0.84123638097722142</v>
      </c>
      <c r="CS90" s="204"/>
      <c r="CT90" s="204">
        <f>(ROUND(TBF/CT$6,3)*CT$6)*CT$4</f>
        <v>93</v>
      </c>
      <c r="CU90" s="107">
        <f t="shared" si="36"/>
        <v>0.93017282030837578</v>
      </c>
      <c r="CV90" s="62">
        <f t="shared" si="789"/>
        <v>2.7200906398269096</v>
      </c>
      <c r="CW90" s="62">
        <f t="shared" si="14"/>
        <v>1.6421770800160918</v>
      </c>
      <c r="CX90" s="62">
        <f t="shared" si="790"/>
        <v>1.703950183600329</v>
      </c>
      <c r="CY90" s="107">
        <f t="shared" si="16"/>
        <v>1.0102972943774455</v>
      </c>
      <c r="CZ90" s="168" t="str">
        <f t="shared" si="693"/>
        <v>-</v>
      </c>
      <c r="DA90" s="158"/>
      <c r="DB90" s="168" t="str">
        <f t="shared" si="694"/>
        <v>-</v>
      </c>
      <c r="DC90" s="160"/>
      <c r="DD90" s="190" t="s">
        <v>134</v>
      </c>
      <c r="DE90" s="62">
        <v>0.66</v>
      </c>
      <c r="DF90" s="62">
        <v>0.74</v>
      </c>
      <c r="DG90" s="62">
        <v>0.73</v>
      </c>
      <c r="DH90" s="150">
        <v>0.76</v>
      </c>
      <c r="DI90" s="62">
        <f t="shared" si="695"/>
        <v>2.0345097893118802</v>
      </c>
      <c r="DJ90" s="47">
        <f t="shared" si="696"/>
        <v>11.7096018735363</v>
      </c>
      <c r="DK90" s="48">
        <f t="shared" si="697"/>
        <v>0</v>
      </c>
      <c r="DM90" s="107">
        <f t="shared" si="643"/>
        <v>0.91495230786655468</v>
      </c>
      <c r="DN90" s="141" t="str">
        <f t="shared" si="713"/>
        <v>-</v>
      </c>
      <c r="DO90" s="107">
        <f t="shared" si="698"/>
        <v>4.4139044655846407</v>
      </c>
      <c r="DP90" s="133">
        <f t="shared" si="725"/>
        <v>2.7111395716478208</v>
      </c>
      <c r="DQ90" s="133">
        <f t="shared" si="726"/>
        <v>0</v>
      </c>
      <c r="DR90" s="133">
        <f t="shared" si="727"/>
        <v>0</v>
      </c>
      <c r="DS90" s="133">
        <f t="shared" si="728"/>
        <v>1.7027648939368196</v>
      </c>
      <c r="DT90" s="107">
        <f t="shared" si="729"/>
        <v>1.703950183600329</v>
      </c>
      <c r="DU90" s="133">
        <f t="shared" si="730"/>
        <v>1.9561519910898788</v>
      </c>
      <c r="DW90" s="107">
        <f t="shared" si="769"/>
        <v>0.95894105186430489</v>
      </c>
      <c r="DX90" s="107">
        <f t="shared" si="699"/>
        <v>0.9195319156196472</v>
      </c>
      <c r="DZ90" s="107">
        <f t="shared" si="700"/>
        <v>0.93783419289832604</v>
      </c>
      <c r="EA90" s="122" t="str">
        <f t="shared" si="714"/>
        <v>-</v>
      </c>
      <c r="EB90" s="107">
        <f t="shared" si="701"/>
        <v>0.92116086026690058</v>
      </c>
      <c r="EC90" s="122" t="str">
        <f t="shared" si="715"/>
        <v>-</v>
      </c>
      <c r="ED90" s="107">
        <f t="shared" si="731"/>
        <v>2.7109556192256048</v>
      </c>
      <c r="EE90" s="107">
        <f t="shared" si="732"/>
        <v>2.0350652130627531</v>
      </c>
      <c r="EF90" s="107">
        <f t="shared" si="733"/>
        <v>1.5239386793362142</v>
      </c>
      <c r="EH90" s="107">
        <f t="shared" si="702"/>
        <v>0.93296650614493681</v>
      </c>
      <c r="EJ90" s="107">
        <f t="shared" si="734"/>
        <v>2.7109556192256048</v>
      </c>
      <c r="EK90" s="107">
        <f t="shared" si="735"/>
        <v>2.0351953675882153</v>
      </c>
      <c r="EL90" s="107">
        <f t="shared" si="736"/>
        <v>1.7536069598143333</v>
      </c>
      <c r="EM90" s="107">
        <f t="shared" si="703"/>
        <v>0.91356232526988679</v>
      </c>
      <c r="EO90" s="107">
        <f t="shared" si="737"/>
        <v>4.1313301261017568</v>
      </c>
      <c r="EP90" s="107">
        <f t="shared" si="738"/>
        <v>2.7109556192256048</v>
      </c>
      <c r="EQ90" s="107">
        <f t="shared" si="739"/>
        <v>1.5239386793362142</v>
      </c>
      <c r="ER90" s="107">
        <f t="shared" si="740"/>
        <v>1.703950183600329</v>
      </c>
      <c r="ES90" s="107">
        <f t="shared" si="654"/>
        <v>0.91549543197757033</v>
      </c>
      <c r="EU90" s="107">
        <f t="shared" si="710"/>
        <v>1.6247107113075856</v>
      </c>
      <c r="EV90" s="107">
        <f t="shared" si="741"/>
        <v>2.7109556192256048</v>
      </c>
      <c r="EW90" s="107">
        <f t="shared" si="742"/>
        <v>0.97371011045604539</v>
      </c>
      <c r="EX90" s="107">
        <f t="shared" si="743"/>
        <v>1.7243497072538914</v>
      </c>
      <c r="EY90" s="107">
        <f t="shared" si="658"/>
        <v>0.92422411115167313</v>
      </c>
      <c r="FA90" s="107">
        <f t="shared" si="611"/>
        <v>1.6247658329036081</v>
      </c>
      <c r="FB90" s="107">
        <f t="shared" si="744"/>
        <v>2.7111395716478208</v>
      </c>
      <c r="FC90" s="107">
        <f t="shared" si="745"/>
        <v>0.97371011045604539</v>
      </c>
      <c r="FD90" s="107">
        <f t="shared" si="746"/>
        <v>1.7243497072538914</v>
      </c>
      <c r="FE90" s="107">
        <f t="shared" si="662"/>
        <v>0.91306505216179334</v>
      </c>
      <c r="FF90" s="141" t="str">
        <f t="shared" si="716"/>
        <v>-</v>
      </c>
      <c r="FG90" s="107">
        <f t="shared" si="613"/>
        <v>2.5704622784904361</v>
      </c>
      <c r="FH90" s="133">
        <f t="shared" si="747"/>
        <v>2.7111395716478208</v>
      </c>
      <c r="FI90" s="133">
        <f t="shared" si="748"/>
        <v>0.9481113792043242</v>
      </c>
      <c r="FJ90" s="107">
        <f t="shared" si="749"/>
        <v>0.9696730994687438</v>
      </c>
      <c r="FK90" s="107">
        <f t="shared" si="666"/>
        <v>0.91455550034559374</v>
      </c>
      <c r="FL90" s="141" t="str">
        <f t="shared" si="717"/>
        <v>-</v>
      </c>
      <c r="FM90" s="107">
        <f t="shared" si="615"/>
        <v>4.5973679295030649</v>
      </c>
      <c r="FN90" s="133">
        <f t="shared" si="750"/>
        <v>2.7111395716478208</v>
      </c>
      <c r="FO90" s="133">
        <f t="shared" si="751"/>
        <v>0.68346346391842483</v>
      </c>
      <c r="FP90" s="133">
        <f t="shared" si="752"/>
        <v>1.7027648939368196</v>
      </c>
      <c r="FQ90" s="107">
        <f t="shared" si="753"/>
        <v>1.703950183600329</v>
      </c>
      <c r="FR90" s="107">
        <f t="shared" si="671"/>
        <v>0.92185230604009416</v>
      </c>
      <c r="FS90" s="141" t="str">
        <f t="shared" si="718"/>
        <v>-</v>
      </c>
      <c r="FT90" s="107">
        <f t="shared" si="617"/>
        <v>4.616433285164816</v>
      </c>
      <c r="FU90" s="133">
        <f t="shared" si="754"/>
        <v>2.7111395716478208</v>
      </c>
      <c r="FV90" s="133">
        <f t="shared" si="755"/>
        <v>1.7027648939368196</v>
      </c>
      <c r="FW90" s="107">
        <f t="shared" si="756"/>
        <v>1.703950183600329</v>
      </c>
      <c r="FY90">
        <v>0.95</v>
      </c>
      <c r="FZ90" s="62">
        <f t="shared" si="711"/>
        <v>0.96441561275215837</v>
      </c>
      <c r="GA90" s="62">
        <f t="shared" si="712"/>
        <v>1.9561519910898788</v>
      </c>
      <c r="GB90" s="107">
        <f t="shared" si="798"/>
        <v>1.167828638383686</v>
      </c>
      <c r="GC90" s="440"/>
      <c r="GD90" s="17"/>
      <c r="GE90" s="442"/>
      <c r="GF90" s="462"/>
      <c r="GG90" s="17"/>
      <c r="GH90" s="17"/>
      <c r="GI90" s="17"/>
      <c r="GJ90" s="17"/>
      <c r="GL90" s="17"/>
      <c r="GM90" s="442"/>
      <c r="GN90" s="8"/>
      <c r="GO90" s="8"/>
      <c r="GP90" s="8"/>
      <c r="GQ90" s="8"/>
      <c r="GS90" s="17"/>
      <c r="GT90" s="17"/>
      <c r="GU90" s="17"/>
      <c r="GV90" s="629"/>
      <c r="GW90" s="17"/>
      <c r="GX90" s="17"/>
      <c r="GY90" s="17"/>
      <c r="GZ90" s="17"/>
    </row>
    <row r="91" spans="1:208" ht="15.6" x14ac:dyDescent="0.3">
      <c r="A91" s="52" t="s">
        <v>53</v>
      </c>
      <c r="B91" s="218">
        <f t="shared" ref="B91" si="821">Loa/0.3048</f>
        <v>40.026246719160099</v>
      </c>
      <c r="C91" s="53" t="s">
        <v>19</v>
      </c>
      <c r="D91" s="53"/>
      <c r="E91" s="53"/>
      <c r="F91" s="53"/>
      <c r="G91" s="54"/>
      <c r="H91" s="112">
        <f>J92</f>
        <v>103.6</v>
      </c>
      <c r="I91" s="601">
        <f>H92/100</f>
        <v>1.19</v>
      </c>
      <c r="J91" s="651">
        <f>IF(DC92=0,"-",DC92)</f>
        <v>1.19</v>
      </c>
      <c r="K91" s="123" t="str">
        <f>A91</f>
        <v>Karuna</v>
      </c>
      <c r="L91" s="116"/>
      <c r="M91" s="116"/>
      <c r="N91" s="92"/>
      <c r="O91" s="165"/>
      <c r="P91" s="165"/>
      <c r="Q91" s="165"/>
      <c r="R91" s="165">
        <v>24.7</v>
      </c>
      <c r="S91" s="165"/>
      <c r="T91" s="165"/>
      <c r="U91" s="165">
        <v>17.600000000000001</v>
      </c>
      <c r="V91" s="559"/>
      <c r="W91" s="559"/>
      <c r="X91" s="165">
        <v>49.3</v>
      </c>
      <c r="Y91" s="177">
        <f>StorS-7.5*1.2</f>
        <v>40.299999999999997</v>
      </c>
      <c r="Z91" s="177">
        <f>StorS-7.5*1.2-6.5*1.2</f>
        <v>32.5</v>
      </c>
      <c r="AA91" s="165">
        <v>12</v>
      </c>
      <c r="AB91" s="165"/>
      <c r="AC91" s="165"/>
      <c r="AD91" s="165"/>
      <c r="AE91" s="165"/>
      <c r="AF91" s="165"/>
      <c r="AG91" s="552"/>
      <c r="AH91" s="244"/>
      <c r="AI91" s="244">
        <v>10.3</v>
      </c>
      <c r="AJ91" s="554"/>
      <c r="AK91" s="339"/>
      <c r="AL91" s="268"/>
      <c r="AM91" s="339"/>
      <c r="AN91" s="268" t="s">
        <v>211</v>
      </c>
      <c r="AO91" s="45">
        <f>VLOOKUP(AN91,Skrogform!$1:$1048576,3,FALSE)</f>
        <v>0.98</v>
      </c>
      <c r="AP91" s="55">
        <v>12.2</v>
      </c>
      <c r="AQ91" s="171">
        <v>10.5</v>
      </c>
      <c r="AR91" s="55">
        <v>3.65</v>
      </c>
      <c r="AS91" s="55">
        <v>1.85</v>
      </c>
      <c r="AT91" s="637">
        <v>16.399999999999999</v>
      </c>
      <c r="AU91" s="55">
        <v>16.399999999999999</v>
      </c>
      <c r="AV91" s="55">
        <v>2.5</v>
      </c>
      <c r="AW91" s="55">
        <v>2.5</v>
      </c>
      <c r="AX91" s="253"/>
      <c r="AY91" s="253">
        <v>50</v>
      </c>
      <c r="AZ91" s="254">
        <f>AY91*7</f>
        <v>350</v>
      </c>
      <c r="BA91" s="253"/>
      <c r="BB91" s="253"/>
      <c r="BC91" s="244">
        <f>Depl+Diesel/1000*0.84+Vann/1000</f>
        <v>16.399999999999999</v>
      </c>
      <c r="BD91" s="95">
        <f>Bredde/(Loa+Lwl)*2</f>
        <v>0.32158590308370044</v>
      </c>
      <c r="BE91" s="95">
        <f>(Kjøl+Ballast)/Depl</f>
        <v>0.30487804878048785</v>
      </c>
      <c r="BF91" s="260">
        <f>BF$7*((Depl-Kjøl-Ballast-VektMotor/1000-VektAnnet/1000)/Lwl/Lwl/Bredde)</f>
        <v>1.0362640673438324</v>
      </c>
      <c r="BG91" s="95">
        <f>BG$7*(Depl/Loa/Lwl/Lwl)</f>
        <v>0.89726278309356522</v>
      </c>
      <c r="BH91" s="174">
        <f>BH$7*(Depl/Loa/Lwl/Bredde)</f>
        <v>0.95408792788168495</v>
      </c>
      <c r="BI91" s="95">
        <f>BI$7*Bredde/(Loa+Lwl)*2</f>
        <v>0.91738430202264221</v>
      </c>
      <c r="BJ91" s="95">
        <f>BJ$7*(Dypg/Lwl)</f>
        <v>0.96368530020703935</v>
      </c>
      <c r="BK91" s="56" t="s">
        <v>39</v>
      </c>
      <c r="BL91" s="268">
        <v>3</v>
      </c>
      <c r="BM91" s="268">
        <v>46</v>
      </c>
      <c r="BN91" s="45">
        <f t="shared" si="788"/>
        <v>0.98613081682301351</v>
      </c>
      <c r="BO91" s="59"/>
      <c r="BP91" s="59"/>
      <c r="BR91" s="209"/>
      <c r="BS91" s="209"/>
      <c r="BT91" s="209" t="str">
        <f>$A91</f>
        <v>Karuna</v>
      </c>
      <c r="BU91" s="10"/>
      <c r="BV91" s="10"/>
      <c r="BW91" s="10"/>
      <c r="BX91" s="10"/>
      <c r="BY91" s="549"/>
      <c r="BZ91" s="10"/>
      <c r="CA91" s="10"/>
      <c r="CB91" s="209" t="str">
        <f>$A91</f>
        <v>Karuna</v>
      </c>
      <c r="CC91" s="10"/>
      <c r="CD91" s="10"/>
      <c r="CE91" s="10"/>
      <c r="CF91" s="10"/>
      <c r="CG91" s="10"/>
      <c r="CH91" s="10"/>
      <c r="CI91" s="10"/>
      <c r="CJ91" s="10"/>
      <c r="CK91" s="10"/>
      <c r="CL91" s="209"/>
      <c r="CM91" s="10"/>
      <c r="CN91" s="209" t="str">
        <f>$A91</f>
        <v>Karuna</v>
      </c>
      <c r="CO91" s="207"/>
      <c r="CP91" s="207"/>
      <c r="CQ91" s="116"/>
      <c r="CR91" s="207"/>
      <c r="CS91" s="203"/>
      <c r="CT91" s="203" t="s">
        <v>23</v>
      </c>
      <c r="CU91" s="107" t="str">
        <f t="shared" si="36"/>
        <v>-</v>
      </c>
      <c r="CV91" s="62" t="str">
        <f t="shared" si="789"/>
        <v>-</v>
      </c>
      <c r="CW91" s="62" t="str">
        <f t="shared" si="14"/>
        <v>-</v>
      </c>
      <c r="CX91" s="62" t="str">
        <f t="shared" si="790"/>
        <v>-</v>
      </c>
      <c r="CY91" s="107" t="str">
        <f t="shared" si="16"/>
        <v>-</v>
      </c>
      <c r="CZ91" s="168" t="str">
        <f t="shared" si="693"/>
        <v>-</v>
      </c>
      <c r="DA91" s="158"/>
      <c r="DB91" s="168" t="str">
        <f t="shared" si="694"/>
        <v>-</v>
      </c>
      <c r="DC91" s="160">
        <v>1.19</v>
      </c>
      <c r="DD91" s="190" t="s">
        <v>134</v>
      </c>
      <c r="DE91" s="29" t="s">
        <v>23</v>
      </c>
      <c r="DF91" s="29" t="s">
        <v>23</v>
      </c>
      <c r="DG91" s="29" t="s">
        <v>23</v>
      </c>
      <c r="DH91" s="149">
        <v>2022</v>
      </c>
      <c r="DI91" s="62" t="str">
        <f t="shared" si="695"/>
        <v>-</v>
      </c>
      <c r="DJ91" s="47">
        <f t="shared" si="696"/>
        <v>12.211221122112212</v>
      </c>
      <c r="DK91" s="48">
        <f t="shared" si="697"/>
        <v>0</v>
      </c>
      <c r="DM91" s="107" t="str">
        <f t="shared" si="643"/>
        <v>-</v>
      </c>
      <c r="DN91" s="141" t="str">
        <f t="shared" si="713"/>
        <v>-</v>
      </c>
      <c r="DO91" s="107">
        <f t="shared" si="698"/>
        <v>4.4139044655846407</v>
      </c>
      <c r="DP91" s="133">
        <f t="shared" si="725"/>
        <v>2.7111395716478208</v>
      </c>
      <c r="DQ91" s="133">
        <f t="shared" si="726"/>
        <v>0</v>
      </c>
      <c r="DR91" s="133">
        <f t="shared" si="727"/>
        <v>0</v>
      </c>
      <c r="DS91" s="133">
        <f t="shared" si="728"/>
        <v>1.7027648939368196</v>
      </c>
      <c r="DT91" s="107">
        <f t="shared" si="729"/>
        <v>1.703950183600329</v>
      </c>
      <c r="DU91" s="133">
        <f t="shared" si="730"/>
        <v>1.9561519910898788</v>
      </c>
      <c r="DW91" s="107" t="str">
        <f t="shared" si="769"/>
        <v>-</v>
      </c>
      <c r="DX91" s="107" t="str">
        <f t="shared" si="699"/>
        <v>-</v>
      </c>
      <c r="DZ91" s="107" t="str">
        <f t="shared" si="700"/>
        <v>-</v>
      </c>
      <c r="EA91" s="122" t="str">
        <f t="shared" si="714"/>
        <v>-</v>
      </c>
      <c r="EB91" s="107" t="str">
        <f t="shared" si="701"/>
        <v>-</v>
      </c>
      <c r="EC91" s="122" t="str">
        <f t="shared" si="715"/>
        <v>-</v>
      </c>
      <c r="ED91" s="107">
        <f t="shared" si="731"/>
        <v>2.7109556192256048</v>
      </c>
      <c r="EE91" s="107">
        <f t="shared" si="732"/>
        <v>2.0350652130627531</v>
      </c>
      <c r="EF91" s="107">
        <f t="shared" si="733"/>
        <v>1.5239386793362142</v>
      </c>
      <c r="EH91" s="107" t="str">
        <f t="shared" si="702"/>
        <v>-</v>
      </c>
      <c r="EJ91" s="107">
        <f t="shared" si="734"/>
        <v>2.7109556192256048</v>
      </c>
      <c r="EK91" s="107">
        <f t="shared" si="735"/>
        <v>2.0351953675882153</v>
      </c>
      <c r="EL91" s="107">
        <f t="shared" si="736"/>
        <v>1.7536069598143333</v>
      </c>
      <c r="EM91" s="107" t="str">
        <f t="shared" si="703"/>
        <v>-</v>
      </c>
      <c r="EO91" s="107">
        <f t="shared" si="737"/>
        <v>4.1313301261017568</v>
      </c>
      <c r="EP91" s="107">
        <f t="shared" si="738"/>
        <v>2.7109556192256048</v>
      </c>
      <c r="EQ91" s="107">
        <f t="shared" si="739"/>
        <v>1.5239386793362142</v>
      </c>
      <c r="ER91" s="107">
        <f t="shared" si="740"/>
        <v>1.703950183600329</v>
      </c>
      <c r="ES91" s="107" t="str">
        <f t="shared" si="654"/>
        <v>-</v>
      </c>
      <c r="EU91" s="107">
        <f t="shared" si="710"/>
        <v>1.6247107113075856</v>
      </c>
      <c r="EV91" s="107">
        <f t="shared" si="741"/>
        <v>2.7109556192256048</v>
      </c>
      <c r="EW91" s="107">
        <f t="shared" si="742"/>
        <v>0.97371011045604539</v>
      </c>
      <c r="EX91" s="107">
        <f t="shared" si="743"/>
        <v>1.7243497072538914</v>
      </c>
      <c r="EY91" s="107" t="str">
        <f t="shared" si="658"/>
        <v>-</v>
      </c>
      <c r="FA91" s="107">
        <f t="shared" si="611"/>
        <v>1.6247658329036081</v>
      </c>
      <c r="FB91" s="107">
        <f t="shared" si="744"/>
        <v>2.7111395716478208</v>
      </c>
      <c r="FC91" s="107">
        <f t="shared" si="745"/>
        <v>0.97371011045604539</v>
      </c>
      <c r="FD91" s="107">
        <f t="shared" si="746"/>
        <v>1.7243497072538914</v>
      </c>
      <c r="FE91" s="107" t="str">
        <f t="shared" si="662"/>
        <v>-</v>
      </c>
      <c r="FF91" s="141" t="str">
        <f t="shared" si="716"/>
        <v>-</v>
      </c>
      <c r="FG91" s="107">
        <f t="shared" si="613"/>
        <v>2.5704622784904361</v>
      </c>
      <c r="FH91" s="133">
        <f t="shared" si="747"/>
        <v>2.7111395716478208</v>
      </c>
      <c r="FI91" s="133">
        <f t="shared" si="748"/>
        <v>0.9481113792043242</v>
      </c>
      <c r="FJ91" s="107">
        <f t="shared" si="749"/>
        <v>0.9696730994687438</v>
      </c>
      <c r="FK91" s="107" t="str">
        <f t="shared" si="666"/>
        <v>-</v>
      </c>
      <c r="FL91" s="141" t="str">
        <f t="shared" si="717"/>
        <v>-</v>
      </c>
      <c r="FM91" s="107">
        <f t="shared" si="615"/>
        <v>4.5973679295030649</v>
      </c>
      <c r="FN91" s="133">
        <f t="shared" si="750"/>
        <v>2.7111395716478208</v>
      </c>
      <c r="FO91" s="133">
        <f t="shared" si="751"/>
        <v>0.68346346391842483</v>
      </c>
      <c r="FP91" s="133">
        <f t="shared" si="752"/>
        <v>1.7027648939368196</v>
      </c>
      <c r="FQ91" s="107">
        <f t="shared" si="753"/>
        <v>1.703950183600329</v>
      </c>
      <c r="FR91" s="107" t="str">
        <f t="shared" si="671"/>
        <v>-</v>
      </c>
      <c r="FS91" s="141" t="str">
        <f t="shared" si="718"/>
        <v>-</v>
      </c>
      <c r="FT91" s="107">
        <f t="shared" si="617"/>
        <v>4.616433285164816</v>
      </c>
      <c r="FU91" s="133">
        <f t="shared" si="754"/>
        <v>2.7111395716478208</v>
      </c>
      <c r="FV91" s="133">
        <f t="shared" si="755"/>
        <v>1.7027648939368196</v>
      </c>
      <c r="FW91" s="107">
        <f t="shared" si="756"/>
        <v>1.703950183600329</v>
      </c>
      <c r="FY91">
        <v>0.95</v>
      </c>
      <c r="FZ91" s="62" t="str">
        <f t="shared" si="711"/>
        <v>-</v>
      </c>
      <c r="GA91" s="62">
        <f t="shared" si="712"/>
        <v>1.9470448393802795</v>
      </c>
      <c r="GB91" s="107" t="str">
        <f t="shared" si="798"/>
        <v>-</v>
      </c>
      <c r="GC91" s="441" t="s">
        <v>452</v>
      </c>
      <c r="GD91" s="57" t="s">
        <v>498</v>
      </c>
      <c r="GE91" s="436" t="s">
        <v>499</v>
      </c>
      <c r="GF91" s="464" t="s">
        <v>500</v>
      </c>
      <c r="GG91" s="57" t="s">
        <v>501</v>
      </c>
      <c r="GH91" s="57" t="s">
        <v>502</v>
      </c>
      <c r="GI91" s="57" t="s">
        <v>416</v>
      </c>
      <c r="GJ91" s="57" t="s">
        <v>503</v>
      </c>
      <c r="GL91" s="632" t="s">
        <v>932</v>
      </c>
      <c r="GM91" s="436" t="s">
        <v>478</v>
      </c>
      <c r="GN91" s="58" t="s">
        <v>478</v>
      </c>
      <c r="GO91" s="58" t="s">
        <v>478</v>
      </c>
      <c r="GP91" s="58" t="s">
        <v>478</v>
      </c>
      <c r="GQ91" s="58" t="s">
        <v>478</v>
      </c>
      <c r="GS91" s="57" t="s">
        <v>470</v>
      </c>
      <c r="GT91" s="57" t="s">
        <v>504</v>
      </c>
      <c r="GU91" s="57" t="s">
        <v>586</v>
      </c>
      <c r="GV91" s="632" t="s">
        <v>755</v>
      </c>
      <c r="GW91" s="57">
        <v>1998</v>
      </c>
      <c r="GX91" s="57" t="s">
        <v>431</v>
      </c>
      <c r="GY91" s="57" t="s">
        <v>438</v>
      </c>
      <c r="GZ91" s="57" t="s">
        <v>478</v>
      </c>
    </row>
    <row r="92" spans="1:208" ht="15.6" x14ac:dyDescent="0.3">
      <c r="A92" s="60" t="s">
        <v>28</v>
      </c>
      <c r="B92" s="218"/>
      <c r="C92" s="61" t="str">
        <f>C91</f>
        <v>Gaffel</v>
      </c>
      <c r="D92" s="61"/>
      <c r="E92" s="61"/>
      <c r="F92" s="61"/>
      <c r="G92" s="54"/>
      <c r="H92" s="204">
        <f>TBFavrundet</f>
        <v>119</v>
      </c>
      <c r="I92" s="63">
        <f>COUNTA(O92:AG92)</f>
        <v>4</v>
      </c>
      <c r="J92" s="222">
        <f>SUM(O92:AG92)</f>
        <v>103.6</v>
      </c>
      <c r="K92" s="116">
        <f>Seilareal/Depl^0.667/K$7</f>
        <v>1.4859851768673431</v>
      </c>
      <c r="L92" s="116">
        <f>Seilareal/Lwl/Lwl/L$7</f>
        <v>1.4257984263951662</v>
      </c>
      <c r="M92" s="92">
        <f>RiggF</f>
        <v>0.75038610038610043</v>
      </c>
      <c r="N92" s="242">
        <f>StHfaktor</f>
        <v>0.99759896686135863</v>
      </c>
      <c r="O92" s="143"/>
      <c r="P92" s="143"/>
      <c r="Q92" s="143"/>
      <c r="R92" s="165">
        <v>24.7</v>
      </c>
      <c r="S92" s="143"/>
      <c r="T92" s="143"/>
      <c r="U92" s="165">
        <v>17.600000000000001</v>
      </c>
      <c r="V92" s="559"/>
      <c r="W92" s="559"/>
      <c r="X92" s="165">
        <v>49.3</v>
      </c>
      <c r="Y92" s="143"/>
      <c r="Z92" s="143"/>
      <c r="AA92" s="165">
        <v>12</v>
      </c>
      <c r="AB92" s="143"/>
      <c r="AC92" s="143"/>
      <c r="AD92" s="143"/>
      <c r="AE92" s="143"/>
      <c r="AF92" s="143"/>
      <c r="AG92" s="551"/>
      <c r="AH92" s="557"/>
      <c r="AI92" s="557">
        <f>AI91</f>
        <v>10.3</v>
      </c>
      <c r="AJ92" s="337">
        <f t="shared" ref="AJ92:AL96" si="822" xml:space="preserve"> AJ91</f>
        <v>0</v>
      </c>
      <c r="AK92" s="339"/>
      <c r="AL92" s="337">
        <f t="shared" si="822"/>
        <v>0</v>
      </c>
      <c r="AM92" s="339"/>
      <c r="AN92" s="267" t="str">
        <f t="shared" ref="AN92" si="823" xml:space="preserve"> AN91</f>
        <v>Lystb</v>
      </c>
      <c r="AO92" s="45">
        <f>VLOOKUP(AN92,Skrogform!$1:$1048576,3,FALSE)</f>
        <v>0.98</v>
      </c>
      <c r="AP92" s="64">
        <f>AP91</f>
        <v>12.2</v>
      </c>
      <c r="AQ92" s="64">
        <f t="shared" ref="AQ92:AZ92" si="824">AQ91</f>
        <v>10.5</v>
      </c>
      <c r="AR92" s="64">
        <f t="shared" si="824"/>
        <v>3.65</v>
      </c>
      <c r="AS92" s="64">
        <f t="shared" si="824"/>
        <v>1.85</v>
      </c>
      <c r="AT92" s="64">
        <f t="shared" ref="AT92" si="825">AT91</f>
        <v>16.399999999999999</v>
      </c>
      <c r="AU92" s="64">
        <f t="shared" si="824"/>
        <v>16.399999999999999</v>
      </c>
      <c r="AV92" s="64">
        <f t="shared" si="824"/>
        <v>2.5</v>
      </c>
      <c r="AW92" s="64">
        <f t="shared" si="824"/>
        <v>2.5</v>
      </c>
      <c r="AX92" s="256">
        <f>AX91</f>
        <v>0</v>
      </c>
      <c r="AY92" s="256">
        <f t="shared" si="824"/>
        <v>50</v>
      </c>
      <c r="AZ92" s="256">
        <f t="shared" si="824"/>
        <v>350</v>
      </c>
      <c r="BA92" s="256">
        <f t="shared" ref="BA92:BB92" si="826">BA91</f>
        <v>0</v>
      </c>
      <c r="BB92" s="256">
        <f t="shared" si="826"/>
        <v>0</v>
      </c>
      <c r="BC92" s="256"/>
      <c r="BD92" s="66"/>
      <c r="BE92" s="66"/>
      <c r="BF92" s="261"/>
      <c r="BG92" s="66"/>
      <c r="BH92" s="175"/>
      <c r="BI92" s="66"/>
      <c r="BJ92" s="66"/>
      <c r="BK92" s="65" t="str">
        <f t="shared" ref="BK92:BM92" si="827" xml:space="preserve"> BK91</f>
        <v>Fast</v>
      </c>
      <c r="BL92" s="267">
        <f t="shared" si="827"/>
        <v>3</v>
      </c>
      <c r="BM92" s="267">
        <f t="shared" si="827"/>
        <v>46</v>
      </c>
      <c r="BN92" s="45">
        <f t="shared" si="788"/>
        <v>0.98613081682301351</v>
      </c>
      <c r="BO92" s="59"/>
      <c r="BP92" s="59"/>
      <c r="BR92" s="49">
        <f t="shared" ref="BR92:BX96" si="828">IF(O92=0,0,O92*BR$9)</f>
        <v>0</v>
      </c>
      <c r="BS92" s="49">
        <f t="shared" si="828"/>
        <v>0</v>
      </c>
      <c r="BT92" s="49">
        <f t="shared" si="828"/>
        <v>0</v>
      </c>
      <c r="BU92" s="49">
        <f t="shared" si="828"/>
        <v>24.7</v>
      </c>
      <c r="BV92" s="49">
        <f t="shared" si="828"/>
        <v>0</v>
      </c>
      <c r="BW92" s="49">
        <f t="shared" si="828"/>
        <v>0</v>
      </c>
      <c r="BX92" s="49">
        <f t="shared" si="828"/>
        <v>17.600000000000001</v>
      </c>
      <c r="BY92" s="549">
        <f t="shared" ref="BY92:BY100" si="829">IF(COUNT(Q92:U92)&gt;1,MINA(Q92:U92)*BY$9,0)</f>
        <v>-8.8000000000000007</v>
      </c>
      <c r="BZ92" s="85">
        <f t="shared" ref="BZ92:CD96" si="830">IF(V92=0,0,V92*BZ$9)</f>
        <v>0</v>
      </c>
      <c r="CA92" s="85">
        <f t="shared" si="830"/>
        <v>0</v>
      </c>
      <c r="CB92" s="85">
        <f t="shared" si="830"/>
        <v>39.44</v>
      </c>
      <c r="CC92" s="85">
        <f t="shared" si="830"/>
        <v>0</v>
      </c>
      <c r="CD92" s="85">
        <f t="shared" si="830"/>
        <v>0</v>
      </c>
      <c r="CE92" s="85">
        <f>IF(AC92=0,0,AC92*CE$9)</f>
        <v>0</v>
      </c>
      <c r="CF92" s="85">
        <f t="shared" ref="CF92:CG96" si="831">IF(AA92=0,0,AA92*CF$9)</f>
        <v>4.8000000000000007</v>
      </c>
      <c r="CG92" s="85">
        <f t="shared" si="831"/>
        <v>0</v>
      </c>
      <c r="CH92" s="85">
        <f t="shared" ref="CH92:CK96" si="832">IF(AD92=0,0,AD92*CH$9)</f>
        <v>0</v>
      </c>
      <c r="CI92" s="85">
        <f t="shared" si="832"/>
        <v>0</v>
      </c>
      <c r="CJ92" s="85">
        <f t="shared" si="832"/>
        <v>0</v>
      </c>
      <c r="CK92" s="85">
        <f t="shared" si="832"/>
        <v>0</v>
      </c>
      <c r="CL92" s="100">
        <f>SUM(BR92:CK92)</f>
        <v>77.739999999999995</v>
      </c>
      <c r="CM92" s="50"/>
      <c r="CN92" s="104">
        <f>J92</f>
        <v>103.6</v>
      </c>
      <c r="CO92" s="101">
        <f>CL92/CN92</f>
        <v>0.75038610038610043</v>
      </c>
      <c r="CP92" s="51">
        <f>Seilareal/Lwl/Lwl</f>
        <v>0.93968253968253956</v>
      </c>
      <c r="CQ92" s="116">
        <f>Seilareal/Depl^0.667/K$7</f>
        <v>1.4859851768673431</v>
      </c>
      <c r="CR92" s="51">
        <f>Seilareal/Lwl/Lwl/SApRS1</f>
        <v>1.4257984263951662</v>
      </c>
      <c r="CS92" s="204"/>
      <c r="CT92" s="204">
        <f>(ROUND(TBF/CT$6,3)*CT$6)*CT$4</f>
        <v>119</v>
      </c>
      <c r="CU92" s="107">
        <f t="shared" si="36"/>
        <v>1.1921854358858057</v>
      </c>
      <c r="CV92" s="62">
        <f t="shared" si="789"/>
        <v>3.4480659420747251</v>
      </c>
      <c r="CW92" s="62">
        <f t="shared" si="14"/>
        <v>1.7634026882977951</v>
      </c>
      <c r="CX92" s="62">
        <f t="shared" si="790"/>
        <v>1.800102871839254</v>
      </c>
      <c r="CY92" s="107">
        <f t="shared" si="16"/>
        <v>0.99759896686135863</v>
      </c>
      <c r="CZ92" s="168" t="str">
        <f t="shared" si="693"/>
        <v>-</v>
      </c>
      <c r="DA92" s="159">
        <f>DA91</f>
        <v>0</v>
      </c>
      <c r="DB92" s="168">
        <f t="shared" si="694"/>
        <v>1.1064912280701755</v>
      </c>
      <c r="DC92" s="159">
        <f>DC91</f>
        <v>1.19</v>
      </c>
      <c r="DD92" s="190" t="s">
        <v>134</v>
      </c>
      <c r="DE92" s="62">
        <v>0.91</v>
      </c>
      <c r="DF92" s="62">
        <v>0.89</v>
      </c>
      <c r="DG92" s="62">
        <v>0.93</v>
      </c>
      <c r="DH92" s="150">
        <v>0.97</v>
      </c>
      <c r="DI92" s="62">
        <f t="shared" si="695"/>
        <v>2.0040735049398686</v>
      </c>
      <c r="DJ92" s="47">
        <f t="shared" si="696"/>
        <v>12.211221122112212</v>
      </c>
      <c r="DK92" s="48">
        <f t="shared" si="697"/>
        <v>0</v>
      </c>
      <c r="DM92" s="107">
        <f t="shared" si="643"/>
        <v>1.1663829335967444</v>
      </c>
      <c r="DN92" s="141">
        <f t="shared" si="713"/>
        <v>-5.0132817307138922</v>
      </c>
      <c r="DO92" s="107">
        <f t="shared" si="698"/>
        <v>5.2989230854038878</v>
      </c>
      <c r="DP92" s="133">
        <f t="shared" si="725"/>
        <v>3.4706819214912441</v>
      </c>
      <c r="DQ92" s="133">
        <f t="shared" si="726"/>
        <v>0</v>
      </c>
      <c r="DR92" s="133">
        <f t="shared" si="727"/>
        <v>0</v>
      </c>
      <c r="DS92" s="133">
        <f t="shared" si="728"/>
        <v>1.8282411639126435</v>
      </c>
      <c r="DT92" s="107">
        <f t="shared" si="729"/>
        <v>1.800102871839254</v>
      </c>
      <c r="DU92" s="133">
        <f t="shared" si="730"/>
        <v>1.9470448393802795</v>
      </c>
      <c r="DW92" s="107">
        <f t="shared" si="769"/>
        <v>1.2165157509038833</v>
      </c>
      <c r="DX92" s="107">
        <f t="shared" si="699"/>
        <v>1.1974788247263508</v>
      </c>
      <c r="DY92" s="122">
        <f>DX92-DW92</f>
        <v>-1.9036926177532498E-2</v>
      </c>
      <c r="DZ92" s="107">
        <f t="shared" si="700"/>
        <v>1.1810722942071061</v>
      </c>
      <c r="EA92" s="122">
        <f t="shared" si="714"/>
        <v>-3.5443456696777176E-2</v>
      </c>
      <c r="EB92" s="107">
        <f t="shared" si="701"/>
        <v>1.1998853967653684</v>
      </c>
      <c r="EC92" s="122">
        <f t="shared" si="715"/>
        <v>-1.663035413851488E-2</v>
      </c>
      <c r="ED92" s="107">
        <f t="shared" si="731"/>
        <v>3.4703906794989585</v>
      </c>
      <c r="EE92" s="107">
        <f t="shared" si="732"/>
        <v>2.1895879451208748</v>
      </c>
      <c r="EF92" s="107">
        <f t="shared" si="733"/>
        <v>1.579185865474966</v>
      </c>
      <c r="EH92" s="107">
        <f t="shared" si="702"/>
        <v>1.1912155974251055</v>
      </c>
      <c r="EJ92" s="107">
        <f t="shared" si="734"/>
        <v>3.4703906794989585</v>
      </c>
      <c r="EK92" s="107">
        <f t="shared" si="735"/>
        <v>2.1897424068563001</v>
      </c>
      <c r="EL92" s="107">
        <f t="shared" si="736"/>
        <v>1.8388707573234102</v>
      </c>
      <c r="EM92" s="107">
        <f t="shared" si="703"/>
        <v>1.1835479176313346</v>
      </c>
      <c r="EO92" s="107">
        <f t="shared" si="737"/>
        <v>5.4803919087408177</v>
      </c>
      <c r="EP92" s="107">
        <f t="shared" si="738"/>
        <v>3.4703906794989585</v>
      </c>
      <c r="EQ92" s="107">
        <f t="shared" si="739"/>
        <v>1.579185865474966</v>
      </c>
      <c r="ER92" s="107">
        <f t="shared" si="740"/>
        <v>1.800102871839254</v>
      </c>
      <c r="ES92" s="107">
        <f t="shared" si="654"/>
        <v>1.1852173460952853</v>
      </c>
      <c r="EU92" s="107">
        <f t="shared" si="710"/>
        <v>1.8712719253644063</v>
      </c>
      <c r="EV92" s="107">
        <f t="shared" si="741"/>
        <v>3.4703906794989585</v>
      </c>
      <c r="EW92" s="107">
        <f t="shared" si="742"/>
        <v>1.0090099190684112</v>
      </c>
      <c r="EX92" s="107">
        <f t="shared" si="743"/>
        <v>1.8215740458755476</v>
      </c>
      <c r="EY92" s="107">
        <f t="shared" si="658"/>
        <v>1.1303181593971081</v>
      </c>
      <c r="FA92" s="107">
        <f t="shared" si="611"/>
        <v>1.871350444122126</v>
      </c>
      <c r="FB92" s="107">
        <f t="shared" si="744"/>
        <v>3.4706819214912441</v>
      </c>
      <c r="FC92" s="107">
        <f t="shared" si="745"/>
        <v>1.0090099190684112</v>
      </c>
      <c r="FD92" s="107">
        <f t="shared" si="746"/>
        <v>1.8215740458755476</v>
      </c>
      <c r="FE92" s="107">
        <f t="shared" si="662"/>
        <v>1.1738184887228871</v>
      </c>
      <c r="FF92" s="141">
        <f t="shared" si="716"/>
        <v>-4.2697262180996232</v>
      </c>
      <c r="FG92" s="107">
        <f t="shared" si="613"/>
        <v>3.5335047931847914</v>
      </c>
      <c r="FH92" s="133">
        <f t="shared" si="747"/>
        <v>3.4706819214912441</v>
      </c>
      <c r="FI92" s="133">
        <f t="shared" si="748"/>
        <v>1.0181010167784417</v>
      </c>
      <c r="FJ92" s="107">
        <f t="shared" si="749"/>
        <v>1.0243463628900011</v>
      </c>
      <c r="FK92" s="107">
        <f t="shared" si="666"/>
        <v>1.1911136316214868</v>
      </c>
      <c r="FL92" s="141">
        <f t="shared" si="717"/>
        <v>-2.5402119282396551</v>
      </c>
      <c r="FM92" s="107">
        <f t="shared" si="615"/>
        <v>5.6386401309336831</v>
      </c>
      <c r="FN92" s="133">
        <f t="shared" si="750"/>
        <v>3.4706819214912441</v>
      </c>
      <c r="FO92" s="133">
        <f t="shared" si="751"/>
        <v>0.83971704552979509</v>
      </c>
      <c r="FP92" s="133">
        <f t="shared" si="752"/>
        <v>1.8282411639126435</v>
      </c>
      <c r="FQ92" s="107">
        <f t="shared" si="753"/>
        <v>1.800102871839254</v>
      </c>
      <c r="FR92" s="107">
        <f t="shared" si="671"/>
        <v>1.1753103189934004</v>
      </c>
      <c r="FS92" s="141">
        <f t="shared" si="718"/>
        <v>-4.120543191048287</v>
      </c>
      <c r="FT92" s="107">
        <f t="shared" si="617"/>
        <v>6.3452435557177216</v>
      </c>
      <c r="FU92" s="133">
        <f t="shared" si="754"/>
        <v>3.4706819214912441</v>
      </c>
      <c r="FV92" s="133">
        <f t="shared" si="755"/>
        <v>1.8282411639126435</v>
      </c>
      <c r="FW92" s="107">
        <f t="shared" si="756"/>
        <v>1.800102871839254</v>
      </c>
      <c r="FY92">
        <v>0.95</v>
      </c>
      <c r="FZ92" s="62">
        <f t="shared" si="711"/>
        <v>1.1589169871646934</v>
      </c>
      <c r="GA92" s="62">
        <f t="shared" si="712"/>
        <v>1.9470448393802795</v>
      </c>
      <c r="GB92" s="107">
        <f t="shared" si="798"/>
        <v>1.2698545755629935</v>
      </c>
      <c r="GC92" s="440"/>
      <c r="GD92" s="17"/>
      <c r="GE92" s="442"/>
      <c r="GF92" s="462"/>
      <c r="GG92" s="17"/>
      <c r="GH92" s="17"/>
      <c r="GI92" s="17"/>
      <c r="GJ92" s="17"/>
      <c r="GL92" s="17"/>
      <c r="GM92" s="442"/>
      <c r="GN92" s="8"/>
      <c r="GO92" s="8"/>
      <c r="GP92" s="8"/>
      <c r="GQ92" s="8"/>
      <c r="GS92" s="17"/>
      <c r="GT92" s="17"/>
      <c r="GU92" s="17"/>
      <c r="GV92" s="629"/>
      <c r="GW92" s="17"/>
      <c r="GX92" s="17"/>
      <c r="GY92" s="17"/>
      <c r="GZ92" s="17"/>
    </row>
    <row r="93" spans="1:208" ht="15.6" x14ac:dyDescent="0.3">
      <c r="A93" s="60" t="s">
        <v>935</v>
      </c>
      <c r="B93" s="218"/>
      <c r="C93" s="14" t="str">
        <f>C91</f>
        <v>Gaffel</v>
      </c>
      <c r="G93" s="54"/>
      <c r="H93" s="204">
        <f>TBFavrundet</f>
        <v>116.5</v>
      </c>
      <c r="I93" s="63">
        <f>COUNTA(O93:AG93)</f>
        <v>3</v>
      </c>
      <c r="J93" s="222">
        <f>SUM(O93:AG93)</f>
        <v>91.6</v>
      </c>
      <c r="K93" s="116">
        <f>Seilareal/Depl^0.667/K$7</f>
        <v>1.3138633417089636</v>
      </c>
      <c r="L93" s="116">
        <f>Seilareal/Lwl/Lwl/L$7</f>
        <v>1.2606480295154172</v>
      </c>
      <c r="M93" s="92">
        <f>RiggF</f>
        <v>0.79628820960698687</v>
      </c>
      <c r="N93" s="242">
        <f>StHfaktor</f>
        <v>0.99759896686135863</v>
      </c>
      <c r="O93" s="143"/>
      <c r="P93" s="143"/>
      <c r="Q93" s="143"/>
      <c r="R93" s="165">
        <v>24.7</v>
      </c>
      <c r="S93" s="143"/>
      <c r="T93" s="143"/>
      <c r="U93" s="165">
        <v>17.600000000000001</v>
      </c>
      <c r="V93" s="559"/>
      <c r="W93" s="559"/>
      <c r="X93" s="165">
        <v>49.3</v>
      </c>
      <c r="Y93" s="143"/>
      <c r="Z93" s="143"/>
      <c r="AA93" s="143"/>
      <c r="AB93" s="143"/>
      <c r="AC93" s="143"/>
      <c r="AD93" s="143"/>
      <c r="AE93" s="143"/>
      <c r="AF93" s="143"/>
      <c r="AG93" s="551"/>
      <c r="AH93" s="557"/>
      <c r="AI93" s="557">
        <f t="shared" ref="AI93:AI96" si="833">AI92</f>
        <v>10.3</v>
      </c>
      <c r="AJ93" s="337">
        <f t="shared" si="822"/>
        <v>0</v>
      </c>
      <c r="AK93" s="339"/>
      <c r="AL93" s="337">
        <f t="shared" si="822"/>
        <v>0</v>
      </c>
      <c r="AM93" s="339"/>
      <c r="AN93" s="267" t="str">
        <f t="shared" ref="AN93" si="834" xml:space="preserve"> AN92</f>
        <v>Lystb</v>
      </c>
      <c r="AO93" s="45">
        <f>VLOOKUP(AN93,Skrogform!$1:$1048576,3,FALSE)</f>
        <v>0.98</v>
      </c>
      <c r="AP93" s="64">
        <f t="shared" ref="AP93:AZ96" si="835">AP92</f>
        <v>12.2</v>
      </c>
      <c r="AQ93" s="64">
        <f t="shared" si="835"/>
        <v>10.5</v>
      </c>
      <c r="AR93" s="64">
        <f t="shared" si="835"/>
        <v>3.65</v>
      </c>
      <c r="AS93" s="64">
        <f t="shared" si="835"/>
        <v>1.85</v>
      </c>
      <c r="AT93" s="64">
        <f t="shared" ref="AT93" si="836">AT92</f>
        <v>16.399999999999999</v>
      </c>
      <c r="AU93" s="64">
        <f t="shared" si="835"/>
        <v>16.399999999999999</v>
      </c>
      <c r="AV93" s="64">
        <f t="shared" si="835"/>
        <v>2.5</v>
      </c>
      <c r="AW93" s="64">
        <f t="shared" si="835"/>
        <v>2.5</v>
      </c>
      <c r="AX93" s="256">
        <f>AX92</f>
        <v>0</v>
      </c>
      <c r="AY93" s="256">
        <f t="shared" si="835"/>
        <v>50</v>
      </c>
      <c r="AZ93" s="256">
        <f t="shared" si="835"/>
        <v>350</v>
      </c>
      <c r="BA93" s="256">
        <f t="shared" ref="BA93:BB93" si="837">BA92</f>
        <v>0</v>
      </c>
      <c r="BB93" s="256">
        <f t="shared" si="837"/>
        <v>0</v>
      </c>
      <c r="BC93" s="256"/>
      <c r="BD93" s="66"/>
      <c r="BE93" s="66"/>
      <c r="BF93" s="261"/>
      <c r="BG93" s="66"/>
      <c r="BH93" s="175"/>
      <c r="BI93" s="66"/>
      <c r="BJ93" s="66"/>
      <c r="BK93" s="65" t="str">
        <f t="shared" ref="BK93:BM93" si="838" xml:space="preserve"> BK92</f>
        <v>Fast</v>
      </c>
      <c r="BL93" s="267">
        <f t="shared" si="838"/>
        <v>3</v>
      </c>
      <c r="BM93" s="267">
        <f t="shared" si="838"/>
        <v>46</v>
      </c>
      <c r="BN93" s="45">
        <f t="shared" si="788"/>
        <v>0.98613081682301351</v>
      </c>
      <c r="BO93" s="59"/>
      <c r="BP93" s="59"/>
      <c r="BR93" s="49">
        <f t="shared" si="828"/>
        <v>0</v>
      </c>
      <c r="BS93" s="49">
        <f t="shared" si="828"/>
        <v>0</v>
      </c>
      <c r="BT93" s="49">
        <f t="shared" si="828"/>
        <v>0</v>
      </c>
      <c r="BU93" s="49">
        <f t="shared" si="828"/>
        <v>24.7</v>
      </c>
      <c r="BV93" s="49">
        <f t="shared" si="828"/>
        <v>0</v>
      </c>
      <c r="BW93" s="49">
        <f t="shared" si="828"/>
        <v>0</v>
      </c>
      <c r="BX93" s="49">
        <f t="shared" si="828"/>
        <v>17.600000000000001</v>
      </c>
      <c r="BY93" s="549">
        <f t="shared" si="829"/>
        <v>-8.8000000000000007</v>
      </c>
      <c r="BZ93" s="85">
        <f t="shared" si="830"/>
        <v>0</v>
      </c>
      <c r="CA93" s="85">
        <f t="shared" si="830"/>
        <v>0</v>
      </c>
      <c r="CB93" s="85">
        <f t="shared" si="830"/>
        <v>39.44</v>
      </c>
      <c r="CC93" s="85">
        <f t="shared" si="830"/>
        <v>0</v>
      </c>
      <c r="CD93" s="85">
        <f t="shared" si="830"/>
        <v>0</v>
      </c>
      <c r="CE93" s="85">
        <f>IF(AC93=0,0,AC93*CE$9)</f>
        <v>0</v>
      </c>
      <c r="CF93" s="85">
        <f t="shared" si="831"/>
        <v>0</v>
      </c>
      <c r="CG93" s="85">
        <f t="shared" si="831"/>
        <v>0</v>
      </c>
      <c r="CH93" s="85">
        <f t="shared" si="832"/>
        <v>0</v>
      </c>
      <c r="CI93" s="85">
        <f t="shared" si="832"/>
        <v>0</v>
      </c>
      <c r="CJ93" s="85">
        <f t="shared" si="832"/>
        <v>0</v>
      </c>
      <c r="CK93" s="85">
        <f t="shared" si="832"/>
        <v>0</v>
      </c>
      <c r="CL93" s="100">
        <f>SUM(BR93:CK93)</f>
        <v>72.94</v>
      </c>
      <c r="CM93" s="50"/>
      <c r="CN93" s="104">
        <f>J93</f>
        <v>91.6</v>
      </c>
      <c r="CO93" s="101">
        <f>CL93/CN93</f>
        <v>0.79628820960698687</v>
      </c>
      <c r="CP93" s="51">
        <f>Seilareal/Lwl/Lwl</f>
        <v>0.83083900226757357</v>
      </c>
      <c r="CQ93" s="116">
        <f>Seilareal/Depl^0.667/K$7</f>
        <v>1.3138633417089636</v>
      </c>
      <c r="CR93" s="51">
        <f>Seilareal/Lwl/Lwl/SApRS1</f>
        <v>1.2606480295154172</v>
      </c>
      <c r="CS93" s="204"/>
      <c r="CT93" s="204">
        <f>(ROUND(TBF/CT$6,3)*CT$6)*CT$4</f>
        <v>116.5</v>
      </c>
      <c r="CU93" s="107">
        <f t="shared" si="36"/>
        <v>1.1674459584094112</v>
      </c>
      <c r="CV93" s="62">
        <f t="shared" si="789"/>
        <v>3.3399208440730521</v>
      </c>
      <c r="CW93" s="62">
        <f t="shared" si="14"/>
        <v>1.7634026882977951</v>
      </c>
      <c r="CX93" s="62">
        <f t="shared" si="790"/>
        <v>1.800102871839254</v>
      </c>
      <c r="CY93" s="107">
        <f t="shared" si="16"/>
        <v>0.99759896686135863</v>
      </c>
      <c r="CZ93" s="168" t="str">
        <f t="shared" si="693"/>
        <v>-</v>
      </c>
      <c r="DA93" s="158"/>
      <c r="DB93" s="168" t="str">
        <f t="shared" si="694"/>
        <v>-</v>
      </c>
      <c r="DC93" s="160"/>
      <c r="DD93" s="190" t="s">
        <v>134</v>
      </c>
      <c r="DE93" s="62">
        <v>0.88</v>
      </c>
      <c r="DF93" s="62">
        <v>0.87</v>
      </c>
      <c r="DG93" s="62">
        <v>0.91</v>
      </c>
      <c r="DH93" s="150">
        <v>0.94</v>
      </c>
      <c r="DI93" s="62">
        <f t="shared" si="695"/>
        <v>2.0040735049398686</v>
      </c>
      <c r="DJ93" s="47">
        <f t="shared" si="696"/>
        <v>12.211221122112212</v>
      </c>
      <c r="DK93" s="48">
        <f t="shared" si="697"/>
        <v>0</v>
      </c>
      <c r="DM93" s="107">
        <f t="shared" si="643"/>
        <v>1.142422226510819</v>
      </c>
      <c r="DN93" s="141" t="str">
        <f t="shared" si="713"/>
        <v>-</v>
      </c>
      <c r="DO93" s="107">
        <f t="shared" si="698"/>
        <v>5.1900686601006223</v>
      </c>
      <c r="DP93" s="133">
        <f t="shared" si="725"/>
        <v>3.361827496187979</v>
      </c>
      <c r="DQ93" s="133">
        <f t="shared" si="726"/>
        <v>0</v>
      </c>
      <c r="DR93" s="133">
        <f t="shared" si="727"/>
        <v>0</v>
      </c>
      <c r="DS93" s="133">
        <f t="shared" si="728"/>
        <v>1.8282411639126435</v>
      </c>
      <c r="DT93" s="107">
        <f t="shared" si="729"/>
        <v>1.800102871839254</v>
      </c>
      <c r="DU93" s="133">
        <f t="shared" si="730"/>
        <v>1.9470448393802795</v>
      </c>
      <c r="DW93" s="107">
        <f t="shared" si="769"/>
        <v>1.1912713861320521</v>
      </c>
      <c r="DX93" s="107">
        <f t="shared" si="699"/>
        <v>1.1675821661953889</v>
      </c>
      <c r="DZ93" s="107">
        <f t="shared" si="700"/>
        <v>1.1569992156085722</v>
      </c>
      <c r="EA93" s="122" t="str">
        <f t="shared" si="714"/>
        <v>-</v>
      </c>
      <c r="EB93" s="107">
        <f t="shared" si="701"/>
        <v>1.1710305520180349</v>
      </c>
      <c r="EC93" s="122" t="str">
        <f t="shared" si="715"/>
        <v>-</v>
      </c>
      <c r="ED93" s="107">
        <f t="shared" si="731"/>
        <v>3.3615453887059745</v>
      </c>
      <c r="EE93" s="107">
        <f t="shared" si="732"/>
        <v>2.1895879451208748</v>
      </c>
      <c r="EF93" s="107">
        <f t="shared" si="733"/>
        <v>1.579185865474966</v>
      </c>
      <c r="EH93" s="107">
        <f t="shared" si="702"/>
        <v>1.1651872269986634</v>
      </c>
      <c r="EJ93" s="107">
        <f t="shared" si="734"/>
        <v>3.3615453887059745</v>
      </c>
      <c r="EK93" s="107">
        <f t="shared" si="735"/>
        <v>2.1897424068563001</v>
      </c>
      <c r="EL93" s="107">
        <f t="shared" si="736"/>
        <v>1.8388707573234102</v>
      </c>
      <c r="EM93" s="107">
        <f t="shared" si="703"/>
        <v>1.1563519581145862</v>
      </c>
      <c r="EO93" s="107">
        <f t="shared" si="737"/>
        <v>5.3085049639970254</v>
      </c>
      <c r="EP93" s="107">
        <f t="shared" si="738"/>
        <v>3.3615453887059745</v>
      </c>
      <c r="EQ93" s="107">
        <f t="shared" si="739"/>
        <v>1.579185865474966</v>
      </c>
      <c r="ER93" s="107">
        <f t="shared" si="740"/>
        <v>1.800102871839254</v>
      </c>
      <c r="ES93" s="107">
        <f t="shared" si="654"/>
        <v>1.1596515887826708</v>
      </c>
      <c r="EU93" s="107">
        <f t="shared" si="710"/>
        <v>1.8416928735820763</v>
      </c>
      <c r="EV93" s="107">
        <f t="shared" si="741"/>
        <v>3.3615453887059745</v>
      </c>
      <c r="EW93" s="107">
        <f t="shared" si="742"/>
        <v>1.0090099190684112</v>
      </c>
      <c r="EX93" s="107">
        <f t="shared" si="743"/>
        <v>1.8215740458755476</v>
      </c>
      <c r="EY93" s="107">
        <f t="shared" si="658"/>
        <v>1.1124513069561919</v>
      </c>
      <c r="FA93" s="107">
        <f t="shared" si="611"/>
        <v>1.8417701511998157</v>
      </c>
      <c r="FB93" s="107">
        <f t="shared" si="744"/>
        <v>3.361827496187979</v>
      </c>
      <c r="FC93" s="107">
        <f t="shared" si="745"/>
        <v>1.0090099190684112</v>
      </c>
      <c r="FD93" s="107">
        <f t="shared" si="746"/>
        <v>1.8215740458755476</v>
      </c>
      <c r="FE93" s="107">
        <f t="shared" si="662"/>
        <v>1.150309301439014</v>
      </c>
      <c r="FF93" s="141" t="str">
        <f t="shared" si="716"/>
        <v>-</v>
      </c>
      <c r="FG93" s="107">
        <f t="shared" si="613"/>
        <v>3.422679992102704</v>
      </c>
      <c r="FH93" s="133">
        <f t="shared" si="747"/>
        <v>3.361827496187979</v>
      </c>
      <c r="FI93" s="133">
        <f t="shared" si="748"/>
        <v>1.0181010167784417</v>
      </c>
      <c r="FJ93" s="107">
        <f t="shared" si="749"/>
        <v>1.0243463628900011</v>
      </c>
      <c r="FK93" s="107">
        <f t="shared" si="666"/>
        <v>1.1625556465235731</v>
      </c>
      <c r="FL93" s="141" t="str">
        <f t="shared" si="717"/>
        <v>-</v>
      </c>
      <c r="FM93" s="107">
        <f t="shared" si="615"/>
        <v>5.5034488304928582</v>
      </c>
      <c r="FN93" s="133">
        <f t="shared" si="750"/>
        <v>3.361827496187979</v>
      </c>
      <c r="FO93" s="133">
        <f t="shared" si="751"/>
        <v>0.8133801703922352</v>
      </c>
      <c r="FP93" s="133">
        <f t="shared" si="752"/>
        <v>1.8282411639126435</v>
      </c>
      <c r="FQ93" s="107">
        <f t="shared" si="753"/>
        <v>1.800102871839254</v>
      </c>
      <c r="FR93" s="107">
        <f t="shared" si="671"/>
        <v>1.1527007958909785</v>
      </c>
      <c r="FS93" s="141" t="str">
        <f t="shared" si="718"/>
        <v>-</v>
      </c>
      <c r="FT93" s="107">
        <f t="shared" si="617"/>
        <v>6.1462314145042392</v>
      </c>
      <c r="FU93" s="133">
        <f t="shared" si="754"/>
        <v>3.361827496187979</v>
      </c>
      <c r="FV93" s="133">
        <f t="shared" si="755"/>
        <v>1.8282411639126435</v>
      </c>
      <c r="FW93" s="107">
        <f t="shared" si="756"/>
        <v>1.800102871839254</v>
      </c>
      <c r="FY93">
        <v>0.95</v>
      </c>
      <c r="FZ93" s="62">
        <f t="shared" si="711"/>
        <v>1.1415077030971847</v>
      </c>
      <c r="GA93" s="62">
        <f t="shared" si="712"/>
        <v>1.9470448393802795</v>
      </c>
      <c r="GB93" s="107">
        <f t="shared" si="798"/>
        <v>1.2564374091889188</v>
      </c>
      <c r="GC93" s="440"/>
      <c r="GD93" s="17"/>
      <c r="GE93" s="442"/>
      <c r="GF93" s="462"/>
      <c r="GG93" s="17"/>
      <c r="GH93" s="17"/>
      <c r="GI93" s="17"/>
      <c r="GJ93" s="17"/>
      <c r="GL93" s="17"/>
      <c r="GM93" s="442"/>
      <c r="GN93" s="8"/>
      <c r="GO93" s="8"/>
      <c r="GP93" s="8"/>
      <c r="GQ93" s="8"/>
      <c r="GS93" s="17"/>
      <c r="GT93" s="17"/>
      <c r="GU93" s="17"/>
      <c r="GV93" s="629"/>
      <c r="GW93" s="17"/>
      <c r="GX93" s="17"/>
      <c r="GY93" s="17"/>
      <c r="GZ93" s="17"/>
    </row>
    <row r="94" spans="1:208" ht="15.6" x14ac:dyDescent="0.3">
      <c r="A94" s="60" t="s">
        <v>33</v>
      </c>
      <c r="B94" s="218"/>
      <c r="C94" s="14" t="str">
        <f>C90</f>
        <v>Gaffel</v>
      </c>
      <c r="G94" s="54"/>
      <c r="H94" s="204">
        <f>TBFavrundet</f>
        <v>108</v>
      </c>
      <c r="I94" s="63">
        <f>COUNTA(O94:AG94)</f>
        <v>2</v>
      </c>
      <c r="J94" s="222">
        <f>SUM(O94:AG94)</f>
        <v>66.900000000000006</v>
      </c>
      <c r="K94" s="116">
        <f>Seilareal/Depl^0.667/K$7</f>
        <v>0.95957923100796583</v>
      </c>
      <c r="L94" s="116">
        <f>Seilareal/Lwl/Lwl/L$7</f>
        <v>0.92071346260460085</v>
      </c>
      <c r="M94" s="92">
        <f>RiggF</f>
        <v>0.85261584454409556</v>
      </c>
      <c r="N94" s="242">
        <f>StHfaktor</f>
        <v>0.99759896686135863</v>
      </c>
      <c r="O94" s="143"/>
      <c r="P94" s="143"/>
      <c r="Q94" s="143"/>
      <c r="R94" s="143"/>
      <c r="S94" s="143"/>
      <c r="T94" s="143"/>
      <c r="U94" s="165">
        <v>17.600000000000001</v>
      </c>
      <c r="V94" s="559"/>
      <c r="W94" s="559"/>
      <c r="X94" s="165">
        <v>49.3</v>
      </c>
      <c r="Y94" s="143"/>
      <c r="Z94" s="143"/>
      <c r="AA94" s="143"/>
      <c r="AB94" s="143"/>
      <c r="AC94" s="143"/>
      <c r="AD94" s="143"/>
      <c r="AE94" s="143"/>
      <c r="AF94" s="143"/>
      <c r="AG94" s="551"/>
      <c r="AH94" s="557"/>
      <c r="AI94" s="557">
        <f t="shared" si="833"/>
        <v>10.3</v>
      </c>
      <c r="AJ94" s="337">
        <f t="shared" si="822"/>
        <v>0</v>
      </c>
      <c r="AK94" s="339"/>
      <c r="AL94" s="337">
        <f t="shared" si="822"/>
        <v>0</v>
      </c>
      <c r="AM94" s="339"/>
      <c r="AN94" s="267" t="str">
        <f t="shared" ref="AN94" si="839" xml:space="preserve"> AN93</f>
        <v>Lystb</v>
      </c>
      <c r="AO94" s="45">
        <f>VLOOKUP(AN94,Skrogform!$1:$1048576,3,FALSE)</f>
        <v>0.98</v>
      </c>
      <c r="AP94" s="64">
        <f t="shared" si="835"/>
        <v>12.2</v>
      </c>
      <c r="AQ94" s="64">
        <f t="shared" si="835"/>
        <v>10.5</v>
      </c>
      <c r="AR94" s="64">
        <f t="shared" si="835"/>
        <v>3.65</v>
      </c>
      <c r="AS94" s="64">
        <f t="shared" si="835"/>
        <v>1.85</v>
      </c>
      <c r="AT94" s="64">
        <f t="shared" ref="AT94" si="840">AT93</f>
        <v>16.399999999999999</v>
      </c>
      <c r="AU94" s="64">
        <f t="shared" si="835"/>
        <v>16.399999999999999</v>
      </c>
      <c r="AV94" s="64">
        <f t="shared" si="835"/>
        <v>2.5</v>
      </c>
      <c r="AW94" s="64">
        <f t="shared" si="835"/>
        <v>2.5</v>
      </c>
      <c r="AX94" s="256">
        <f>AX93</f>
        <v>0</v>
      </c>
      <c r="AY94" s="256">
        <f t="shared" si="835"/>
        <v>50</v>
      </c>
      <c r="AZ94" s="256">
        <f t="shared" si="835"/>
        <v>350</v>
      </c>
      <c r="BA94" s="256">
        <f t="shared" ref="BA94:BB94" si="841">BA93</f>
        <v>0</v>
      </c>
      <c r="BB94" s="256">
        <f t="shared" si="841"/>
        <v>0</v>
      </c>
      <c r="BC94" s="256"/>
      <c r="BD94" s="66"/>
      <c r="BE94" s="66"/>
      <c r="BF94" s="261"/>
      <c r="BG94" s="66"/>
      <c r="BH94" s="175"/>
      <c r="BI94" s="66"/>
      <c r="BJ94" s="66"/>
      <c r="BK94" s="65" t="str">
        <f t="shared" ref="BK94:BM94" si="842" xml:space="preserve"> BK93</f>
        <v>Fast</v>
      </c>
      <c r="BL94" s="267">
        <f t="shared" si="842"/>
        <v>3</v>
      </c>
      <c r="BM94" s="267">
        <f t="shared" si="842"/>
        <v>46</v>
      </c>
      <c r="BN94" s="45">
        <f t="shared" si="788"/>
        <v>0.98613081682301351</v>
      </c>
      <c r="BO94" s="59"/>
      <c r="BP94" s="59"/>
      <c r="BR94" s="49">
        <f t="shared" si="828"/>
        <v>0</v>
      </c>
      <c r="BS94" s="49">
        <f t="shared" si="828"/>
        <v>0</v>
      </c>
      <c r="BT94" s="49">
        <f t="shared" si="828"/>
        <v>0</v>
      </c>
      <c r="BU94" s="49">
        <f t="shared" si="828"/>
        <v>0</v>
      </c>
      <c r="BV94" s="49">
        <f t="shared" si="828"/>
        <v>0</v>
      </c>
      <c r="BW94" s="49">
        <f t="shared" si="828"/>
        <v>0</v>
      </c>
      <c r="BX94" s="49">
        <f t="shared" si="828"/>
        <v>17.600000000000001</v>
      </c>
      <c r="BY94" s="549">
        <f t="shared" si="829"/>
        <v>0</v>
      </c>
      <c r="BZ94" s="85">
        <f t="shared" si="830"/>
        <v>0</v>
      </c>
      <c r="CA94" s="85">
        <f t="shared" si="830"/>
        <v>0</v>
      </c>
      <c r="CB94" s="85">
        <f t="shared" si="830"/>
        <v>39.44</v>
      </c>
      <c r="CC94" s="85">
        <f t="shared" si="830"/>
        <v>0</v>
      </c>
      <c r="CD94" s="85">
        <f t="shared" si="830"/>
        <v>0</v>
      </c>
      <c r="CE94" s="85">
        <f>IF(AC94=0,0,AC94*CE$9)</f>
        <v>0</v>
      </c>
      <c r="CF94" s="85">
        <f t="shared" si="831"/>
        <v>0</v>
      </c>
      <c r="CG94" s="85">
        <f t="shared" si="831"/>
        <v>0</v>
      </c>
      <c r="CH94" s="85">
        <f t="shared" si="832"/>
        <v>0</v>
      </c>
      <c r="CI94" s="85">
        <f t="shared" si="832"/>
        <v>0</v>
      </c>
      <c r="CJ94" s="85">
        <f t="shared" si="832"/>
        <v>0</v>
      </c>
      <c r="CK94" s="85">
        <f t="shared" si="832"/>
        <v>0</v>
      </c>
      <c r="CL94" s="100">
        <f>SUM(BR94:CK94)</f>
        <v>57.04</v>
      </c>
      <c r="CM94" s="50"/>
      <c r="CN94" s="104">
        <f>J94</f>
        <v>66.900000000000006</v>
      </c>
      <c r="CO94" s="101">
        <f>CL94/CN94</f>
        <v>0.85261584454409556</v>
      </c>
      <c r="CP94" s="51">
        <f>Seilareal/Lwl/Lwl</f>
        <v>0.60680272108843547</v>
      </c>
      <c r="CQ94" s="116">
        <f>Seilareal/Depl^0.667/K$7</f>
        <v>0.95957923100796583</v>
      </c>
      <c r="CR94" s="51">
        <f>Seilareal/Lwl/Lwl/SApRS1</f>
        <v>0.92071346260460085</v>
      </c>
      <c r="CS94" s="204"/>
      <c r="CT94" s="204">
        <f>(ROUND(TBF/CT$6,3)*CT$6)*CT$4</f>
        <v>108</v>
      </c>
      <c r="CU94" s="107">
        <f t="shared" si="36"/>
        <v>1.0790570498419532</v>
      </c>
      <c r="CV94" s="62">
        <f t="shared" si="789"/>
        <v>2.9535413343033201</v>
      </c>
      <c r="CW94" s="62">
        <f t="shared" si="14"/>
        <v>1.7634026882977951</v>
      </c>
      <c r="CX94" s="62">
        <f t="shared" si="790"/>
        <v>1.800102871839254</v>
      </c>
      <c r="CY94" s="107">
        <f t="shared" si="16"/>
        <v>0.99759896686135863</v>
      </c>
      <c r="CZ94" s="168" t="str">
        <f t="shared" si="693"/>
        <v>-</v>
      </c>
      <c r="DA94" s="158"/>
      <c r="DB94" s="168" t="str">
        <f t="shared" si="694"/>
        <v>-</v>
      </c>
      <c r="DC94" s="160"/>
      <c r="DD94" s="190" t="s">
        <v>134</v>
      </c>
      <c r="DE94" s="62">
        <v>0.81</v>
      </c>
      <c r="DF94" s="62">
        <v>0.83</v>
      </c>
      <c r="DG94" s="62">
        <v>0.84</v>
      </c>
      <c r="DH94" s="150">
        <v>0.87</v>
      </c>
      <c r="DI94" s="62">
        <f t="shared" si="695"/>
        <v>2.0040735049398686</v>
      </c>
      <c r="DJ94" s="47">
        <f t="shared" si="696"/>
        <v>12.211221122112212</v>
      </c>
      <c r="DK94" s="48">
        <f t="shared" si="697"/>
        <v>0</v>
      </c>
      <c r="DM94" s="107">
        <f t="shared" si="643"/>
        <v>1.0568156994590545</v>
      </c>
      <c r="DN94" s="141" t="str">
        <f t="shared" si="713"/>
        <v>-</v>
      </c>
      <c r="DO94" s="107">
        <f t="shared" si="698"/>
        <v>4.8011548742507006</v>
      </c>
      <c r="DP94" s="133">
        <f t="shared" si="725"/>
        <v>2.972913710338057</v>
      </c>
      <c r="DQ94" s="133">
        <f t="shared" si="726"/>
        <v>0</v>
      </c>
      <c r="DR94" s="133">
        <f t="shared" si="727"/>
        <v>0</v>
      </c>
      <c r="DS94" s="133">
        <f t="shared" si="728"/>
        <v>1.8282411639126435</v>
      </c>
      <c r="DT94" s="107">
        <f t="shared" si="729"/>
        <v>1.800102871839254</v>
      </c>
      <c r="DU94" s="133">
        <f t="shared" si="730"/>
        <v>1.9470448393802795</v>
      </c>
      <c r="DW94" s="107">
        <f t="shared" si="769"/>
        <v>1.1010786222877071</v>
      </c>
      <c r="DX94" s="107">
        <f t="shared" si="699"/>
        <v>1.0607677429769886</v>
      </c>
      <c r="DZ94" s="107">
        <f t="shared" si="700"/>
        <v>1.070991208963594</v>
      </c>
      <c r="EA94" s="122" t="str">
        <f t="shared" si="714"/>
        <v>-</v>
      </c>
      <c r="EB94" s="107">
        <f t="shared" si="701"/>
        <v>1.0679383085972196</v>
      </c>
      <c r="EC94" s="122" t="str">
        <f t="shared" si="715"/>
        <v>-</v>
      </c>
      <c r="ED94" s="107">
        <f t="shared" si="731"/>
        <v>2.9726642385248865</v>
      </c>
      <c r="EE94" s="107">
        <f t="shared" si="732"/>
        <v>2.1895879451208748</v>
      </c>
      <c r="EF94" s="107">
        <f t="shared" si="733"/>
        <v>1.579185865474966</v>
      </c>
      <c r="EH94" s="107">
        <f t="shared" si="702"/>
        <v>1.0721933771496566</v>
      </c>
      <c r="EJ94" s="107">
        <f t="shared" si="734"/>
        <v>2.9726642385248865</v>
      </c>
      <c r="EK94" s="107">
        <f t="shared" si="735"/>
        <v>2.1897424068563001</v>
      </c>
      <c r="EL94" s="107">
        <f t="shared" si="736"/>
        <v>1.8388707573234102</v>
      </c>
      <c r="EM94" s="107">
        <f t="shared" si="703"/>
        <v>1.059186559960005</v>
      </c>
      <c r="EO94" s="107">
        <f t="shared" si="737"/>
        <v>4.6943893482814039</v>
      </c>
      <c r="EP94" s="107">
        <f t="shared" si="738"/>
        <v>2.9726642385248865</v>
      </c>
      <c r="EQ94" s="107">
        <f t="shared" si="739"/>
        <v>1.579185865474966</v>
      </c>
      <c r="ER94" s="107">
        <f t="shared" si="740"/>
        <v>1.800102871839254</v>
      </c>
      <c r="ES94" s="107">
        <f t="shared" si="654"/>
        <v>1.0647479819105774</v>
      </c>
      <c r="EU94" s="107">
        <f t="shared" si="710"/>
        <v>1.7318913657419612</v>
      </c>
      <c r="EV94" s="107">
        <f t="shared" si="741"/>
        <v>2.9726642385248865</v>
      </c>
      <c r="EW94" s="107">
        <f t="shared" si="742"/>
        <v>1.0090099190684112</v>
      </c>
      <c r="EX94" s="107">
        <f t="shared" si="743"/>
        <v>1.8215740458755476</v>
      </c>
      <c r="EY94" s="107">
        <f t="shared" si="658"/>
        <v>1.0461270936985716</v>
      </c>
      <c r="FA94" s="107">
        <f t="shared" si="611"/>
        <v>1.731964036077416</v>
      </c>
      <c r="FB94" s="107">
        <f t="shared" si="744"/>
        <v>2.972913710338057</v>
      </c>
      <c r="FC94" s="107">
        <f t="shared" si="745"/>
        <v>1.0090099190684112</v>
      </c>
      <c r="FD94" s="107">
        <f t="shared" si="746"/>
        <v>1.8215740458755476</v>
      </c>
      <c r="FE94" s="107">
        <f t="shared" si="662"/>
        <v>1.0663159589235063</v>
      </c>
      <c r="FF94" s="141" t="str">
        <f t="shared" si="716"/>
        <v>-</v>
      </c>
      <c r="FG94" s="107">
        <f t="shared" si="613"/>
        <v>3.0267264712897455</v>
      </c>
      <c r="FH94" s="133">
        <f t="shared" si="747"/>
        <v>2.972913710338057</v>
      </c>
      <c r="FI94" s="133">
        <f t="shared" si="748"/>
        <v>1.0181010167784417</v>
      </c>
      <c r="FJ94" s="107">
        <f t="shared" si="749"/>
        <v>1.0243463628900011</v>
      </c>
      <c r="FK94" s="107">
        <f t="shared" si="666"/>
        <v>1.0605240196996504</v>
      </c>
      <c r="FL94" s="141" t="str">
        <f t="shared" si="717"/>
        <v>-</v>
      </c>
      <c r="FM94" s="107">
        <f t="shared" si="615"/>
        <v>5.0204389728601937</v>
      </c>
      <c r="FN94" s="133">
        <f t="shared" si="750"/>
        <v>2.972913710338057</v>
      </c>
      <c r="FO94" s="133">
        <f t="shared" si="751"/>
        <v>0.71928409860949349</v>
      </c>
      <c r="FP94" s="133">
        <f t="shared" si="752"/>
        <v>1.8282411639126435</v>
      </c>
      <c r="FQ94" s="107">
        <f t="shared" si="753"/>
        <v>1.800102871839254</v>
      </c>
      <c r="FR94" s="107">
        <f t="shared" si="671"/>
        <v>1.0719217627783917</v>
      </c>
      <c r="FS94" s="141" t="str">
        <f t="shared" si="718"/>
        <v>-</v>
      </c>
      <c r="FT94" s="107">
        <f t="shared" si="617"/>
        <v>5.4352032220003048</v>
      </c>
      <c r="FU94" s="133">
        <f t="shared" si="754"/>
        <v>2.972913710338057</v>
      </c>
      <c r="FV94" s="133">
        <f t="shared" si="755"/>
        <v>1.8282411639126435</v>
      </c>
      <c r="FW94" s="107">
        <f t="shared" si="756"/>
        <v>1.800102871839254</v>
      </c>
      <c r="FY94">
        <v>0.95</v>
      </c>
      <c r="FZ94" s="62">
        <f t="shared" si="711"/>
        <v>1.07930802167157</v>
      </c>
      <c r="GA94" s="62">
        <f t="shared" si="712"/>
        <v>1.9470448393802795</v>
      </c>
      <c r="GB94" s="107">
        <f t="shared" si="798"/>
        <v>1.2059884585853495</v>
      </c>
      <c r="GC94" s="440"/>
      <c r="GD94" s="17"/>
      <c r="GE94" s="442"/>
      <c r="GF94" s="462"/>
      <c r="GG94" s="17"/>
      <c r="GH94" s="17"/>
      <c r="GI94" s="17"/>
      <c r="GJ94" s="17"/>
      <c r="GL94" s="17"/>
      <c r="GM94" s="442"/>
      <c r="GN94" s="8"/>
      <c r="GO94" s="8"/>
      <c r="GP94" s="8"/>
      <c r="GQ94" s="8"/>
      <c r="GS94" s="17"/>
      <c r="GT94" s="17"/>
      <c r="GU94" s="17"/>
      <c r="GV94" s="629"/>
      <c r="GW94" s="17"/>
      <c r="GX94" s="17"/>
      <c r="GY94" s="17"/>
      <c r="GZ94" s="17"/>
    </row>
    <row r="95" spans="1:208" ht="15.6" x14ac:dyDescent="0.3">
      <c r="A95" s="60" t="s">
        <v>35</v>
      </c>
      <c r="B95" s="218"/>
      <c r="C95" s="14" t="str">
        <f>C91</f>
        <v>Gaffel</v>
      </c>
      <c r="G95" s="54"/>
      <c r="H95" s="204">
        <f>TBFavrundet</f>
        <v>103</v>
      </c>
      <c r="I95" s="63">
        <f>COUNTA(O95:AG95)</f>
        <v>2</v>
      </c>
      <c r="J95" s="222">
        <f>SUM(O95:AG95)</f>
        <v>57.9</v>
      </c>
      <c r="K95" s="116">
        <f>Seilareal/Depl^0.667/K$7</f>
        <v>0.83048785463918107</v>
      </c>
      <c r="L95" s="116">
        <f>Seilareal/Lwl/Lwl/L$7</f>
        <v>0.79685066494478896</v>
      </c>
      <c r="M95" s="92">
        <f>RiggF</f>
        <v>0.84687392055267707</v>
      </c>
      <c r="N95" s="242">
        <f>StHfaktor</f>
        <v>0.99759896686135863</v>
      </c>
      <c r="O95" s="143"/>
      <c r="P95" s="143"/>
      <c r="Q95" s="143"/>
      <c r="R95" s="143"/>
      <c r="S95" s="143"/>
      <c r="T95" s="143"/>
      <c r="U95" s="165">
        <v>17.600000000000001</v>
      </c>
      <c r="V95" s="559"/>
      <c r="W95" s="559"/>
      <c r="X95" s="143"/>
      <c r="Y95" s="180">
        <f>Y91</f>
        <v>40.299999999999997</v>
      </c>
      <c r="Z95" s="143"/>
      <c r="AA95" s="143"/>
      <c r="AB95" s="143"/>
      <c r="AC95" s="143"/>
      <c r="AD95" s="143"/>
      <c r="AE95" s="143"/>
      <c r="AF95" s="143"/>
      <c r="AG95" s="551"/>
      <c r="AH95" s="557"/>
      <c r="AI95" s="557">
        <f t="shared" si="833"/>
        <v>10.3</v>
      </c>
      <c r="AJ95" s="337">
        <f t="shared" si="822"/>
        <v>0</v>
      </c>
      <c r="AK95" s="339"/>
      <c r="AL95" s="337">
        <f t="shared" si="822"/>
        <v>0</v>
      </c>
      <c r="AM95" s="339"/>
      <c r="AN95" s="267" t="str">
        <f t="shared" ref="AN95" si="843" xml:space="preserve"> AN94</f>
        <v>Lystb</v>
      </c>
      <c r="AO95" s="45">
        <f>VLOOKUP(AN95,Skrogform!$1:$1048576,3,FALSE)</f>
        <v>0.98</v>
      </c>
      <c r="AP95" s="64">
        <f t="shared" si="835"/>
        <v>12.2</v>
      </c>
      <c r="AQ95" s="64">
        <f t="shared" si="835"/>
        <v>10.5</v>
      </c>
      <c r="AR95" s="64">
        <f t="shared" si="835"/>
        <v>3.65</v>
      </c>
      <c r="AS95" s="64">
        <f t="shared" si="835"/>
        <v>1.85</v>
      </c>
      <c r="AT95" s="64">
        <f t="shared" ref="AT95" si="844">AT94</f>
        <v>16.399999999999999</v>
      </c>
      <c r="AU95" s="64">
        <f t="shared" si="835"/>
        <v>16.399999999999999</v>
      </c>
      <c r="AV95" s="64">
        <f t="shared" si="835"/>
        <v>2.5</v>
      </c>
      <c r="AW95" s="64">
        <f t="shared" si="835"/>
        <v>2.5</v>
      </c>
      <c r="AX95" s="256">
        <f>AX94</f>
        <v>0</v>
      </c>
      <c r="AY95" s="256">
        <f t="shared" si="835"/>
        <v>50</v>
      </c>
      <c r="AZ95" s="256">
        <f t="shared" si="835"/>
        <v>350</v>
      </c>
      <c r="BA95" s="256">
        <f t="shared" ref="BA95:BB95" si="845">BA94</f>
        <v>0</v>
      </c>
      <c r="BB95" s="256">
        <f t="shared" si="845"/>
        <v>0</v>
      </c>
      <c r="BC95" s="256"/>
      <c r="BD95" s="66"/>
      <c r="BE95" s="66"/>
      <c r="BF95" s="261"/>
      <c r="BG95" s="66"/>
      <c r="BH95" s="175"/>
      <c r="BI95" s="66"/>
      <c r="BJ95" s="66"/>
      <c r="BK95" s="65" t="str">
        <f t="shared" ref="BK95:BM95" si="846" xml:space="preserve"> BK94</f>
        <v>Fast</v>
      </c>
      <c r="BL95" s="267">
        <f t="shared" si="846"/>
        <v>3</v>
      </c>
      <c r="BM95" s="267">
        <f t="shared" si="846"/>
        <v>46</v>
      </c>
      <c r="BN95" s="45">
        <f t="shared" si="788"/>
        <v>0.98613081682301351</v>
      </c>
      <c r="BO95" s="59"/>
      <c r="BP95" s="59"/>
      <c r="BR95" s="49">
        <f t="shared" si="828"/>
        <v>0</v>
      </c>
      <c r="BS95" s="49">
        <f t="shared" si="828"/>
        <v>0</v>
      </c>
      <c r="BT95" s="49">
        <f t="shared" si="828"/>
        <v>0</v>
      </c>
      <c r="BU95" s="49">
        <f t="shared" si="828"/>
        <v>0</v>
      </c>
      <c r="BV95" s="49">
        <f t="shared" si="828"/>
        <v>0</v>
      </c>
      <c r="BW95" s="49">
        <f t="shared" si="828"/>
        <v>0</v>
      </c>
      <c r="BX95" s="49">
        <f t="shared" si="828"/>
        <v>17.600000000000001</v>
      </c>
      <c r="BY95" s="549">
        <f t="shared" si="829"/>
        <v>0</v>
      </c>
      <c r="BZ95" s="85">
        <f t="shared" si="830"/>
        <v>0</v>
      </c>
      <c r="CA95" s="85">
        <f t="shared" si="830"/>
        <v>0</v>
      </c>
      <c r="CB95" s="85">
        <f t="shared" si="830"/>
        <v>0</v>
      </c>
      <c r="CC95" s="85">
        <f t="shared" si="830"/>
        <v>31.433999999999997</v>
      </c>
      <c r="CD95" s="85">
        <f t="shared" si="830"/>
        <v>0</v>
      </c>
      <c r="CE95" s="85">
        <f>IF(AC95=0,0,AC95*CE$9)</f>
        <v>0</v>
      </c>
      <c r="CF95" s="85">
        <f t="shared" si="831"/>
        <v>0</v>
      </c>
      <c r="CG95" s="85">
        <f t="shared" si="831"/>
        <v>0</v>
      </c>
      <c r="CH95" s="85">
        <f t="shared" si="832"/>
        <v>0</v>
      </c>
      <c r="CI95" s="85">
        <f t="shared" si="832"/>
        <v>0</v>
      </c>
      <c r="CJ95" s="85">
        <f t="shared" si="832"/>
        <v>0</v>
      </c>
      <c r="CK95" s="85">
        <f t="shared" si="832"/>
        <v>0</v>
      </c>
      <c r="CL95" s="100">
        <f>SUM(BR95:CK95)</f>
        <v>49.033999999999999</v>
      </c>
      <c r="CM95" s="50"/>
      <c r="CN95" s="104">
        <f>J95</f>
        <v>57.9</v>
      </c>
      <c r="CO95" s="101">
        <f>CL95/CN95</f>
        <v>0.84687392055267707</v>
      </c>
      <c r="CP95" s="51">
        <f>Seilareal/Lwl/Lwl</f>
        <v>0.52517006802721089</v>
      </c>
      <c r="CQ95" s="116">
        <f>Seilareal/Depl^0.667/K$7</f>
        <v>0.83048785463918107</v>
      </c>
      <c r="CR95" s="51">
        <f>Seilareal/Lwl/Lwl/SApRS1</f>
        <v>0.79685066494478896</v>
      </c>
      <c r="CS95" s="204"/>
      <c r="CT95" s="204">
        <f>(ROUND(TBF/CT$6,3)*CT$6)*CT$4</f>
        <v>103</v>
      </c>
      <c r="CU95" s="107">
        <f t="shared" si="36"/>
        <v>1.0298482237421025</v>
      </c>
      <c r="CV95" s="62">
        <f t="shared" si="789"/>
        <v>2.7384319680609086</v>
      </c>
      <c r="CW95" s="62">
        <f t="shared" si="14"/>
        <v>1.7634026882977951</v>
      </c>
      <c r="CX95" s="62">
        <f t="shared" si="790"/>
        <v>1.800102871839254</v>
      </c>
      <c r="CY95" s="107">
        <f t="shared" si="16"/>
        <v>0.99759896686135863</v>
      </c>
      <c r="CZ95" s="168" t="str">
        <f t="shared" si="693"/>
        <v>-</v>
      </c>
      <c r="DA95" s="158"/>
      <c r="DB95" s="168" t="str">
        <f t="shared" si="694"/>
        <v>-</v>
      </c>
      <c r="DC95" s="160"/>
      <c r="DD95" s="190" t="s">
        <v>134</v>
      </c>
      <c r="DE95" s="62">
        <v>0.78</v>
      </c>
      <c r="DF95" s="62">
        <v>0.81</v>
      </c>
      <c r="DG95" s="62">
        <v>0.81</v>
      </c>
      <c r="DH95" s="150"/>
      <c r="DI95" s="62">
        <f t="shared" si="695"/>
        <v>2.0040735049398686</v>
      </c>
      <c r="DJ95" s="47">
        <f t="shared" si="696"/>
        <v>12.211221122112212</v>
      </c>
      <c r="DK95" s="48">
        <f t="shared" si="697"/>
        <v>0</v>
      </c>
      <c r="DM95" s="107">
        <f t="shared" si="643"/>
        <v>1.0091559107935182</v>
      </c>
      <c r="DN95" s="141" t="str">
        <f t="shared" si="713"/>
        <v>-</v>
      </c>
      <c r="DO95" s="107">
        <f t="shared" si="698"/>
        <v>4.5846345985068568</v>
      </c>
      <c r="DP95" s="133">
        <f t="shared" si="725"/>
        <v>2.7563934345942132</v>
      </c>
      <c r="DQ95" s="133">
        <f t="shared" si="726"/>
        <v>0</v>
      </c>
      <c r="DR95" s="133">
        <f t="shared" si="727"/>
        <v>0</v>
      </c>
      <c r="DS95" s="133">
        <f t="shared" si="728"/>
        <v>1.8282411639126435</v>
      </c>
      <c r="DT95" s="107">
        <f t="shared" si="729"/>
        <v>1.800102871839254</v>
      </c>
      <c r="DU95" s="133">
        <f t="shared" si="730"/>
        <v>1.9470448393802795</v>
      </c>
      <c r="DW95" s="107">
        <f t="shared" si="769"/>
        <v>1.0508655344307167</v>
      </c>
      <c r="DX95" s="107">
        <f t="shared" si="699"/>
        <v>1.0013008657149101</v>
      </c>
      <c r="DZ95" s="107">
        <f t="shared" si="700"/>
        <v>1.0231079042505662</v>
      </c>
      <c r="EA95" s="122" t="str">
        <f t="shared" si="714"/>
        <v>-</v>
      </c>
      <c r="EB95" s="107">
        <f t="shared" si="701"/>
        <v>1.0105436834009298</v>
      </c>
      <c r="EC95" s="122" t="str">
        <f t="shared" si="715"/>
        <v>-</v>
      </c>
      <c r="ED95" s="107">
        <f t="shared" si="731"/>
        <v>2.7561621320624416</v>
      </c>
      <c r="EE95" s="107">
        <f t="shared" si="732"/>
        <v>2.1895879451208748</v>
      </c>
      <c r="EF95" s="107">
        <f t="shared" si="733"/>
        <v>1.579185865474966</v>
      </c>
      <c r="EH95" s="107">
        <f t="shared" si="702"/>
        <v>1.0204208384935993</v>
      </c>
      <c r="EJ95" s="107">
        <f t="shared" si="734"/>
        <v>2.7561621320624416</v>
      </c>
      <c r="EK95" s="107">
        <f t="shared" si="735"/>
        <v>2.1897424068563001</v>
      </c>
      <c r="EL95" s="107">
        <f t="shared" si="736"/>
        <v>1.8388707573234102</v>
      </c>
      <c r="EM95" s="107">
        <f t="shared" si="703"/>
        <v>1.0050915919577428</v>
      </c>
      <c r="EO95" s="107">
        <f t="shared" si="737"/>
        <v>4.3524922819103544</v>
      </c>
      <c r="EP95" s="107">
        <f t="shared" si="738"/>
        <v>2.7561621320624416</v>
      </c>
      <c r="EQ95" s="107">
        <f t="shared" si="739"/>
        <v>1.579185865474966</v>
      </c>
      <c r="ER95" s="107">
        <f t="shared" si="740"/>
        <v>1.800102871839254</v>
      </c>
      <c r="ES95" s="107">
        <f t="shared" si="654"/>
        <v>1.0092069422160495</v>
      </c>
      <c r="EU95" s="107">
        <f t="shared" si="710"/>
        <v>1.6676315329867517</v>
      </c>
      <c r="EV95" s="107">
        <f t="shared" si="741"/>
        <v>2.7561621320624416</v>
      </c>
      <c r="EW95" s="107">
        <f t="shared" si="742"/>
        <v>1.0090099190684112</v>
      </c>
      <c r="EX95" s="107">
        <f t="shared" si="743"/>
        <v>1.8215740458755476</v>
      </c>
      <c r="EY95" s="107">
        <f t="shared" si="658"/>
        <v>1.007311753769347</v>
      </c>
      <c r="FA95" s="107">
        <f t="shared" si="611"/>
        <v>1.6677015069731775</v>
      </c>
      <c r="FB95" s="107">
        <f t="shared" si="744"/>
        <v>2.7563934345942132</v>
      </c>
      <c r="FC95" s="107">
        <f t="shared" si="745"/>
        <v>1.0090099190684112</v>
      </c>
      <c r="FD95" s="107">
        <f t="shared" si="746"/>
        <v>1.8215740458755476</v>
      </c>
      <c r="FE95" s="107">
        <f t="shared" si="662"/>
        <v>1.0195542797447623</v>
      </c>
      <c r="FF95" s="141" t="str">
        <f t="shared" si="716"/>
        <v>-</v>
      </c>
      <c r="FG95" s="107">
        <f t="shared" si="613"/>
        <v>2.8062869584017895</v>
      </c>
      <c r="FH95" s="133">
        <f t="shared" si="747"/>
        <v>2.7563934345942132</v>
      </c>
      <c r="FI95" s="133">
        <f t="shared" si="748"/>
        <v>1.0181010167784417</v>
      </c>
      <c r="FJ95" s="107">
        <f t="shared" si="749"/>
        <v>1.0243463628900011</v>
      </c>
      <c r="FK95" s="107">
        <f t="shared" si="666"/>
        <v>1.0037198724097065</v>
      </c>
      <c r="FL95" s="141" t="str">
        <f t="shared" si="717"/>
        <v>-</v>
      </c>
      <c r="FM95" s="107">
        <f t="shared" si="615"/>
        <v>4.7515325175822731</v>
      </c>
      <c r="FN95" s="133">
        <f t="shared" si="750"/>
        <v>2.7563934345942132</v>
      </c>
      <c r="FO95" s="133">
        <f t="shared" si="751"/>
        <v>0.66689791907541607</v>
      </c>
      <c r="FP95" s="133">
        <f t="shared" si="752"/>
        <v>1.8282411639126435</v>
      </c>
      <c r="FQ95" s="107">
        <f t="shared" si="753"/>
        <v>1.800102871839254</v>
      </c>
      <c r="FR95" s="107">
        <f t="shared" si="671"/>
        <v>1.0269495885839603</v>
      </c>
      <c r="FS95" s="141" t="str">
        <f t="shared" si="718"/>
        <v>-</v>
      </c>
      <c r="FT95" s="107">
        <f t="shared" si="617"/>
        <v>5.0393519410636936</v>
      </c>
      <c r="FU95" s="133">
        <f t="shared" si="754"/>
        <v>2.7563934345942132</v>
      </c>
      <c r="FV95" s="133">
        <f t="shared" si="755"/>
        <v>1.8282411639126435</v>
      </c>
      <c r="FW95" s="107">
        <f t="shared" si="756"/>
        <v>1.800102871839254</v>
      </c>
      <c r="FY95">
        <v>0.95</v>
      </c>
      <c r="FZ95" s="62">
        <f t="shared" si="711"/>
        <v>1.0446795444525847</v>
      </c>
      <c r="GA95" s="62">
        <f t="shared" si="712"/>
        <v>1.9470448393802795</v>
      </c>
      <c r="GB95" s="107">
        <f t="shared" si="798"/>
        <v>1.1759696657960226</v>
      </c>
      <c r="GC95" s="440"/>
      <c r="GD95" s="17"/>
      <c r="GE95" s="442"/>
      <c r="GF95" s="462"/>
      <c r="GG95" s="17"/>
      <c r="GH95" s="17"/>
      <c r="GI95" s="17"/>
      <c r="GJ95" s="17"/>
      <c r="GL95" s="17"/>
      <c r="GM95" s="442"/>
      <c r="GN95" s="8"/>
      <c r="GO95" s="8"/>
      <c r="GP95" s="8"/>
      <c r="GQ95" s="8"/>
      <c r="GS95" s="17"/>
      <c r="GT95" s="17"/>
      <c r="GU95" s="17"/>
      <c r="GV95" s="629"/>
      <c r="GW95" s="17"/>
      <c r="GX95" s="17"/>
      <c r="GY95" s="17"/>
      <c r="GZ95" s="17"/>
    </row>
    <row r="96" spans="1:208" ht="15.6" x14ac:dyDescent="0.3">
      <c r="A96" s="60" t="s">
        <v>36</v>
      </c>
      <c r="B96" s="218"/>
      <c r="C96" s="14" t="str">
        <f>C92</f>
        <v>Gaffel</v>
      </c>
      <c r="G96" s="54"/>
      <c r="H96" s="204">
        <f>TBFavrundet</f>
        <v>98.500000000000014</v>
      </c>
      <c r="I96" s="63">
        <f>COUNTA(O96:AG96)</f>
        <v>2</v>
      </c>
      <c r="J96" s="222">
        <f>SUM(O96:AG96)</f>
        <v>50.1</v>
      </c>
      <c r="K96" s="116">
        <f>Seilareal/Depl^0.667/K$7</f>
        <v>0.7186086617862345</v>
      </c>
      <c r="L96" s="116">
        <f>Seilareal/Lwl/Lwl/L$7</f>
        <v>0.68950290697295202</v>
      </c>
      <c r="M96" s="92">
        <f>RiggF</f>
        <v>0.84431137724550887</v>
      </c>
      <c r="N96" s="242">
        <f>StHfaktor</f>
        <v>0.99759896686135863</v>
      </c>
      <c r="O96" s="143"/>
      <c r="P96" s="143"/>
      <c r="Q96" s="143"/>
      <c r="R96" s="143"/>
      <c r="S96" s="143"/>
      <c r="T96" s="143"/>
      <c r="U96" s="165">
        <v>17.600000000000001</v>
      </c>
      <c r="V96" s="559"/>
      <c r="W96" s="559"/>
      <c r="X96" s="143"/>
      <c r="Y96" s="143"/>
      <c r="Z96" s="180">
        <f>Z91</f>
        <v>32.5</v>
      </c>
      <c r="AA96" s="143"/>
      <c r="AB96" s="143"/>
      <c r="AC96" s="143"/>
      <c r="AD96" s="143"/>
      <c r="AE96" s="143"/>
      <c r="AF96" s="143"/>
      <c r="AG96" s="551"/>
      <c r="AH96" s="557"/>
      <c r="AI96" s="557">
        <f t="shared" si="833"/>
        <v>10.3</v>
      </c>
      <c r="AJ96" s="337">
        <f t="shared" si="822"/>
        <v>0</v>
      </c>
      <c r="AK96" s="339"/>
      <c r="AL96" s="337">
        <f t="shared" si="822"/>
        <v>0</v>
      </c>
      <c r="AM96" s="339"/>
      <c r="AN96" s="267" t="str">
        <f t="shared" ref="AN96" si="847" xml:space="preserve"> AN95</f>
        <v>Lystb</v>
      </c>
      <c r="AO96" s="45">
        <f>VLOOKUP(AN96,Skrogform!$1:$1048576,3,FALSE)</f>
        <v>0.98</v>
      </c>
      <c r="AP96" s="64">
        <f t="shared" si="835"/>
        <v>12.2</v>
      </c>
      <c r="AQ96" s="64">
        <f t="shared" si="835"/>
        <v>10.5</v>
      </c>
      <c r="AR96" s="64">
        <f t="shared" si="835"/>
        <v>3.65</v>
      </c>
      <c r="AS96" s="64">
        <f t="shared" si="835"/>
        <v>1.85</v>
      </c>
      <c r="AT96" s="64">
        <f t="shared" ref="AT96" si="848">AT95</f>
        <v>16.399999999999999</v>
      </c>
      <c r="AU96" s="64">
        <f t="shared" si="835"/>
        <v>16.399999999999999</v>
      </c>
      <c r="AV96" s="64">
        <f t="shared" si="835"/>
        <v>2.5</v>
      </c>
      <c r="AW96" s="64">
        <f t="shared" si="835"/>
        <v>2.5</v>
      </c>
      <c r="AX96" s="256">
        <f>AX95</f>
        <v>0</v>
      </c>
      <c r="AY96" s="256">
        <f t="shared" si="835"/>
        <v>50</v>
      </c>
      <c r="AZ96" s="256">
        <f t="shared" si="835"/>
        <v>350</v>
      </c>
      <c r="BA96" s="256">
        <f t="shared" ref="BA96:BB96" si="849">BA95</f>
        <v>0</v>
      </c>
      <c r="BB96" s="256">
        <f t="shared" si="849"/>
        <v>0</v>
      </c>
      <c r="BC96" s="256"/>
      <c r="BD96" s="66"/>
      <c r="BE96" s="66"/>
      <c r="BF96" s="261"/>
      <c r="BG96" s="66"/>
      <c r="BH96" s="175"/>
      <c r="BI96" s="66"/>
      <c r="BJ96" s="66"/>
      <c r="BK96" s="65" t="str">
        <f t="shared" ref="BK96:BM96" si="850" xml:space="preserve"> BK95</f>
        <v>Fast</v>
      </c>
      <c r="BL96" s="267">
        <f t="shared" si="850"/>
        <v>3</v>
      </c>
      <c r="BM96" s="267">
        <f t="shared" si="850"/>
        <v>46</v>
      </c>
      <c r="BN96" s="45">
        <f t="shared" si="788"/>
        <v>0.98613081682301351</v>
      </c>
      <c r="BO96" s="59"/>
      <c r="BP96" s="59"/>
      <c r="BR96" s="49">
        <f t="shared" si="828"/>
        <v>0</v>
      </c>
      <c r="BS96" s="49">
        <f t="shared" si="828"/>
        <v>0</v>
      </c>
      <c r="BT96" s="49">
        <f t="shared" si="828"/>
        <v>0</v>
      </c>
      <c r="BU96" s="49">
        <f t="shared" si="828"/>
        <v>0</v>
      </c>
      <c r="BV96" s="49">
        <f t="shared" si="828"/>
        <v>0</v>
      </c>
      <c r="BW96" s="49">
        <f t="shared" si="828"/>
        <v>0</v>
      </c>
      <c r="BX96" s="49">
        <f t="shared" si="828"/>
        <v>17.600000000000001</v>
      </c>
      <c r="BY96" s="549">
        <f t="shared" si="829"/>
        <v>0</v>
      </c>
      <c r="BZ96" s="85">
        <f t="shared" si="830"/>
        <v>0</v>
      </c>
      <c r="CA96" s="85">
        <f t="shared" si="830"/>
        <v>0</v>
      </c>
      <c r="CB96" s="85">
        <f t="shared" si="830"/>
        <v>0</v>
      </c>
      <c r="CC96" s="85">
        <f t="shared" si="830"/>
        <v>0</v>
      </c>
      <c r="CD96" s="85">
        <f t="shared" si="830"/>
        <v>24.7</v>
      </c>
      <c r="CE96" s="85">
        <f>IF(AC96=0,0,AC96*CE$9)</f>
        <v>0</v>
      </c>
      <c r="CF96" s="85">
        <f t="shared" si="831"/>
        <v>0</v>
      </c>
      <c r="CG96" s="85">
        <f t="shared" si="831"/>
        <v>0</v>
      </c>
      <c r="CH96" s="85">
        <f t="shared" si="832"/>
        <v>0</v>
      </c>
      <c r="CI96" s="85">
        <f t="shared" si="832"/>
        <v>0</v>
      </c>
      <c r="CJ96" s="85">
        <f t="shared" si="832"/>
        <v>0</v>
      </c>
      <c r="CK96" s="85">
        <f t="shared" si="832"/>
        <v>0</v>
      </c>
      <c r="CL96" s="100">
        <f>SUM(BR96:CK96)</f>
        <v>42.3</v>
      </c>
      <c r="CM96" s="50"/>
      <c r="CN96" s="104">
        <f>J96</f>
        <v>50.1</v>
      </c>
      <c r="CO96" s="101">
        <f>CL96/CN96</f>
        <v>0.84431137724550887</v>
      </c>
      <c r="CP96" s="51">
        <f>Seilareal/Lwl/Lwl</f>
        <v>0.45442176870748296</v>
      </c>
      <c r="CQ96" s="116">
        <f>Seilareal/Depl^0.667/K$7</f>
        <v>0.7186086617862345</v>
      </c>
      <c r="CR96" s="51">
        <f>Seilareal/Lwl/Lwl/SApRS1</f>
        <v>0.68950290697295202</v>
      </c>
      <c r="CS96" s="204"/>
      <c r="CT96" s="204">
        <f>(ROUND(TBF/CT$6,3)*CT$6)*CT$4</f>
        <v>98.500000000000014</v>
      </c>
      <c r="CU96" s="107">
        <f t="shared" si="36"/>
        <v>0.98524414624686496</v>
      </c>
      <c r="CV96" s="62">
        <f t="shared" si="789"/>
        <v>2.5434516037181591</v>
      </c>
      <c r="CW96" s="62">
        <f t="shared" si="14"/>
        <v>1.7634026882977951</v>
      </c>
      <c r="CX96" s="62">
        <f t="shared" si="790"/>
        <v>1.800102871839254</v>
      </c>
      <c r="CY96" s="107">
        <f t="shared" si="16"/>
        <v>0.99759896686135863</v>
      </c>
      <c r="CZ96" s="168" t="str">
        <f t="shared" si="693"/>
        <v>-</v>
      </c>
      <c r="DA96" s="158"/>
      <c r="DB96" s="168" t="str">
        <f t="shared" si="694"/>
        <v>-</v>
      </c>
      <c r="DC96" s="160"/>
      <c r="DD96" s="190" t="s">
        <v>134</v>
      </c>
      <c r="DE96" s="62">
        <v>0.74</v>
      </c>
      <c r="DF96" s="62">
        <v>0.79</v>
      </c>
      <c r="DG96" s="62">
        <v>0.77</v>
      </c>
      <c r="DH96" s="150"/>
      <c r="DI96" s="62">
        <f t="shared" si="695"/>
        <v>2.0040735049398686</v>
      </c>
      <c r="DJ96" s="47">
        <f t="shared" si="696"/>
        <v>12.211221122112212</v>
      </c>
      <c r="DK96" s="48">
        <f t="shared" si="697"/>
        <v>0</v>
      </c>
      <c r="DM96" s="107">
        <f t="shared" si="643"/>
        <v>0.96595591852524798</v>
      </c>
      <c r="DN96" s="141" t="str">
        <f t="shared" si="713"/>
        <v>-</v>
      </c>
      <c r="DO96" s="107">
        <f t="shared" si="698"/>
        <v>4.3883753514569079</v>
      </c>
      <c r="DP96" s="133">
        <f t="shared" si="725"/>
        <v>2.5601341875442647</v>
      </c>
      <c r="DQ96" s="133">
        <f t="shared" si="726"/>
        <v>0</v>
      </c>
      <c r="DR96" s="133">
        <f t="shared" si="727"/>
        <v>0</v>
      </c>
      <c r="DS96" s="133">
        <f t="shared" si="728"/>
        <v>1.8282411639126435</v>
      </c>
      <c r="DT96" s="107">
        <f t="shared" si="729"/>
        <v>1.800102871839254</v>
      </c>
      <c r="DU96" s="133">
        <f t="shared" si="730"/>
        <v>1.9470448393802795</v>
      </c>
      <c r="DW96" s="107">
        <f t="shared" si="769"/>
        <v>1.0053511696396582</v>
      </c>
      <c r="DX96" s="107">
        <f t="shared" si="699"/>
        <v>0.94739864101206195</v>
      </c>
      <c r="DZ96" s="107">
        <f t="shared" si="700"/>
        <v>0.97970531159748886</v>
      </c>
      <c r="EA96" s="122" t="str">
        <f t="shared" si="714"/>
        <v>-</v>
      </c>
      <c r="EB96" s="107">
        <f t="shared" si="701"/>
        <v>0.95851979839967438</v>
      </c>
      <c r="EC96" s="122" t="str">
        <f t="shared" si="715"/>
        <v>-</v>
      </c>
      <c r="ED96" s="107">
        <f t="shared" si="731"/>
        <v>2.5599193540913108</v>
      </c>
      <c r="EE96" s="107">
        <f t="shared" si="732"/>
        <v>2.1895879451208748</v>
      </c>
      <c r="EF96" s="107">
        <f t="shared" si="733"/>
        <v>1.579185865474966</v>
      </c>
      <c r="EH96" s="107">
        <f t="shared" si="702"/>
        <v>0.97349294954834897</v>
      </c>
      <c r="EJ96" s="107">
        <f t="shared" si="734"/>
        <v>2.5599193540913108</v>
      </c>
      <c r="EK96" s="107">
        <f t="shared" si="735"/>
        <v>2.1897424068563001</v>
      </c>
      <c r="EL96" s="107">
        <f t="shared" si="736"/>
        <v>1.8388707573234102</v>
      </c>
      <c r="EM96" s="107">
        <f t="shared" si="703"/>
        <v>0.95605859653575642</v>
      </c>
      <c r="EO96" s="107">
        <f t="shared" si="737"/>
        <v>4.0425884607368028</v>
      </c>
      <c r="EP96" s="107">
        <f t="shared" si="738"/>
        <v>2.5599193540913108</v>
      </c>
      <c r="EQ96" s="107">
        <f t="shared" si="739"/>
        <v>1.579185865474966</v>
      </c>
      <c r="ER96" s="107">
        <f t="shared" si="740"/>
        <v>1.800102871839254</v>
      </c>
      <c r="ES96" s="107">
        <f t="shared" si="654"/>
        <v>0.95694578551526255</v>
      </c>
      <c r="EU96" s="107">
        <f t="shared" si="710"/>
        <v>1.6071664569338588</v>
      </c>
      <c r="EV96" s="107">
        <f t="shared" si="741"/>
        <v>2.5599193540913108</v>
      </c>
      <c r="EW96" s="107">
        <f t="shared" si="742"/>
        <v>1.0090099190684112</v>
      </c>
      <c r="EX96" s="107">
        <f t="shared" si="743"/>
        <v>1.8215740458755476</v>
      </c>
      <c r="EY96" s="107">
        <f t="shared" si="658"/>
        <v>0.97078858867210815</v>
      </c>
      <c r="FA96" s="107">
        <f t="shared" si="611"/>
        <v>1.6072338937996271</v>
      </c>
      <c r="FB96" s="107">
        <f t="shared" si="744"/>
        <v>2.5601341875442647</v>
      </c>
      <c r="FC96" s="107">
        <f t="shared" si="745"/>
        <v>1.0090099190684112</v>
      </c>
      <c r="FD96" s="107">
        <f t="shared" si="746"/>
        <v>1.8215740458755476</v>
      </c>
      <c r="FE96" s="107">
        <f t="shared" si="662"/>
        <v>0.97716835577120797</v>
      </c>
      <c r="FF96" s="141" t="str">
        <f t="shared" si="716"/>
        <v>-</v>
      </c>
      <c r="FG96" s="107">
        <f t="shared" si="613"/>
        <v>2.6064752194280656</v>
      </c>
      <c r="FH96" s="133">
        <f t="shared" si="747"/>
        <v>2.5601341875442647</v>
      </c>
      <c r="FI96" s="133">
        <f t="shared" si="748"/>
        <v>1.0181010167784417</v>
      </c>
      <c r="FJ96" s="107">
        <f t="shared" si="749"/>
        <v>1.0243463628900011</v>
      </c>
      <c r="FK96" s="107">
        <f t="shared" si="666"/>
        <v>0.95223121095230134</v>
      </c>
      <c r="FL96" s="141" t="str">
        <f t="shared" si="717"/>
        <v>-</v>
      </c>
      <c r="FM96" s="107">
        <f t="shared" si="615"/>
        <v>4.507789162562017</v>
      </c>
      <c r="FN96" s="133">
        <f t="shared" si="750"/>
        <v>2.5601341875442647</v>
      </c>
      <c r="FO96" s="133">
        <f t="shared" si="751"/>
        <v>0.61941381110510851</v>
      </c>
      <c r="FP96" s="133">
        <f t="shared" si="752"/>
        <v>1.8282411639126435</v>
      </c>
      <c r="FQ96" s="107">
        <f t="shared" si="753"/>
        <v>1.800102871839254</v>
      </c>
      <c r="FR96" s="107">
        <f t="shared" si="671"/>
        <v>0.98618571547657485</v>
      </c>
      <c r="FS96" s="141" t="str">
        <f t="shared" si="718"/>
        <v>-</v>
      </c>
      <c r="FT96" s="107">
        <f t="shared" si="617"/>
        <v>4.6805427068084766</v>
      </c>
      <c r="FU96" s="133">
        <f t="shared" si="754"/>
        <v>2.5601341875442647</v>
      </c>
      <c r="FV96" s="133">
        <f t="shared" si="755"/>
        <v>1.8282411639126435</v>
      </c>
      <c r="FW96" s="107">
        <f t="shared" si="756"/>
        <v>1.800102871839254</v>
      </c>
      <c r="FY96">
        <v>0.95</v>
      </c>
      <c r="FZ96" s="62">
        <f t="shared" si="711"/>
        <v>1.0132914500021388</v>
      </c>
      <c r="GA96" s="62">
        <f t="shared" si="712"/>
        <v>1.9470448393802795</v>
      </c>
      <c r="GB96" s="107">
        <f t="shared" si="798"/>
        <v>1.1473694796451324</v>
      </c>
      <c r="GC96" s="440"/>
      <c r="GD96" s="17"/>
      <c r="GE96" s="442"/>
      <c r="GF96" s="462"/>
      <c r="GG96" s="17"/>
      <c r="GH96" s="17"/>
      <c r="GI96" s="17"/>
      <c r="GJ96" s="17"/>
      <c r="GL96" s="17"/>
      <c r="GM96" s="442"/>
      <c r="GN96" s="8"/>
      <c r="GO96" s="8"/>
      <c r="GP96" s="8"/>
      <c r="GQ96" s="8"/>
      <c r="GS96" s="17"/>
      <c r="GT96" s="17"/>
      <c r="GU96" s="17"/>
      <c r="GV96" s="629"/>
      <c r="GW96" s="17"/>
      <c r="GX96" s="17"/>
      <c r="GY96" s="17"/>
      <c r="GZ96" s="17"/>
    </row>
    <row r="97" spans="1:208" ht="15.6" x14ac:dyDescent="0.3">
      <c r="A97" s="52" t="s">
        <v>881</v>
      </c>
      <c r="B97" s="218">
        <f t="shared" si="10"/>
        <v>30.183727034120732</v>
      </c>
      <c r="C97" s="53" t="s">
        <v>19</v>
      </c>
      <c r="D97" s="53"/>
      <c r="E97" s="53"/>
      <c r="F97" s="53"/>
      <c r="G97" s="54"/>
      <c r="H97" s="112">
        <f>J98</f>
        <v>51.8</v>
      </c>
      <c r="I97" s="601">
        <f>H98/100</f>
        <v>0.96</v>
      </c>
      <c r="J97" s="651" t="str">
        <f>IF(DC98=0,"-",DC98)</f>
        <v>-</v>
      </c>
      <c r="K97" s="123" t="str">
        <f>A97</f>
        <v>Nausikaa</v>
      </c>
      <c r="L97" s="116"/>
      <c r="M97" s="116"/>
      <c r="N97" s="92"/>
      <c r="O97" s="165"/>
      <c r="P97" s="165"/>
      <c r="Q97" s="165"/>
      <c r="R97" s="165">
        <v>11.3</v>
      </c>
      <c r="S97" s="165"/>
      <c r="T97" s="165"/>
      <c r="U97" s="165">
        <v>8.1</v>
      </c>
      <c r="V97" s="559"/>
      <c r="W97" s="559"/>
      <c r="X97" s="165">
        <v>18.7</v>
      </c>
      <c r="Y97" s="165"/>
      <c r="Z97" s="165"/>
      <c r="AA97" s="165">
        <v>4.7</v>
      </c>
      <c r="AB97" s="165"/>
      <c r="AC97" s="165">
        <v>9</v>
      </c>
      <c r="AD97" s="165"/>
      <c r="AE97" s="165"/>
      <c r="AF97" s="165"/>
      <c r="AG97" s="552"/>
      <c r="AH97" s="244"/>
      <c r="AI97" s="244">
        <v>7</v>
      </c>
      <c r="AJ97" s="554"/>
      <c r="AK97" s="339"/>
      <c r="AL97" s="268"/>
      <c r="AM97" s="339"/>
      <c r="AN97" s="268" t="s">
        <v>211</v>
      </c>
      <c r="AO97" s="45">
        <f>VLOOKUP(AN97,Skrogform!$1:$1048576,3,FALSE)</f>
        <v>0.98</v>
      </c>
      <c r="AP97" s="55">
        <v>9.1999999999999993</v>
      </c>
      <c r="AQ97" s="55">
        <v>8</v>
      </c>
      <c r="AR97" s="55">
        <v>3.2</v>
      </c>
      <c r="AS97" s="55">
        <v>1.67</v>
      </c>
      <c r="AT97" s="637">
        <v>9</v>
      </c>
      <c r="AU97" s="55">
        <v>9</v>
      </c>
      <c r="AV97" s="55">
        <v>3</v>
      </c>
      <c r="AW97" s="55"/>
      <c r="AX97" s="253"/>
      <c r="AY97" s="253">
        <v>30</v>
      </c>
      <c r="AZ97" s="254">
        <f>AY97*7</f>
        <v>210</v>
      </c>
      <c r="BA97" s="253"/>
      <c r="BB97" s="253"/>
      <c r="BC97" s="244">
        <f>Depl+Diesel/1000*0.84+Vann/1000</f>
        <v>9</v>
      </c>
      <c r="BD97" s="95">
        <f>Bredde/(Loa+Lwl)*2</f>
        <v>0.372093023255814</v>
      </c>
      <c r="BE97" s="95">
        <f>(Kjøl+Ballast)/Depl</f>
        <v>0.33333333333333331</v>
      </c>
      <c r="BF97" s="260">
        <f>BF$7*((Depl-Kjøl-Ballast-VektMotor/1000-VektAnnet/1000)/Lwl/Lwl/Bredde)</f>
        <v>1.0669111041165866</v>
      </c>
      <c r="BG97" s="95">
        <f>BG$7*(Depl/Loa/Lwl/Lwl)</f>
        <v>1.1248353158967392</v>
      </c>
      <c r="BH97" s="174">
        <f>BH$7*(Depl/Loa/Lwl/Bredde)</f>
        <v>1.0394443996263587</v>
      </c>
      <c r="BI97" s="95">
        <f>BI$7*Bredde/(Loa+Lwl)*2</f>
        <v>1.0614653663415854</v>
      </c>
      <c r="BJ97" s="95">
        <f>BJ$7*(Dypg/Lwl)</f>
        <v>1.1417717391304347</v>
      </c>
      <c r="BK97" s="56" t="s">
        <v>39</v>
      </c>
      <c r="BL97" s="268">
        <v>3</v>
      </c>
      <c r="BM97" s="268">
        <v>46</v>
      </c>
      <c r="BN97" s="45">
        <f t="shared" si="788"/>
        <v>0.98167635211056081</v>
      </c>
      <c r="BO97" s="59"/>
      <c r="BP97" s="59"/>
      <c r="BR97" s="209"/>
      <c r="BS97" s="209"/>
      <c r="BT97" s="209" t="str">
        <f>$A97</f>
        <v>Nausikaa</v>
      </c>
      <c r="BU97" s="10"/>
      <c r="BV97" s="10"/>
      <c r="BW97" s="10"/>
      <c r="BX97" s="10">
        <f>IF(U97=0,0,U97*BX$9)</f>
        <v>8.1</v>
      </c>
      <c r="BY97" s="549">
        <f t="shared" si="829"/>
        <v>-4.05</v>
      </c>
      <c r="BZ97" s="10"/>
      <c r="CA97" s="10"/>
      <c r="CB97" s="209" t="str">
        <f>$A97</f>
        <v>Nausikaa</v>
      </c>
      <c r="CC97" s="10"/>
      <c r="CD97" s="10"/>
      <c r="CE97" s="10"/>
      <c r="CF97" s="10"/>
      <c r="CG97" s="10"/>
      <c r="CH97" s="10"/>
      <c r="CI97" s="10"/>
      <c r="CJ97" s="10"/>
      <c r="CK97" s="10"/>
      <c r="CL97" s="209"/>
      <c r="CM97" s="10"/>
      <c r="CN97" s="209" t="str">
        <f>$A97</f>
        <v>Nausikaa</v>
      </c>
      <c r="CO97" s="207"/>
      <c r="CP97" s="207"/>
      <c r="CQ97" s="116"/>
      <c r="CR97" s="207"/>
      <c r="CS97" s="203"/>
      <c r="CT97" s="203" t="s">
        <v>23</v>
      </c>
      <c r="CU97" s="107" t="str">
        <f t="shared" si="36"/>
        <v>-</v>
      </c>
      <c r="CV97" s="62" t="str">
        <f t="shared" si="789"/>
        <v>-</v>
      </c>
      <c r="CW97" s="62" t="str">
        <f t="shared" si="14"/>
        <v>-</v>
      </c>
      <c r="CX97" s="62" t="str">
        <f t="shared" si="790"/>
        <v>-</v>
      </c>
      <c r="CY97" s="107" t="str">
        <f t="shared" si="16"/>
        <v>-</v>
      </c>
      <c r="CZ97" s="168" t="str">
        <f t="shared" si="693"/>
        <v>-</v>
      </c>
      <c r="DA97" s="158"/>
      <c r="DB97" s="168" t="str">
        <f t="shared" si="694"/>
        <v>-</v>
      </c>
      <c r="DC97" s="160"/>
      <c r="DD97" s="190" t="s">
        <v>134</v>
      </c>
      <c r="DE97" s="29" t="s">
        <v>23</v>
      </c>
      <c r="DF97" s="29" t="s">
        <v>23</v>
      </c>
      <c r="DG97" s="29" t="s">
        <v>23</v>
      </c>
      <c r="DH97" s="149">
        <v>2022</v>
      </c>
      <c r="DI97" s="62" t="str">
        <f t="shared" si="695"/>
        <v>-</v>
      </c>
      <c r="DJ97" s="47">
        <f t="shared" si="696"/>
        <v>13.688524590163933</v>
      </c>
      <c r="DK97" s="48">
        <f t="shared" si="697"/>
        <v>0</v>
      </c>
      <c r="DM97" s="107" t="str">
        <f t="shared" si="643"/>
        <v>-</v>
      </c>
      <c r="DN97" s="141" t="str">
        <f t="shared" si="713"/>
        <v>-</v>
      </c>
      <c r="DO97" s="107">
        <f t="shared" si="698"/>
        <v>4.3883753514569079</v>
      </c>
      <c r="DP97" s="133">
        <f t="shared" si="725"/>
        <v>2.5601341875442647</v>
      </c>
      <c r="DQ97" s="133">
        <f t="shared" si="726"/>
        <v>0</v>
      </c>
      <c r="DR97" s="133">
        <f t="shared" si="727"/>
        <v>0</v>
      </c>
      <c r="DS97" s="133">
        <f t="shared" si="728"/>
        <v>1.8282411639126435</v>
      </c>
      <c r="DT97" s="107">
        <f t="shared" si="729"/>
        <v>1.800102871839254</v>
      </c>
      <c r="DU97" s="133">
        <f t="shared" si="730"/>
        <v>1.9470448393802795</v>
      </c>
      <c r="DW97" s="107" t="str">
        <f t="shared" si="417"/>
        <v>-</v>
      </c>
      <c r="DX97" s="107" t="str">
        <f t="shared" si="699"/>
        <v>-</v>
      </c>
      <c r="DZ97" s="107" t="str">
        <f t="shared" si="700"/>
        <v>-</v>
      </c>
      <c r="EA97" s="122" t="str">
        <f t="shared" si="714"/>
        <v>-</v>
      </c>
      <c r="EB97" s="107" t="str">
        <f t="shared" si="701"/>
        <v>-</v>
      </c>
      <c r="EC97" s="122" t="str">
        <f t="shared" si="715"/>
        <v>-</v>
      </c>
      <c r="ED97" s="107">
        <f t="shared" si="731"/>
        <v>2.5599193540913108</v>
      </c>
      <c r="EE97" s="107">
        <f t="shared" si="732"/>
        <v>2.1895879451208748</v>
      </c>
      <c r="EF97" s="107">
        <f t="shared" si="733"/>
        <v>1.579185865474966</v>
      </c>
      <c r="EH97" s="107" t="str">
        <f t="shared" si="702"/>
        <v>-</v>
      </c>
      <c r="EJ97" s="107">
        <f t="shared" si="734"/>
        <v>2.5599193540913108</v>
      </c>
      <c r="EK97" s="107">
        <f t="shared" si="735"/>
        <v>2.1897424068563001</v>
      </c>
      <c r="EL97" s="107">
        <f t="shared" si="736"/>
        <v>1.8388707573234102</v>
      </c>
      <c r="EM97" s="107" t="str">
        <f t="shared" si="703"/>
        <v>-</v>
      </c>
      <c r="EO97" s="107">
        <f t="shared" si="737"/>
        <v>4.0425884607368028</v>
      </c>
      <c r="EP97" s="107">
        <f t="shared" si="738"/>
        <v>2.5599193540913108</v>
      </c>
      <c r="EQ97" s="107">
        <f t="shared" si="739"/>
        <v>1.579185865474966</v>
      </c>
      <c r="ER97" s="107">
        <f t="shared" si="740"/>
        <v>1.800102871839254</v>
      </c>
      <c r="ES97" s="107" t="str">
        <f t="shared" si="654"/>
        <v>-</v>
      </c>
      <c r="EU97" s="107">
        <f t="shared" si="710"/>
        <v>1.6071664569338588</v>
      </c>
      <c r="EV97" s="107">
        <f t="shared" si="741"/>
        <v>2.5599193540913108</v>
      </c>
      <c r="EW97" s="107">
        <f t="shared" si="742"/>
        <v>1.0090099190684112</v>
      </c>
      <c r="EX97" s="107">
        <f t="shared" si="743"/>
        <v>1.8215740458755476</v>
      </c>
      <c r="EY97" s="107" t="str">
        <f t="shared" si="658"/>
        <v>-</v>
      </c>
      <c r="FA97" s="107">
        <f t="shared" si="611"/>
        <v>1.6072338937996271</v>
      </c>
      <c r="FB97" s="107">
        <f t="shared" si="744"/>
        <v>2.5601341875442647</v>
      </c>
      <c r="FC97" s="107">
        <f t="shared" si="745"/>
        <v>1.0090099190684112</v>
      </c>
      <c r="FD97" s="107">
        <f t="shared" si="746"/>
        <v>1.8215740458755476</v>
      </c>
      <c r="FE97" s="107" t="str">
        <f t="shared" si="662"/>
        <v>-</v>
      </c>
      <c r="FF97" s="141" t="str">
        <f t="shared" si="716"/>
        <v>-</v>
      </c>
      <c r="FG97" s="107">
        <f t="shared" si="613"/>
        <v>2.6064752194280656</v>
      </c>
      <c r="FH97" s="133">
        <f t="shared" si="747"/>
        <v>2.5601341875442647</v>
      </c>
      <c r="FI97" s="133">
        <f t="shared" si="748"/>
        <v>1.0181010167784417</v>
      </c>
      <c r="FJ97" s="107">
        <f t="shared" si="749"/>
        <v>1.0243463628900011</v>
      </c>
      <c r="FK97" s="107" t="str">
        <f t="shared" si="666"/>
        <v>-</v>
      </c>
      <c r="FL97" s="141" t="str">
        <f t="shared" si="717"/>
        <v>-</v>
      </c>
      <c r="FM97" s="107">
        <f t="shared" si="615"/>
        <v>4.507789162562017</v>
      </c>
      <c r="FN97" s="133">
        <f t="shared" si="750"/>
        <v>2.5601341875442647</v>
      </c>
      <c r="FO97" s="133">
        <f t="shared" si="751"/>
        <v>0.61941381110510851</v>
      </c>
      <c r="FP97" s="133">
        <f t="shared" si="752"/>
        <v>1.8282411639126435</v>
      </c>
      <c r="FQ97" s="107">
        <f t="shared" si="753"/>
        <v>1.800102871839254</v>
      </c>
      <c r="FR97" s="107" t="str">
        <f t="shared" si="671"/>
        <v>-</v>
      </c>
      <c r="FS97" s="141" t="str">
        <f t="shared" si="718"/>
        <v>-</v>
      </c>
      <c r="FT97" s="107">
        <f t="shared" si="617"/>
        <v>4.6805427068084766</v>
      </c>
      <c r="FU97" s="133">
        <f t="shared" si="754"/>
        <v>2.5601341875442647</v>
      </c>
      <c r="FV97" s="133">
        <f t="shared" si="755"/>
        <v>1.8282411639126435</v>
      </c>
      <c r="FW97" s="107">
        <f t="shared" si="756"/>
        <v>1.800102871839254</v>
      </c>
      <c r="FY97">
        <v>0.95</v>
      </c>
      <c r="FZ97" s="62" t="str">
        <f t="shared" si="711"/>
        <v>-</v>
      </c>
      <c r="GA97" s="62">
        <f t="shared" si="712"/>
        <v>2.1302684052158476</v>
      </c>
      <c r="GB97" s="107" t="str">
        <f t="shared" si="798"/>
        <v>-</v>
      </c>
      <c r="GC97" s="441"/>
      <c r="GD97" s="57"/>
      <c r="GE97" s="436"/>
      <c r="GF97" s="75"/>
      <c r="GG97" s="57"/>
      <c r="GH97" s="57"/>
      <c r="GI97" s="57"/>
      <c r="GJ97" s="57"/>
      <c r="GL97" s="57" t="s">
        <v>478</v>
      </c>
      <c r="GM97" s="436" t="s">
        <v>478</v>
      </c>
      <c r="GN97" s="58" t="s">
        <v>478</v>
      </c>
      <c r="GO97" s="58" t="s">
        <v>478</v>
      </c>
      <c r="GP97" s="58" t="s">
        <v>478</v>
      </c>
      <c r="GQ97" s="58" t="s">
        <v>478</v>
      </c>
      <c r="GS97" s="57"/>
      <c r="GT97" s="57"/>
      <c r="GU97" s="57"/>
      <c r="GV97" s="632"/>
      <c r="GW97" s="57"/>
      <c r="GX97" s="57"/>
      <c r="GY97" s="57"/>
      <c r="GZ97" s="57"/>
    </row>
    <row r="98" spans="1:208" ht="15.6" x14ac:dyDescent="0.3">
      <c r="A98" s="60" t="s">
        <v>717</v>
      </c>
      <c r="B98" s="218"/>
      <c r="C98" s="61" t="str">
        <f>C97</f>
        <v>Gaffel</v>
      </c>
      <c r="D98" s="61"/>
      <c r="E98" s="61"/>
      <c r="F98" s="61"/>
      <c r="G98" s="54"/>
      <c r="H98" s="204">
        <f>TBFavrundet</f>
        <v>96</v>
      </c>
      <c r="I98" s="63">
        <f>COUNTA(O98:AG98)</f>
        <v>5</v>
      </c>
      <c r="J98" s="222">
        <f>SUM(O98:AG98)</f>
        <v>51.8</v>
      </c>
      <c r="K98" s="116">
        <f>Seilareal/Depl^0.667/K$7</f>
        <v>1.1086783694162896</v>
      </c>
      <c r="L98" s="116">
        <f>Seilareal/Lwl/Lwl/L$7</f>
        <v>1.2280802852348991</v>
      </c>
      <c r="M98" s="92">
        <f>RiggF</f>
        <v>0.72567567567567581</v>
      </c>
      <c r="N98" s="242">
        <f>StHfaktor</f>
        <v>0.98344710591563322</v>
      </c>
      <c r="O98" s="143"/>
      <c r="P98" s="143"/>
      <c r="Q98" s="143"/>
      <c r="R98" s="165">
        <v>11.3</v>
      </c>
      <c r="S98" s="143"/>
      <c r="T98" s="143"/>
      <c r="U98" s="165">
        <v>8.1</v>
      </c>
      <c r="V98" s="143"/>
      <c r="W98" s="143"/>
      <c r="X98" s="165">
        <v>18.7</v>
      </c>
      <c r="Y98" s="143"/>
      <c r="Z98" s="143"/>
      <c r="AA98" s="165">
        <v>4.7</v>
      </c>
      <c r="AB98" s="143"/>
      <c r="AC98" s="165">
        <v>9</v>
      </c>
      <c r="AD98" s="143"/>
      <c r="AE98" s="143"/>
      <c r="AF98" s="143"/>
      <c r="AG98" s="551"/>
      <c r="AH98" s="557"/>
      <c r="AI98" s="557">
        <f t="shared" ref="AI98:AI100" si="851">AI97</f>
        <v>7</v>
      </c>
      <c r="AJ98" s="337">
        <f t="shared" ref="AJ98" si="852" xml:space="preserve"> AJ97</f>
        <v>0</v>
      </c>
      <c r="AK98" s="339"/>
      <c r="AL98" s="337">
        <f t="shared" ref="AL98" si="853" xml:space="preserve"> AL97</f>
        <v>0</v>
      </c>
      <c r="AM98" s="339"/>
      <c r="AN98" s="267" t="str">
        <f t="shared" ref="AN98:AN100" si="854" xml:space="preserve"> AN97</f>
        <v>Lystb</v>
      </c>
      <c r="AO98" s="45">
        <f>VLOOKUP(AN98,Skrogform!$1:$1048576,3,FALSE)</f>
        <v>0.98</v>
      </c>
      <c r="AP98" s="64">
        <f t="shared" ref="AP98:BB98" si="855">AP97</f>
        <v>9.1999999999999993</v>
      </c>
      <c r="AQ98" s="64">
        <f t="shared" si="855"/>
        <v>8</v>
      </c>
      <c r="AR98" s="64">
        <f t="shared" si="855"/>
        <v>3.2</v>
      </c>
      <c r="AS98" s="64">
        <f t="shared" si="855"/>
        <v>1.67</v>
      </c>
      <c r="AT98" s="64">
        <f t="shared" ref="AT98" si="856">AT97</f>
        <v>9</v>
      </c>
      <c r="AU98" s="64">
        <f t="shared" si="855"/>
        <v>9</v>
      </c>
      <c r="AV98" s="64">
        <f t="shared" si="855"/>
        <v>3</v>
      </c>
      <c r="AW98" s="64">
        <f t="shared" si="855"/>
        <v>0</v>
      </c>
      <c r="AX98" s="256">
        <f>AX97</f>
        <v>0</v>
      </c>
      <c r="AY98" s="256">
        <f t="shared" si="855"/>
        <v>30</v>
      </c>
      <c r="AZ98" s="256">
        <f t="shared" si="855"/>
        <v>210</v>
      </c>
      <c r="BA98" s="256">
        <f t="shared" si="855"/>
        <v>0</v>
      </c>
      <c r="BB98" s="256">
        <f t="shared" si="855"/>
        <v>0</v>
      </c>
      <c r="BC98" s="256"/>
      <c r="BD98" s="66"/>
      <c r="BE98" s="66"/>
      <c r="BF98" s="261"/>
      <c r="BG98" s="66"/>
      <c r="BH98" s="175"/>
      <c r="BI98" s="66"/>
      <c r="BJ98" s="66"/>
      <c r="BK98" s="65" t="str">
        <f t="shared" ref="BK98:BM98" si="857" xml:space="preserve"> BK97</f>
        <v>Fast</v>
      </c>
      <c r="BL98" s="267">
        <f t="shared" si="857"/>
        <v>3</v>
      </c>
      <c r="BM98" s="267">
        <f t="shared" si="857"/>
        <v>46</v>
      </c>
      <c r="BN98" s="45">
        <f t="shared" si="788"/>
        <v>0.98167635211056081</v>
      </c>
      <c r="BO98" s="59"/>
      <c r="BP98" s="59"/>
      <c r="BR98" s="49">
        <f t="shared" ref="BR98:BW100" si="858">IF(O98=0,0,O98*BR$9)</f>
        <v>0</v>
      </c>
      <c r="BS98" s="49">
        <f t="shared" si="858"/>
        <v>0</v>
      </c>
      <c r="BT98" s="49">
        <f t="shared" si="858"/>
        <v>0</v>
      </c>
      <c r="BU98" s="49">
        <f t="shared" si="858"/>
        <v>11.3</v>
      </c>
      <c r="BV98" s="49">
        <f t="shared" si="858"/>
        <v>0</v>
      </c>
      <c r="BW98" s="49">
        <f t="shared" si="858"/>
        <v>0</v>
      </c>
      <c r="BX98" s="49">
        <f>IF(U98=0,0,U98*BX$9)</f>
        <v>8.1</v>
      </c>
      <c r="BY98" s="549">
        <f t="shared" si="829"/>
        <v>-4.05</v>
      </c>
      <c r="BZ98" s="85">
        <f t="shared" ref="BZ98:CD100" si="859">IF(V98=0,0,V98*BZ$9)</f>
        <v>0</v>
      </c>
      <c r="CA98" s="85">
        <f t="shared" si="859"/>
        <v>0</v>
      </c>
      <c r="CB98" s="85">
        <f t="shared" si="859"/>
        <v>14.96</v>
      </c>
      <c r="CC98" s="85">
        <f t="shared" si="859"/>
        <v>0</v>
      </c>
      <c r="CD98" s="85">
        <f t="shared" si="859"/>
        <v>0</v>
      </c>
      <c r="CE98" s="85">
        <f>IF(AC98=0,0,AC98*CE$9)</f>
        <v>5.3999999999999995</v>
      </c>
      <c r="CF98" s="85">
        <f t="shared" ref="CF98:CG100" si="860">IF(AA98=0,0,AA98*CF$9)</f>
        <v>1.8800000000000001</v>
      </c>
      <c r="CG98" s="85">
        <f t="shared" si="860"/>
        <v>0</v>
      </c>
      <c r="CH98" s="85">
        <f t="shared" ref="CH98:CK100" si="861">IF(AD98=0,0,AD98*CH$9)</f>
        <v>0</v>
      </c>
      <c r="CI98" s="85">
        <f t="shared" si="861"/>
        <v>0</v>
      </c>
      <c r="CJ98" s="85">
        <f t="shared" si="861"/>
        <v>0</v>
      </c>
      <c r="CK98" s="85">
        <f t="shared" si="861"/>
        <v>0</v>
      </c>
      <c r="CL98" s="100">
        <f>SUM(BR98:CK98)</f>
        <v>37.590000000000003</v>
      </c>
      <c r="CM98" s="50"/>
      <c r="CN98" s="104">
        <f>J98</f>
        <v>51.8</v>
      </c>
      <c r="CO98" s="101">
        <f>CL98/CN98</f>
        <v>0.72567567567567581</v>
      </c>
      <c r="CP98" s="51">
        <f>Seilareal/Lwl/Lwl</f>
        <v>0.80937499999999996</v>
      </c>
      <c r="CQ98" s="116">
        <f>Seilareal/Depl^0.667/K$7</f>
        <v>1.1086783694162896</v>
      </c>
      <c r="CR98" s="51">
        <f>Seilareal/Lwl/Lwl/SApRS1</f>
        <v>1.2280802852348991</v>
      </c>
      <c r="CS98" s="204"/>
      <c r="CT98" s="204">
        <f>(ROUND(TBF/CT$6,3)*CT$6)*CT$4</f>
        <v>96</v>
      </c>
      <c r="CU98" s="107">
        <f t="shared" si="36"/>
        <v>0.96102597855551608</v>
      </c>
      <c r="CV98" s="62">
        <f t="shared" si="789"/>
        <v>2.8775611429524734</v>
      </c>
      <c r="CW98" s="62">
        <f t="shared" si="14"/>
        <v>1.6393596310755001</v>
      </c>
      <c r="CX98" s="62">
        <f t="shared" si="790"/>
        <v>1.681792830507429</v>
      </c>
      <c r="CY98" s="107">
        <f t="shared" si="16"/>
        <v>0.98344710591563322</v>
      </c>
      <c r="CZ98" s="168" t="str">
        <f t="shared" si="693"/>
        <v>-</v>
      </c>
      <c r="DA98" s="159">
        <f>DA97</f>
        <v>0</v>
      </c>
      <c r="DB98" s="168" t="str">
        <f t="shared" si="694"/>
        <v>-</v>
      </c>
      <c r="DC98" s="159">
        <f>DC97</f>
        <v>0</v>
      </c>
      <c r="DD98" s="190" t="s">
        <v>134</v>
      </c>
      <c r="DE98" s="62" t="s">
        <v>102</v>
      </c>
      <c r="DF98" s="62" t="s">
        <v>102</v>
      </c>
      <c r="DG98" s="62" t="s">
        <v>102</v>
      </c>
      <c r="DH98" s="150" t="s">
        <v>102</v>
      </c>
      <c r="DI98" s="62">
        <f t="shared" si="695"/>
        <v>2.2032409894642635</v>
      </c>
      <c r="DJ98" s="47">
        <f t="shared" si="696"/>
        <v>13.688524590163933</v>
      </c>
      <c r="DK98" s="48">
        <f t="shared" si="697"/>
        <v>0</v>
      </c>
      <c r="DM98" s="107">
        <f t="shared" si="643"/>
        <v>0.95058304553337947</v>
      </c>
      <c r="DN98" s="141" t="str">
        <f t="shared" si="713"/>
        <v>-</v>
      </c>
      <c r="DO98" s="107">
        <f t="shared" si="698"/>
        <v>4.6433086476583352</v>
      </c>
      <c r="DP98" s="133">
        <f t="shared" si="725"/>
        <v>2.9477261518770188</v>
      </c>
      <c r="DQ98" s="133">
        <f t="shared" si="726"/>
        <v>0</v>
      </c>
      <c r="DR98" s="133">
        <f t="shared" si="727"/>
        <v>0</v>
      </c>
      <c r="DS98" s="133">
        <f t="shared" si="728"/>
        <v>1.6955824957813168</v>
      </c>
      <c r="DT98" s="107">
        <f t="shared" si="729"/>
        <v>1.681792830507429</v>
      </c>
      <c r="DU98" s="133">
        <f t="shared" si="730"/>
        <v>2.1302684052158476</v>
      </c>
      <c r="DW98" s="107">
        <f t="shared" si="417"/>
        <v>0.98063875362807762</v>
      </c>
      <c r="DX98" s="107">
        <f t="shared" si="699"/>
        <v>0.98104311854098336</v>
      </c>
      <c r="DZ98" s="107">
        <f t="shared" si="700"/>
        <v>0.98568051051829197</v>
      </c>
      <c r="EA98" s="122" t="str">
        <f t="shared" si="714"/>
        <v>-</v>
      </c>
      <c r="EB98" s="107">
        <f t="shared" si="701"/>
        <v>0.96490146197812354</v>
      </c>
      <c r="EC98" s="122" t="str">
        <f t="shared" si="715"/>
        <v>-</v>
      </c>
      <c r="ED98" s="107">
        <f t="shared" si="67"/>
        <v>2.9475318537903918</v>
      </c>
      <c r="EE98" s="107">
        <f t="shared" si="68"/>
        <v>1.999861375368307</v>
      </c>
      <c r="EF98" s="107">
        <f t="shared" si="733"/>
        <v>1.5226308232378345</v>
      </c>
      <c r="EH98" s="107">
        <f t="shared" si="702"/>
        <v>0.97178121956864971</v>
      </c>
      <c r="EJ98" s="107">
        <f t="shared" si="69"/>
        <v>2.9475318537903918</v>
      </c>
      <c r="EK98" s="107">
        <f t="shared" si="735"/>
        <v>1.9999861371044338</v>
      </c>
      <c r="EL98" s="107">
        <f t="shared" si="736"/>
        <v>1.7516008351169572</v>
      </c>
      <c r="EM98" s="107">
        <f t="shared" si="703"/>
        <v>0.95473203806095919</v>
      </c>
      <c r="EO98" s="107">
        <f t="shared" si="737"/>
        <v>4.4880028530566047</v>
      </c>
      <c r="EP98" s="107">
        <f t="shared" si="70"/>
        <v>2.9475318537903918</v>
      </c>
      <c r="EQ98" s="107">
        <f t="shared" si="739"/>
        <v>1.5226308232378345</v>
      </c>
      <c r="ER98" s="107">
        <f t="shared" si="740"/>
        <v>1.681792830507429</v>
      </c>
      <c r="ES98" s="107">
        <f t="shared" si="654"/>
        <v>0.95850921050764926</v>
      </c>
      <c r="EU98" s="107">
        <f t="shared" si="710"/>
        <v>1.6933925932276055</v>
      </c>
      <c r="EV98" s="107">
        <f t="shared" si="71"/>
        <v>2.9475318537903918</v>
      </c>
      <c r="EW98" s="107">
        <f t="shared" si="742"/>
        <v>0.97287446482063944</v>
      </c>
      <c r="EX98" s="107">
        <f t="shared" si="743"/>
        <v>1.7004018521985302</v>
      </c>
      <c r="EY98" s="107">
        <f t="shared" si="658"/>
        <v>0.95050868159517721</v>
      </c>
      <c r="FA98" s="107">
        <f t="shared" si="611"/>
        <v>1.6934484056047168</v>
      </c>
      <c r="FB98" s="107">
        <f t="shared" si="72"/>
        <v>2.9477261518770188</v>
      </c>
      <c r="FC98" s="107">
        <f t="shared" si="745"/>
        <v>0.97287446482063944</v>
      </c>
      <c r="FD98" s="107">
        <f t="shared" si="746"/>
        <v>1.7004018521985302</v>
      </c>
      <c r="FE98" s="107">
        <f t="shared" si="662"/>
        <v>0.9442189051585872</v>
      </c>
      <c r="FF98" s="141" t="str">
        <f t="shared" si="716"/>
        <v>-</v>
      </c>
      <c r="FG98" s="107">
        <f t="shared" si="613"/>
        <v>2.7899777741713541</v>
      </c>
      <c r="FH98" s="133">
        <f t="shared" si="747"/>
        <v>2.9477261518770188</v>
      </c>
      <c r="FI98" s="133">
        <f t="shared" si="748"/>
        <v>0.94648472430004549</v>
      </c>
      <c r="FJ98" s="107">
        <f t="shared" si="749"/>
        <v>0.95620623092144552</v>
      </c>
      <c r="FK98" s="107">
        <f t="shared" si="666"/>
        <v>0.96458844141538835</v>
      </c>
      <c r="FL98" s="141" t="str">
        <f t="shared" si="717"/>
        <v>-</v>
      </c>
      <c r="FM98" s="107">
        <f t="shared" si="615"/>
        <v>4.9096922004568029</v>
      </c>
      <c r="FN98" s="133">
        <f t="shared" si="750"/>
        <v>2.9477261518770188</v>
      </c>
      <c r="FO98" s="133">
        <f t="shared" si="751"/>
        <v>0.76638355279846659</v>
      </c>
      <c r="FP98" s="133">
        <f t="shared" si="752"/>
        <v>1.6955824957813168</v>
      </c>
      <c r="FQ98" s="107">
        <f t="shared" si="753"/>
        <v>1.681792830507429</v>
      </c>
      <c r="FR98" s="107">
        <f t="shared" si="671"/>
        <v>0.95076292118070482</v>
      </c>
      <c r="FS98" s="141" t="str">
        <f t="shared" si="718"/>
        <v>-</v>
      </c>
      <c r="FT98" s="107">
        <f t="shared" si="617"/>
        <v>4.9981128654794924</v>
      </c>
      <c r="FU98" s="133">
        <f t="shared" si="754"/>
        <v>2.9477261518770188</v>
      </c>
      <c r="FV98" s="133">
        <f t="shared" si="755"/>
        <v>1.6955824957813168</v>
      </c>
      <c r="FW98" s="107">
        <f t="shared" si="756"/>
        <v>1.681792830507429</v>
      </c>
      <c r="FY98">
        <v>0.95</v>
      </c>
      <c r="FZ98" s="62">
        <f t="shared" si="711"/>
        <v>1.0121729406838227</v>
      </c>
      <c r="GA98" s="62">
        <f t="shared" si="712"/>
        <v>2.1302684052158476</v>
      </c>
      <c r="GB98" s="107">
        <f t="shared" si="798"/>
        <v>1.2300560819272928</v>
      </c>
      <c r="GC98" s="440"/>
      <c r="GD98" s="17"/>
      <c r="GE98" s="442"/>
      <c r="GF98" s="462"/>
      <c r="GG98" s="17"/>
      <c r="GH98" s="17"/>
      <c r="GI98" s="17"/>
      <c r="GJ98" s="17"/>
      <c r="GL98" s="17"/>
      <c r="GM98" s="442"/>
      <c r="GN98" s="8"/>
      <c r="GO98" s="8"/>
      <c r="GP98" s="8"/>
      <c r="GQ98" s="8"/>
      <c r="GS98" s="17"/>
      <c r="GT98" s="17"/>
      <c r="GU98" s="17"/>
      <c r="GV98" s="629"/>
      <c r="GW98" s="17"/>
      <c r="GX98" s="17"/>
      <c r="GY98" s="17"/>
      <c r="GZ98" s="17"/>
    </row>
    <row r="99" spans="1:208" ht="15.6" x14ac:dyDescent="0.3">
      <c r="A99" s="60" t="s">
        <v>718</v>
      </c>
      <c r="B99" s="218"/>
      <c r="C99" s="61" t="str">
        <f t="shared" ref="C99:C100" si="862">C98</f>
        <v>Gaffel</v>
      </c>
      <c r="D99" s="61"/>
      <c r="E99" s="61"/>
      <c r="F99" s="61"/>
      <c r="G99" s="54"/>
      <c r="H99" s="204">
        <f>TBFavrundet</f>
        <v>94.5</v>
      </c>
      <c r="I99" s="63">
        <f>COUNTA(O99:AG99)</f>
        <v>4</v>
      </c>
      <c r="J99" s="222">
        <f>SUM(O99:AG99)</f>
        <v>47.099999999999994</v>
      </c>
      <c r="K99" s="116">
        <f>Seilareal/Depl^0.667/K$7</f>
        <v>1.0080839999904871</v>
      </c>
      <c r="L99" s="116">
        <f>Seilareal/Lwl/Lwl/L$7</f>
        <v>1.1166521512464043</v>
      </c>
      <c r="M99" s="92">
        <f>RiggF</f>
        <v>0.75817409766454369</v>
      </c>
      <c r="N99" s="242">
        <f>StHfaktor</f>
        <v>0.98344710591563322</v>
      </c>
      <c r="O99" s="143"/>
      <c r="P99" s="143"/>
      <c r="Q99" s="143"/>
      <c r="R99" s="165">
        <v>11.3</v>
      </c>
      <c r="S99" s="143"/>
      <c r="T99" s="143"/>
      <c r="U99" s="165">
        <v>8.1</v>
      </c>
      <c r="V99" s="143"/>
      <c r="W99" s="143"/>
      <c r="X99" s="165">
        <v>18.7</v>
      </c>
      <c r="Y99" s="143"/>
      <c r="Z99" s="143"/>
      <c r="AA99" s="143"/>
      <c r="AB99" s="143"/>
      <c r="AC99" s="165">
        <v>9</v>
      </c>
      <c r="AD99" s="143"/>
      <c r="AE99" s="143"/>
      <c r="AF99" s="143"/>
      <c r="AG99" s="551"/>
      <c r="AH99" s="557"/>
      <c r="AI99" s="557">
        <f t="shared" si="851"/>
        <v>7</v>
      </c>
      <c r="AJ99" s="337">
        <f t="shared" ref="AJ99" si="863" xml:space="preserve"> AJ98</f>
        <v>0</v>
      </c>
      <c r="AK99" s="339"/>
      <c r="AL99" s="337">
        <f t="shared" ref="AL99" si="864" xml:space="preserve"> AL98</f>
        <v>0</v>
      </c>
      <c r="AM99" s="339"/>
      <c r="AN99" s="267" t="str">
        <f t="shared" si="854"/>
        <v>Lystb</v>
      </c>
      <c r="AO99" s="45">
        <f>VLOOKUP(AN99,Skrogform!$1:$1048576,3,FALSE)</f>
        <v>0.98</v>
      </c>
      <c r="AP99" s="64">
        <f t="shared" ref="AP99:BB99" si="865">AP98</f>
        <v>9.1999999999999993</v>
      </c>
      <c r="AQ99" s="64">
        <f t="shared" si="865"/>
        <v>8</v>
      </c>
      <c r="AR99" s="64">
        <f t="shared" si="865"/>
        <v>3.2</v>
      </c>
      <c r="AS99" s="64">
        <f t="shared" si="865"/>
        <v>1.67</v>
      </c>
      <c r="AT99" s="64">
        <f t="shared" ref="AT99" si="866">AT98</f>
        <v>9</v>
      </c>
      <c r="AU99" s="64">
        <f t="shared" si="865"/>
        <v>9</v>
      </c>
      <c r="AV99" s="64">
        <f t="shared" si="865"/>
        <v>3</v>
      </c>
      <c r="AW99" s="64">
        <f t="shared" si="865"/>
        <v>0</v>
      </c>
      <c r="AX99" s="256">
        <f>AX98</f>
        <v>0</v>
      </c>
      <c r="AY99" s="256">
        <f t="shared" si="865"/>
        <v>30</v>
      </c>
      <c r="AZ99" s="256">
        <f t="shared" si="865"/>
        <v>210</v>
      </c>
      <c r="BA99" s="256">
        <f t="shared" si="865"/>
        <v>0</v>
      </c>
      <c r="BB99" s="256">
        <f t="shared" si="865"/>
        <v>0</v>
      </c>
      <c r="BC99" s="256"/>
      <c r="BD99" s="66"/>
      <c r="BE99" s="66"/>
      <c r="BF99" s="261"/>
      <c r="BG99" s="66"/>
      <c r="BH99" s="175"/>
      <c r="BI99" s="66"/>
      <c r="BJ99" s="66"/>
      <c r="BK99" s="65" t="str">
        <f t="shared" ref="BK99:BM99" si="867" xml:space="preserve"> BK98</f>
        <v>Fast</v>
      </c>
      <c r="BL99" s="267">
        <f t="shared" si="867"/>
        <v>3</v>
      </c>
      <c r="BM99" s="267">
        <f t="shared" si="867"/>
        <v>46</v>
      </c>
      <c r="BN99" s="45">
        <f t="shared" si="788"/>
        <v>0.98167635211056081</v>
      </c>
      <c r="BO99" s="59"/>
      <c r="BP99" s="59"/>
      <c r="BR99" s="49">
        <f t="shared" si="858"/>
        <v>0</v>
      </c>
      <c r="BS99" s="49">
        <f t="shared" si="858"/>
        <v>0</v>
      </c>
      <c r="BT99" s="49">
        <f t="shared" si="858"/>
        <v>0</v>
      </c>
      <c r="BU99" s="49">
        <f t="shared" si="858"/>
        <v>11.3</v>
      </c>
      <c r="BV99" s="49">
        <f t="shared" si="858"/>
        <v>0</v>
      </c>
      <c r="BW99" s="49">
        <f t="shared" si="858"/>
        <v>0</v>
      </c>
      <c r="BX99" s="49">
        <f>IF(U99=0,0,U99*BX$9)</f>
        <v>8.1</v>
      </c>
      <c r="BY99" s="549">
        <f t="shared" si="829"/>
        <v>-4.05</v>
      </c>
      <c r="BZ99" s="85">
        <f t="shared" si="859"/>
        <v>0</v>
      </c>
      <c r="CA99" s="85">
        <f t="shared" si="859"/>
        <v>0</v>
      </c>
      <c r="CB99" s="85">
        <f t="shared" si="859"/>
        <v>14.96</v>
      </c>
      <c r="CC99" s="85">
        <f t="shared" si="859"/>
        <v>0</v>
      </c>
      <c r="CD99" s="85">
        <f t="shared" si="859"/>
        <v>0</v>
      </c>
      <c r="CE99" s="85">
        <f>IF(AC99=0,0,AC99*CE$9)</f>
        <v>5.3999999999999995</v>
      </c>
      <c r="CF99" s="85">
        <f t="shared" si="860"/>
        <v>0</v>
      </c>
      <c r="CG99" s="85">
        <f t="shared" si="860"/>
        <v>0</v>
      </c>
      <c r="CH99" s="85">
        <f t="shared" si="861"/>
        <v>0</v>
      </c>
      <c r="CI99" s="85">
        <f t="shared" si="861"/>
        <v>0</v>
      </c>
      <c r="CJ99" s="85">
        <f t="shared" si="861"/>
        <v>0</v>
      </c>
      <c r="CK99" s="85">
        <f t="shared" si="861"/>
        <v>0</v>
      </c>
      <c r="CL99" s="100">
        <f>SUM(BR99:CK99)</f>
        <v>35.71</v>
      </c>
      <c r="CM99" s="50"/>
      <c r="CN99" s="104">
        <f>J99</f>
        <v>47.099999999999994</v>
      </c>
      <c r="CO99" s="101">
        <f>CL99/CN99</f>
        <v>0.75817409766454369</v>
      </c>
      <c r="CP99" s="51">
        <f>Seilareal/Lwl/Lwl</f>
        <v>0.73593749999999991</v>
      </c>
      <c r="CQ99" s="116">
        <f>Seilareal/Depl^0.667/K$7</f>
        <v>1.0080839999904871</v>
      </c>
      <c r="CR99" s="51">
        <f>Seilareal/Lwl/Lwl/SApRS1</f>
        <v>1.1166521512464043</v>
      </c>
      <c r="CS99" s="204"/>
      <c r="CT99" s="204">
        <f>(ROUND(TBF/CT$6,3)*CT$6)*CT$4</f>
        <v>94.5</v>
      </c>
      <c r="CU99" s="107">
        <f t="shared" si="36"/>
        <v>0.94551969805085212</v>
      </c>
      <c r="CV99" s="62">
        <f t="shared" si="789"/>
        <v>2.8046800324494083</v>
      </c>
      <c r="CW99" s="62">
        <f t="shared" si="14"/>
        <v>1.6393596310755001</v>
      </c>
      <c r="CX99" s="62">
        <f t="shared" si="790"/>
        <v>1.681792830507429</v>
      </c>
      <c r="CY99" s="107">
        <f t="shared" si="16"/>
        <v>0.98344710591563322</v>
      </c>
      <c r="CZ99" s="168" t="str">
        <f t="shared" si="693"/>
        <v>-</v>
      </c>
      <c r="DA99" s="158"/>
      <c r="DB99" s="168" t="str">
        <f t="shared" si="694"/>
        <v>-</v>
      </c>
      <c r="DC99" s="160"/>
      <c r="DD99" s="190" t="s">
        <v>134</v>
      </c>
      <c r="DE99" s="62" t="s">
        <v>102</v>
      </c>
      <c r="DF99" s="62" t="s">
        <v>102</v>
      </c>
      <c r="DG99" s="62" t="s">
        <v>102</v>
      </c>
      <c r="DH99" s="150" t="s">
        <v>102</v>
      </c>
      <c r="DI99" s="62">
        <f t="shared" si="695"/>
        <v>2.2032409894642635</v>
      </c>
      <c r="DJ99" s="47">
        <f t="shared" si="696"/>
        <v>13.688524590163933</v>
      </c>
      <c r="DK99" s="48">
        <f t="shared" si="697"/>
        <v>0</v>
      </c>
      <c r="DM99" s="107">
        <f t="shared" si="643"/>
        <v>0.93529893862811098</v>
      </c>
      <c r="DN99" s="141" t="str">
        <f t="shared" si="713"/>
        <v>-</v>
      </c>
      <c r="DO99" s="107">
        <f t="shared" si="698"/>
        <v>4.5686504406784838</v>
      </c>
      <c r="DP99" s="133">
        <f t="shared" si="725"/>
        <v>2.8730679448971674</v>
      </c>
      <c r="DQ99" s="133">
        <f t="shared" si="726"/>
        <v>0</v>
      </c>
      <c r="DR99" s="133">
        <f t="shared" si="727"/>
        <v>0</v>
      </c>
      <c r="DS99" s="133">
        <f t="shared" si="728"/>
        <v>1.6955824957813168</v>
      </c>
      <c r="DT99" s="107">
        <f t="shared" si="729"/>
        <v>1.681792830507429</v>
      </c>
      <c r="DU99" s="133">
        <f t="shared" si="730"/>
        <v>2.1302684052158476</v>
      </c>
      <c r="DW99" s="107">
        <f t="shared" si="417"/>
        <v>0.96481601841923703</v>
      </c>
      <c r="DX99" s="107">
        <f t="shared" si="699"/>
        <v>0.96238239452890884</v>
      </c>
      <c r="DZ99" s="107">
        <f t="shared" si="700"/>
        <v>0.97118951959393318</v>
      </c>
      <c r="EA99" s="122" t="str">
        <f t="shared" si="714"/>
        <v>-</v>
      </c>
      <c r="EB99" s="107">
        <f t="shared" si="701"/>
        <v>0.94755181298185032</v>
      </c>
      <c r="EC99" s="122" t="str">
        <f t="shared" si="715"/>
        <v>-</v>
      </c>
      <c r="ED99" s="107">
        <f t="shared" si="67"/>
        <v>2.8728785678737667</v>
      </c>
      <c r="EE99" s="107">
        <f t="shared" si="68"/>
        <v>1.999861375368307</v>
      </c>
      <c r="EF99" s="107">
        <f t="shared" si="733"/>
        <v>1.5226308232378345</v>
      </c>
      <c r="EH99" s="107">
        <f t="shared" si="702"/>
        <v>0.95632020622533997</v>
      </c>
      <c r="EJ99" s="107">
        <f t="shared" si="69"/>
        <v>2.8728785678737667</v>
      </c>
      <c r="EK99" s="107">
        <f t="shared" si="735"/>
        <v>1.9999861371044338</v>
      </c>
      <c r="EL99" s="107">
        <f t="shared" si="736"/>
        <v>1.7516008351169572</v>
      </c>
      <c r="EM99" s="107">
        <f t="shared" si="703"/>
        <v>0.93800519393949489</v>
      </c>
      <c r="EO99" s="107">
        <f t="shared" si="737"/>
        <v>4.3743334588639646</v>
      </c>
      <c r="EP99" s="107">
        <f t="shared" si="70"/>
        <v>2.8728785678737667</v>
      </c>
      <c r="EQ99" s="107">
        <f t="shared" si="739"/>
        <v>1.5226308232378345</v>
      </c>
      <c r="ER99" s="107">
        <f t="shared" si="740"/>
        <v>1.681792830507429</v>
      </c>
      <c r="ES99" s="107">
        <f t="shared" si="654"/>
        <v>0.94117486648347937</v>
      </c>
      <c r="EU99" s="107">
        <f t="shared" si="710"/>
        <v>1.6718104555286391</v>
      </c>
      <c r="EV99" s="107">
        <f t="shared" si="71"/>
        <v>2.8728785678737667</v>
      </c>
      <c r="EW99" s="107">
        <f t="shared" si="742"/>
        <v>0.97287446482063944</v>
      </c>
      <c r="EX99" s="107">
        <f t="shared" si="743"/>
        <v>1.7004018521985302</v>
      </c>
      <c r="EY99" s="107">
        <f t="shared" si="658"/>
        <v>0.93839453315004295</v>
      </c>
      <c r="FA99" s="107">
        <f t="shared" si="611"/>
        <v>1.6718655565819778</v>
      </c>
      <c r="FB99" s="107">
        <f t="shared" si="72"/>
        <v>2.8730679448971674</v>
      </c>
      <c r="FC99" s="107">
        <f t="shared" si="745"/>
        <v>0.97287446482063944</v>
      </c>
      <c r="FD99" s="107">
        <f t="shared" si="746"/>
        <v>1.7004018521985302</v>
      </c>
      <c r="FE99" s="107">
        <f t="shared" si="662"/>
        <v>0.93028957096928167</v>
      </c>
      <c r="FF99" s="141" t="str">
        <f t="shared" si="716"/>
        <v>-</v>
      </c>
      <c r="FG99" s="107">
        <f t="shared" si="613"/>
        <v>2.7193149217212937</v>
      </c>
      <c r="FH99" s="133">
        <f t="shared" si="747"/>
        <v>2.8730679448971674</v>
      </c>
      <c r="FI99" s="133">
        <f t="shared" si="748"/>
        <v>0.94648472430004549</v>
      </c>
      <c r="FJ99" s="107">
        <f t="shared" si="749"/>
        <v>0.95620623092144552</v>
      </c>
      <c r="FK99" s="107">
        <f t="shared" si="666"/>
        <v>0.94610712357958004</v>
      </c>
      <c r="FL99" s="141" t="str">
        <f t="shared" si="717"/>
        <v>-</v>
      </c>
      <c r="FM99" s="107">
        <f t="shared" si="615"/>
        <v>4.8156234990949169</v>
      </c>
      <c r="FN99" s="133">
        <f t="shared" si="750"/>
        <v>2.8730679448971674</v>
      </c>
      <c r="FO99" s="133">
        <f t="shared" si="751"/>
        <v>0.74697305841643313</v>
      </c>
      <c r="FP99" s="133">
        <f t="shared" si="752"/>
        <v>1.6955824957813168</v>
      </c>
      <c r="FQ99" s="107">
        <f t="shared" si="753"/>
        <v>1.681792830507429</v>
      </c>
      <c r="FR99" s="107">
        <f t="shared" si="671"/>
        <v>0.93738719775762169</v>
      </c>
      <c r="FS99" s="141" t="str">
        <f t="shared" si="718"/>
        <v>-</v>
      </c>
      <c r="FT99" s="107">
        <f t="shared" si="617"/>
        <v>4.8715237165580376</v>
      </c>
      <c r="FU99" s="133">
        <f t="shared" si="754"/>
        <v>2.8730679448971674</v>
      </c>
      <c r="FV99" s="133">
        <f t="shared" si="755"/>
        <v>1.6955824957813168</v>
      </c>
      <c r="FW99" s="107">
        <f t="shared" si="756"/>
        <v>1.681792830507429</v>
      </c>
      <c r="FY99">
        <v>0.95</v>
      </c>
      <c r="FZ99" s="62">
        <f t="shared" si="711"/>
        <v>1.0010172558391022</v>
      </c>
      <c r="GA99" s="62">
        <f t="shared" si="712"/>
        <v>2.1302684052158476</v>
      </c>
      <c r="GB99" s="107">
        <f t="shared" si="798"/>
        <v>1.2195824516443432</v>
      </c>
      <c r="GC99" s="440"/>
      <c r="GD99" s="17"/>
      <c r="GE99" s="442"/>
      <c r="GF99" s="462"/>
      <c r="GG99" s="17"/>
      <c r="GH99" s="17"/>
      <c r="GI99" s="17"/>
      <c r="GJ99" s="17"/>
      <c r="GL99" s="17"/>
      <c r="GM99" s="442"/>
      <c r="GN99" s="8"/>
      <c r="GO99" s="8"/>
      <c r="GP99" s="8"/>
      <c r="GQ99" s="8"/>
      <c r="GS99" s="17"/>
      <c r="GT99" s="17"/>
      <c r="GU99" s="17"/>
      <c r="GV99" s="629"/>
      <c r="GW99" s="17"/>
      <c r="GX99" s="17"/>
      <c r="GY99" s="17"/>
      <c r="GZ99" s="17"/>
    </row>
    <row r="100" spans="1:208" ht="15.6" x14ac:dyDescent="0.3">
      <c r="A100" s="60" t="s">
        <v>33</v>
      </c>
      <c r="B100" s="218"/>
      <c r="C100" s="61" t="str">
        <f t="shared" si="862"/>
        <v>Gaffel</v>
      </c>
      <c r="D100" s="61"/>
      <c r="E100" s="61"/>
      <c r="F100" s="61"/>
      <c r="G100" s="54"/>
      <c r="H100" s="204">
        <f>TBFavrundet</f>
        <v>83</v>
      </c>
      <c r="I100" s="63">
        <f>COUNTA(O100:AG100)</f>
        <v>2</v>
      </c>
      <c r="J100" s="222">
        <f>SUM(O100:AG100)</f>
        <v>26.799999999999997</v>
      </c>
      <c r="K100" s="116">
        <f>Seilareal/Depl^0.667/K$7</f>
        <v>0.57360193630031964</v>
      </c>
      <c r="L100" s="116">
        <f>Seilareal/Lwl/Lwl/L$7</f>
        <v>0.63537744487056558</v>
      </c>
      <c r="M100" s="92">
        <f>RiggF</f>
        <v>0.86044776119402999</v>
      </c>
      <c r="N100" s="242">
        <f>StHfaktor</f>
        <v>0.98344710591563322</v>
      </c>
      <c r="O100" s="143"/>
      <c r="P100" s="143"/>
      <c r="Q100" s="143"/>
      <c r="R100" s="143"/>
      <c r="S100" s="143"/>
      <c r="T100" s="143"/>
      <c r="U100" s="165">
        <v>8.1</v>
      </c>
      <c r="V100" s="143"/>
      <c r="W100" s="143"/>
      <c r="X100" s="165">
        <v>18.7</v>
      </c>
      <c r="Y100" s="143"/>
      <c r="Z100" s="143"/>
      <c r="AA100" s="143"/>
      <c r="AB100" s="143"/>
      <c r="AC100" s="143"/>
      <c r="AD100" s="143"/>
      <c r="AE100" s="143"/>
      <c r="AF100" s="143"/>
      <c r="AG100" s="551"/>
      <c r="AH100" s="557"/>
      <c r="AI100" s="557">
        <f t="shared" si="851"/>
        <v>7</v>
      </c>
      <c r="AJ100" s="337">
        <f t="shared" ref="AJ100" si="868" xml:space="preserve"> AJ99</f>
        <v>0</v>
      </c>
      <c r="AK100" s="339"/>
      <c r="AL100" s="337">
        <f t="shared" ref="AL100" si="869" xml:space="preserve"> AL99</f>
        <v>0</v>
      </c>
      <c r="AM100" s="339"/>
      <c r="AN100" s="267" t="str">
        <f t="shared" si="854"/>
        <v>Lystb</v>
      </c>
      <c r="AO100" s="45">
        <f>VLOOKUP(AN100,Skrogform!$1:$1048576,3,FALSE)</f>
        <v>0.98</v>
      </c>
      <c r="AP100" s="64">
        <f t="shared" ref="AP100:BB100" si="870">AP99</f>
        <v>9.1999999999999993</v>
      </c>
      <c r="AQ100" s="64">
        <f t="shared" si="870"/>
        <v>8</v>
      </c>
      <c r="AR100" s="64">
        <f t="shared" si="870"/>
        <v>3.2</v>
      </c>
      <c r="AS100" s="64">
        <f t="shared" si="870"/>
        <v>1.67</v>
      </c>
      <c r="AT100" s="64">
        <f t="shared" ref="AT100" si="871">AT99</f>
        <v>9</v>
      </c>
      <c r="AU100" s="64">
        <f t="shared" si="870"/>
        <v>9</v>
      </c>
      <c r="AV100" s="64">
        <f t="shared" si="870"/>
        <v>3</v>
      </c>
      <c r="AW100" s="64">
        <f t="shared" si="870"/>
        <v>0</v>
      </c>
      <c r="AX100" s="256">
        <f>AX99</f>
        <v>0</v>
      </c>
      <c r="AY100" s="256">
        <f t="shared" si="870"/>
        <v>30</v>
      </c>
      <c r="AZ100" s="256">
        <f t="shared" si="870"/>
        <v>210</v>
      </c>
      <c r="BA100" s="256">
        <f t="shared" si="870"/>
        <v>0</v>
      </c>
      <c r="BB100" s="256">
        <f t="shared" si="870"/>
        <v>0</v>
      </c>
      <c r="BC100" s="256"/>
      <c r="BD100" s="66"/>
      <c r="BE100" s="66"/>
      <c r="BF100" s="261"/>
      <c r="BG100" s="66"/>
      <c r="BH100" s="175"/>
      <c r="BI100" s="66"/>
      <c r="BJ100" s="66"/>
      <c r="BK100" s="65" t="str">
        <f t="shared" ref="BK100:BM100" si="872" xml:space="preserve"> BK99</f>
        <v>Fast</v>
      </c>
      <c r="BL100" s="267">
        <f t="shared" si="872"/>
        <v>3</v>
      </c>
      <c r="BM100" s="267">
        <f t="shared" si="872"/>
        <v>46</v>
      </c>
      <c r="BN100" s="45">
        <f t="shared" si="788"/>
        <v>0.98167635211056081</v>
      </c>
      <c r="BO100" s="59"/>
      <c r="BP100" s="59"/>
      <c r="BR100" s="49">
        <f t="shared" si="858"/>
        <v>0</v>
      </c>
      <c r="BS100" s="49">
        <f t="shared" si="858"/>
        <v>0</v>
      </c>
      <c r="BT100" s="49">
        <f t="shared" si="858"/>
        <v>0</v>
      </c>
      <c r="BU100" s="49">
        <f t="shared" si="858"/>
        <v>0</v>
      </c>
      <c r="BV100" s="49">
        <f t="shared" si="858"/>
        <v>0</v>
      </c>
      <c r="BW100" s="49">
        <f t="shared" si="858"/>
        <v>0</v>
      </c>
      <c r="BX100" s="49">
        <f>IF(U100=0,0,U100*BX$9)</f>
        <v>8.1</v>
      </c>
      <c r="BY100" s="549">
        <f t="shared" si="829"/>
        <v>0</v>
      </c>
      <c r="BZ100" s="85">
        <f t="shared" si="859"/>
        <v>0</v>
      </c>
      <c r="CA100" s="85">
        <f t="shared" si="859"/>
        <v>0</v>
      </c>
      <c r="CB100" s="85">
        <f t="shared" si="859"/>
        <v>14.96</v>
      </c>
      <c r="CC100" s="85">
        <f t="shared" si="859"/>
        <v>0</v>
      </c>
      <c r="CD100" s="85">
        <f t="shared" si="859"/>
        <v>0</v>
      </c>
      <c r="CE100" s="85">
        <f>IF(AC100=0,0,AC100*CE$9)</f>
        <v>0</v>
      </c>
      <c r="CF100" s="85">
        <f t="shared" si="860"/>
        <v>0</v>
      </c>
      <c r="CG100" s="85">
        <f t="shared" si="860"/>
        <v>0</v>
      </c>
      <c r="CH100" s="85">
        <f t="shared" si="861"/>
        <v>0</v>
      </c>
      <c r="CI100" s="85">
        <f t="shared" si="861"/>
        <v>0</v>
      </c>
      <c r="CJ100" s="85">
        <f t="shared" si="861"/>
        <v>0</v>
      </c>
      <c r="CK100" s="85">
        <f t="shared" si="861"/>
        <v>0</v>
      </c>
      <c r="CL100" s="100">
        <f>SUM(BR100:CK100)</f>
        <v>23.060000000000002</v>
      </c>
      <c r="CM100" s="50"/>
      <c r="CN100" s="104">
        <f>J100</f>
        <v>26.799999999999997</v>
      </c>
      <c r="CO100" s="101">
        <f>CL100/CN100</f>
        <v>0.86044776119402999</v>
      </c>
      <c r="CP100" s="51">
        <f>Seilareal/Lwl/Lwl</f>
        <v>0.41874999999999996</v>
      </c>
      <c r="CQ100" s="116">
        <f>Seilareal/Depl^0.667/K$7</f>
        <v>0.57360193630031964</v>
      </c>
      <c r="CR100" s="51">
        <f>Seilareal/Lwl/Lwl/SApRS1</f>
        <v>0.63537744487056558</v>
      </c>
      <c r="CS100" s="204"/>
      <c r="CT100" s="204">
        <f>(ROUND(TBF/CT$6,3)*CT$6)*CT$4</f>
        <v>83</v>
      </c>
      <c r="CU100" s="107">
        <f t="shared" si="36"/>
        <v>0.82831669395837659</v>
      </c>
      <c r="CV100" s="62">
        <f t="shared" si="789"/>
        <v>2.2538138792164784</v>
      </c>
      <c r="CW100" s="62">
        <f t="shared" si="14"/>
        <v>1.6393596310755001</v>
      </c>
      <c r="CX100" s="62">
        <f t="shared" si="790"/>
        <v>1.681792830507429</v>
      </c>
      <c r="CY100" s="107">
        <f t="shared" si="16"/>
        <v>0.98344710591563322</v>
      </c>
      <c r="CZ100" s="168" t="str">
        <f t="shared" si="693"/>
        <v>-</v>
      </c>
      <c r="DA100" s="158"/>
      <c r="DB100" s="168" t="str">
        <f t="shared" si="694"/>
        <v>-</v>
      </c>
      <c r="DC100" s="160"/>
      <c r="DD100" s="190" t="s">
        <v>134</v>
      </c>
      <c r="DE100" s="62" t="s">
        <v>102</v>
      </c>
      <c r="DF100" s="62" t="s">
        <v>102</v>
      </c>
      <c r="DG100" s="62" t="s">
        <v>102</v>
      </c>
      <c r="DH100" s="150" t="s">
        <v>102</v>
      </c>
      <c r="DI100" s="62">
        <f t="shared" si="695"/>
        <v>2.2032409894642635</v>
      </c>
      <c r="DJ100" s="47">
        <f t="shared" si="696"/>
        <v>13.688524590163933</v>
      </c>
      <c r="DK100" s="48">
        <f t="shared" si="697"/>
        <v>0</v>
      </c>
      <c r="DM100" s="107">
        <f t="shared" si="643"/>
        <v>0.81977521624805572</v>
      </c>
      <c r="DN100" s="141" t="str">
        <f t="shared" si="713"/>
        <v>-</v>
      </c>
      <c r="DO100" s="107">
        <f t="shared" si="698"/>
        <v>4.0043522432116792</v>
      </c>
      <c r="DP100" s="133">
        <f t="shared" si="725"/>
        <v>2.3087697474303619</v>
      </c>
      <c r="DQ100" s="133">
        <f t="shared" si="726"/>
        <v>0</v>
      </c>
      <c r="DR100" s="133">
        <f t="shared" si="727"/>
        <v>0</v>
      </c>
      <c r="DS100" s="133">
        <f t="shared" si="728"/>
        <v>1.6955824957813168</v>
      </c>
      <c r="DT100" s="107">
        <f t="shared" si="729"/>
        <v>1.681792830507429</v>
      </c>
      <c r="DU100" s="133">
        <f t="shared" si="730"/>
        <v>2.1302684052158476</v>
      </c>
      <c r="DW100" s="107">
        <f t="shared" si="417"/>
        <v>0.84522111628405783</v>
      </c>
      <c r="DX100" s="107">
        <f t="shared" si="699"/>
        <v>0.82133677678080053</v>
      </c>
      <c r="DZ100" s="107">
        <f t="shared" si="700"/>
        <v>0.86166050210319289</v>
      </c>
      <c r="EA100" s="122" t="str">
        <f t="shared" si="714"/>
        <v>-</v>
      </c>
      <c r="EB100" s="107">
        <f t="shared" si="701"/>
        <v>0.81641585283320928</v>
      </c>
      <c r="EC100" s="122" t="str">
        <f t="shared" si="715"/>
        <v>-</v>
      </c>
      <c r="ED100" s="107">
        <f t="shared" si="67"/>
        <v>2.3086175658770984</v>
      </c>
      <c r="EE100" s="107">
        <f t="shared" si="68"/>
        <v>1.999861375368307</v>
      </c>
      <c r="EF100" s="107">
        <f t="shared" si="733"/>
        <v>1.5226308232378345</v>
      </c>
      <c r="EH100" s="107">
        <f t="shared" si="702"/>
        <v>0.83945935041889774</v>
      </c>
      <c r="EJ100" s="107">
        <f t="shared" si="69"/>
        <v>2.3086175658770984</v>
      </c>
      <c r="EK100" s="107">
        <f t="shared" si="735"/>
        <v>1.9999861371044338</v>
      </c>
      <c r="EL100" s="107">
        <f t="shared" si="736"/>
        <v>1.7516008351169572</v>
      </c>
      <c r="EM100" s="107">
        <f t="shared" si="703"/>
        <v>0.8115766555525773</v>
      </c>
      <c r="EO100" s="107">
        <f t="shared" si="737"/>
        <v>3.5151722648727719</v>
      </c>
      <c r="EP100" s="107">
        <f t="shared" si="70"/>
        <v>2.3086175658770984</v>
      </c>
      <c r="EQ100" s="107">
        <f t="shared" si="739"/>
        <v>1.5226308232378345</v>
      </c>
      <c r="ER100" s="107">
        <f t="shared" si="740"/>
        <v>1.681792830507429</v>
      </c>
      <c r="ES100" s="107">
        <f t="shared" si="654"/>
        <v>0.80210742167697868</v>
      </c>
      <c r="EU100" s="107">
        <f t="shared" si="710"/>
        <v>1.4986644317118525</v>
      </c>
      <c r="EV100" s="107">
        <f t="shared" si="71"/>
        <v>2.3086175658770984</v>
      </c>
      <c r="EW100" s="107">
        <f t="shared" si="742"/>
        <v>0.97287446482063944</v>
      </c>
      <c r="EX100" s="107">
        <f t="shared" si="743"/>
        <v>1.7004018521985302</v>
      </c>
      <c r="EY100" s="107">
        <f t="shared" si="658"/>
        <v>0.84120691140200066</v>
      </c>
      <c r="FA100" s="107">
        <f t="shared" si="611"/>
        <v>1.4987138260606647</v>
      </c>
      <c r="FB100" s="107">
        <f t="shared" si="72"/>
        <v>2.3087697474303619</v>
      </c>
      <c r="FC100" s="107">
        <f t="shared" si="745"/>
        <v>0.97287446482063944</v>
      </c>
      <c r="FD100" s="107">
        <f t="shared" si="746"/>
        <v>1.7004018521985302</v>
      </c>
      <c r="FE100" s="107">
        <f t="shared" si="662"/>
        <v>0.82500579182549361</v>
      </c>
      <c r="FF100" s="141" t="str">
        <f t="shared" si="716"/>
        <v>-</v>
      </c>
      <c r="FG100" s="107">
        <f t="shared" si="613"/>
        <v>2.1852152978689117</v>
      </c>
      <c r="FH100" s="133">
        <f t="shared" si="747"/>
        <v>2.3087697474303619</v>
      </c>
      <c r="FI100" s="133">
        <f t="shared" si="748"/>
        <v>0.94648472430004549</v>
      </c>
      <c r="FJ100" s="107">
        <f t="shared" si="749"/>
        <v>0.95620623092144552</v>
      </c>
      <c r="FK100" s="107">
        <f t="shared" si="666"/>
        <v>0.80641753333302946</v>
      </c>
      <c r="FL100" s="141" t="str">
        <f t="shared" si="717"/>
        <v>-</v>
      </c>
      <c r="FM100" s="107">
        <f t="shared" si="615"/>
        <v>4.1046126033888273</v>
      </c>
      <c r="FN100" s="133">
        <f t="shared" si="750"/>
        <v>2.3087697474303619</v>
      </c>
      <c r="FO100" s="133">
        <f t="shared" si="751"/>
        <v>0.60026036017714846</v>
      </c>
      <c r="FP100" s="133">
        <f t="shared" si="752"/>
        <v>1.6955824957813168</v>
      </c>
      <c r="FQ100" s="107">
        <f t="shared" si="753"/>
        <v>1.681792830507429</v>
      </c>
      <c r="FR100" s="107">
        <f t="shared" si="671"/>
        <v>0.83628784213691343</v>
      </c>
      <c r="FS100" s="141" t="str">
        <f t="shared" si="718"/>
        <v>-</v>
      </c>
      <c r="FT100" s="107">
        <f t="shared" si="617"/>
        <v>3.9147095705323736</v>
      </c>
      <c r="FU100" s="133">
        <f t="shared" si="754"/>
        <v>2.3087697474303619</v>
      </c>
      <c r="FV100" s="133">
        <f t="shared" si="755"/>
        <v>1.6955824957813168</v>
      </c>
      <c r="FW100" s="107">
        <f t="shared" si="756"/>
        <v>1.681792830507429</v>
      </c>
      <c r="FY100">
        <v>0.95</v>
      </c>
      <c r="FZ100" s="62">
        <f t="shared" si="711"/>
        <v>0.91669788756010639</v>
      </c>
      <c r="GA100" s="62">
        <f t="shared" si="712"/>
        <v>2.1302684052158476</v>
      </c>
      <c r="GB100" s="107">
        <f t="shared" si="798"/>
        <v>1.1338512300703742</v>
      </c>
      <c r="GC100" s="440"/>
      <c r="GD100" s="17"/>
      <c r="GE100" s="442"/>
      <c r="GF100" s="462"/>
      <c r="GG100" s="17"/>
      <c r="GH100" s="17"/>
      <c r="GI100" s="17"/>
      <c r="GJ100" s="17"/>
      <c r="GL100" s="17"/>
      <c r="GM100" s="442"/>
      <c r="GN100" s="8"/>
      <c r="GO100" s="8"/>
      <c r="GP100" s="8"/>
      <c r="GQ100" s="8"/>
      <c r="GS100" s="17"/>
      <c r="GT100" s="17"/>
      <c r="GU100" s="17"/>
      <c r="GV100" s="629"/>
      <c r="GW100" s="17"/>
      <c r="GX100" s="17"/>
      <c r="GY100" s="17"/>
      <c r="GZ100" s="17"/>
    </row>
    <row r="101" spans="1:208" ht="15.6" x14ac:dyDescent="0.3">
      <c r="A101" s="52" t="s">
        <v>67</v>
      </c>
      <c r="B101" s="218">
        <f t="shared" ref="B101" si="873">Loa/0.3048</f>
        <v>46.981627296587924</v>
      </c>
      <c r="C101" s="53" t="s">
        <v>19</v>
      </c>
      <c r="D101" s="53"/>
      <c r="E101" s="53"/>
      <c r="F101" s="53"/>
      <c r="G101" s="54"/>
      <c r="H101" s="112">
        <f>J102</f>
        <v>167.7</v>
      </c>
      <c r="I101" s="601">
        <f>H102/100</f>
        <v>1.4249999999999998</v>
      </c>
      <c r="J101" s="651">
        <f>IF(DC102=0,"-",DC102)</f>
        <v>1.4</v>
      </c>
      <c r="K101" s="123" t="str">
        <f>A101</f>
        <v>RAAK</v>
      </c>
      <c r="L101" s="116"/>
      <c r="M101" s="116"/>
      <c r="N101" s="92"/>
      <c r="O101" s="165"/>
      <c r="P101" s="165"/>
      <c r="Q101" s="165"/>
      <c r="R101" s="165">
        <v>41</v>
      </c>
      <c r="S101" s="165">
        <v>32.5</v>
      </c>
      <c r="T101" s="165">
        <v>15</v>
      </c>
      <c r="U101" s="165">
        <v>26.7</v>
      </c>
      <c r="V101" s="559"/>
      <c r="W101" s="559"/>
      <c r="X101" s="165">
        <v>87</v>
      </c>
      <c r="Y101" s="177">
        <f>StorS-8.7*2</f>
        <v>69.599999999999994</v>
      </c>
      <c r="Z101" s="177">
        <f>StorS-8.7*2-8*2</f>
        <v>53.599999999999994</v>
      </c>
      <c r="AA101" s="165">
        <v>21.5</v>
      </c>
      <c r="AB101" s="165">
        <v>20</v>
      </c>
      <c r="AC101" s="177">
        <f>StorS-8.7*2-8*2-7.5*2</f>
        <v>38.599999999999994</v>
      </c>
      <c r="AD101" s="165"/>
      <c r="AE101" s="165"/>
      <c r="AF101" s="165"/>
      <c r="AG101" s="552"/>
      <c r="AH101" s="244"/>
      <c r="AI101" s="244">
        <v>15.6</v>
      </c>
      <c r="AJ101" s="554"/>
      <c r="AK101" s="339"/>
      <c r="AL101" s="268"/>
      <c r="AM101" s="339"/>
      <c r="AN101" s="268" t="s">
        <v>211</v>
      </c>
      <c r="AO101" s="45">
        <f>VLOOKUP(AN101,Skrogform!$1:$1048576,3,FALSE)</f>
        <v>0.98</v>
      </c>
      <c r="AP101" s="55">
        <v>14.32</v>
      </c>
      <c r="AQ101" s="55">
        <v>12.45</v>
      </c>
      <c r="AR101" s="55">
        <v>3.85</v>
      </c>
      <c r="AS101" s="55">
        <v>2.2999999999999998</v>
      </c>
      <c r="AT101" s="637">
        <v>23</v>
      </c>
      <c r="AU101" s="55">
        <v>23</v>
      </c>
      <c r="AV101" s="55">
        <v>7</v>
      </c>
      <c r="AW101" s="55">
        <v>2.5</v>
      </c>
      <c r="AX101" s="253"/>
      <c r="AY101" s="253">
        <v>85</v>
      </c>
      <c r="AZ101" s="253">
        <v>250</v>
      </c>
      <c r="BA101" s="253"/>
      <c r="BB101" s="253"/>
      <c r="BC101" s="244">
        <f>Depl+Diesel/1000*0.84+Vann/1000</f>
        <v>23</v>
      </c>
      <c r="BD101" s="95">
        <f>Bredde/(Loa+Lwl)*2</f>
        <v>0.28763541277549498</v>
      </c>
      <c r="BE101" s="95">
        <f>(Kjøl+Ballast)/Depl</f>
        <v>0.41304347826086957</v>
      </c>
      <c r="BF101" s="260">
        <f>BF$7*((Depl-Kjøl-Ballast-VektMotor/1000-VektAnnet/1000)/Lwl/Lwl/Bredde)</f>
        <v>0.83790748436415452</v>
      </c>
      <c r="BG101" s="95">
        <f>BG$7*(Depl/Loa/Lwl/Lwl)</f>
        <v>0.76253599712169007</v>
      </c>
      <c r="BH101" s="174">
        <f>BH$7*(Depl/Loa/Lwl/Bredde)</f>
        <v>0.91146770204958283</v>
      </c>
      <c r="BI101" s="95">
        <f>BI$7*Bredde/(Loa+Lwl)*2</f>
        <v>0.8205341398853635</v>
      </c>
      <c r="BJ101" s="95">
        <f>BJ$7*(Dypg/Lwl)</f>
        <v>1.010441767068273</v>
      </c>
      <c r="BK101" s="56" t="s">
        <v>21</v>
      </c>
      <c r="BL101" s="268">
        <v>4</v>
      </c>
      <c r="BM101" s="268">
        <v>53</v>
      </c>
      <c r="BN101" s="45">
        <f t="shared" si="788"/>
        <v>1</v>
      </c>
      <c r="BO101" s="59"/>
      <c r="BP101" s="59"/>
      <c r="BR101" s="209"/>
      <c r="BS101" s="209"/>
      <c r="BT101" s="209" t="str">
        <f>$A101</f>
        <v>RAAK</v>
      </c>
      <c r="BU101" s="10"/>
      <c r="BV101" s="10"/>
      <c r="BW101" s="10"/>
      <c r="BX101" s="10"/>
      <c r="BY101" s="549"/>
      <c r="BZ101" s="10"/>
      <c r="CA101" s="10"/>
      <c r="CB101" s="209" t="str">
        <f>$A101</f>
        <v>RAAK</v>
      </c>
      <c r="CC101" s="10"/>
      <c r="CD101" s="10"/>
      <c r="CE101" s="10"/>
      <c r="CF101" s="10"/>
      <c r="CG101" s="10"/>
      <c r="CH101" s="10"/>
      <c r="CI101" s="10"/>
      <c r="CJ101" s="10"/>
      <c r="CK101" s="10"/>
      <c r="CL101" s="209"/>
      <c r="CM101" s="10"/>
      <c r="CN101" s="209" t="str">
        <f>$A101</f>
        <v>RAAK</v>
      </c>
      <c r="CO101" s="207"/>
      <c r="CP101" s="207"/>
      <c r="CQ101" s="116"/>
      <c r="CR101" s="207"/>
      <c r="CS101" s="203"/>
      <c r="CT101" s="203" t="s">
        <v>23</v>
      </c>
      <c r="CU101" s="107" t="str">
        <f t="shared" si="36"/>
        <v>-</v>
      </c>
      <c r="CV101" s="62" t="str">
        <f t="shared" si="789"/>
        <v>-</v>
      </c>
      <c r="CW101" s="62" t="str">
        <f t="shared" si="14"/>
        <v>-</v>
      </c>
      <c r="CX101" s="62" t="str">
        <f t="shared" si="790"/>
        <v>-</v>
      </c>
      <c r="CY101" s="107" t="str">
        <f t="shared" si="16"/>
        <v>-</v>
      </c>
      <c r="CZ101" s="168">
        <f t="shared" ref="CZ101:CZ109" si="874">IF(DA101=0,"-",IF(CP101="TBF","-",CZ$7*DA101))</f>
        <v>1.4465882352941175</v>
      </c>
      <c r="DA101" s="158">
        <v>1.1599999999999999</v>
      </c>
      <c r="DB101" s="168" t="str">
        <f t="shared" ref="DB101:DB109" si="875">IF(DC101=0,"-",IF(CT101="TBF","-",DB$7*DC101))</f>
        <v>-</v>
      </c>
      <c r="DC101" s="160">
        <v>1.4</v>
      </c>
      <c r="DD101" s="190" t="s">
        <v>134</v>
      </c>
      <c r="DE101" s="29" t="s">
        <v>23</v>
      </c>
      <c r="DF101" s="29" t="s">
        <v>23</v>
      </c>
      <c r="DG101" s="29" t="s">
        <v>23</v>
      </c>
      <c r="DH101" s="149">
        <v>2022</v>
      </c>
      <c r="DI101" s="62" t="str">
        <f t="shared" si="39"/>
        <v>-</v>
      </c>
      <c r="DJ101" s="47">
        <f t="shared" si="17"/>
        <v>13.294797687861271</v>
      </c>
      <c r="DK101" s="48">
        <f t="shared" ref="DK101:DK109" si="876">DJ$7*IF(DJ101&lt;DJ$5,-0.04,IF(DJ101&lt;DJ$5*1.1,-0.03,IF(DJ101&lt;DJ$5*1.2,-0.02,IF(DJ101&lt;DJ$5*1.3,-0.01,0))))</f>
        <v>0</v>
      </c>
      <c r="DM101" s="107" t="str">
        <f t="shared" si="643"/>
        <v>-</v>
      </c>
      <c r="DN101" s="141" t="str">
        <f t="shared" ref="DN101:DN109" si="877">IF($DY101=0,"-",(DM101-$DW101)*100)</f>
        <v>-</v>
      </c>
      <c r="DO101" s="107">
        <f t="shared" ref="DO101:DO109" si="878">SUM(DP101:DS101)^DO$3+DO$7</f>
        <v>4.8072335772260102</v>
      </c>
      <c r="DP101" s="133">
        <f>IF(SeilBeregnet=0,DP235,(SeilBeregnet^0.5/(Depl^0.3333))^DP$3*DP$7)</f>
        <v>2.9762502348659545</v>
      </c>
      <c r="DQ101" s="133">
        <f>IF(SeilBeregnet=0,DQ235,(SeilBeregnet^0.5/Lwl)^DQ$3*DQ$7)</f>
        <v>0</v>
      </c>
      <c r="DR101" s="133">
        <f>IF(SeilBeregnet=0,DR235,(0.1*Loa/Depl^0.3333)^DR$3*DR$7)</f>
        <v>0</v>
      </c>
      <c r="DS101" s="133">
        <f>IF(SeilBeregnet=0,DS235,((Loa)/Bredde)^DS$3*DS$7)</f>
        <v>1.8309833423600554</v>
      </c>
      <c r="DT101" s="107">
        <f>IF(SeilBeregnet=0,DT235,(Lwl)^DT$3)</f>
        <v>1.8612097182041991</v>
      </c>
      <c r="DU101" s="133">
        <f>IF(SeilBeregnet=0,DU235,(Dypg/Loa)^DU$3*5*DU$7)</f>
        <v>2.0251955098445942</v>
      </c>
      <c r="DW101" s="107" t="str">
        <f t="shared" si="769"/>
        <v>-</v>
      </c>
      <c r="DX101" s="107" t="str">
        <f t="shared" si="40"/>
        <v>-</v>
      </c>
      <c r="DZ101" s="107" t="str">
        <f t="shared" si="41"/>
        <v>-</v>
      </c>
      <c r="EA101" s="122" t="str">
        <f t="shared" ref="EA101:EA109" si="879">IF($DY101=0,"-",DZ101-$DW101)</f>
        <v>-</v>
      </c>
      <c r="EB101" s="107" t="str">
        <f t="shared" ref="EB101:EB109" si="880">IF(SeilBeregnet=0,"-",EB$7*(EB$4*ED101*EE101*EF101*PropF+EB$6)+ErfaringsF+Dyp_F)</f>
        <v>-</v>
      </c>
      <c r="EC101" s="122" t="str">
        <f t="shared" ref="EC101:EC109" si="881">IF($DY101=0,"-",EB101-$DW101)</f>
        <v>-</v>
      </c>
      <c r="ED101" s="107">
        <f>IF(SeilBeregnet=0,ED74,SeilBeregnet^0.5/Depl^0.33333)</f>
        <v>3.5003145723079756</v>
      </c>
      <c r="EE101" s="107">
        <f>IF(SeilBeregnet=0,EE74,Lwl^0.3333)</f>
        <v>2.2305201393117833</v>
      </c>
      <c r="EF101" s="107">
        <f>IF(SeilBeregnet=0,EF74,((Loa+Lwl)/Bredde)^EF$3)</f>
        <v>1.5733789064132366</v>
      </c>
      <c r="EH101" s="107" t="str">
        <f t="shared" ref="EH101:EH109" si="882">IF(SeilBeregnet=0,"-",EH$7*(EH$4*EJ101*EK101*EL101*PropF+EH$6)+ErfaringsF+Dyp_F)</f>
        <v>-</v>
      </c>
      <c r="EJ101" s="107">
        <f>IF(SeilBeregnet=0,EJ74,SeilBeregnet^0.5/Depl^0.33333)</f>
        <v>3.5003145723079756</v>
      </c>
      <c r="EK101" s="107">
        <f>IF(SeilBeregnet=0,EK74,Lwl^EK$3)</f>
        <v>2.2306812073130904</v>
      </c>
      <c r="EL101" s="107">
        <f>IF(SeilBeregnet=0,EL74,((Loa+Lwl)/Bredde)^EL$3)</f>
        <v>1.8298613614330996</v>
      </c>
      <c r="EM101" s="107" t="str">
        <f t="shared" ref="EM101:EM109" si="883">IF(SeilBeregnet=0,"-",EM$7*(EM$4*EO101+EM$6)*ER101*PropF+ErfaringsF+Dyp_F)</f>
        <v>-</v>
      </c>
      <c r="EO101" s="107">
        <f>IF(SeilBeregnet=0,EO74,(EP101*EQ101)^EO$3)</f>
        <v>5.5073211138802387</v>
      </c>
      <c r="EP101" s="107">
        <f>IF(SeilBeregnet=0,EP74,SeilBeregnet^0.5/Depl^0.33333)</f>
        <v>3.5003145723079756</v>
      </c>
      <c r="EQ101" s="107">
        <f>IF(SeilBeregnet=0,EQ74,((Loa+Lwl)/Bredde)^EQ$3)</f>
        <v>1.5733789064132366</v>
      </c>
      <c r="ER101" s="107">
        <f>IF(SeilBeregnet=0,ER74,Lwl^ER$3)</f>
        <v>1.8252852516227529</v>
      </c>
      <c r="ES101" s="107" t="str">
        <f t="shared" si="654"/>
        <v>-</v>
      </c>
      <c r="EU101" s="107">
        <f>IF(SeilBeregnet=0,EU74,(EV:EV*EW:EW)^EU$3)</f>
        <v>1.8758637606669839</v>
      </c>
      <c r="EV101" s="107">
        <f>IF(SeilBeregnet=0,EV74,SeilBeregnet^0.5/Depl^0.33333)</f>
        <v>3.5003145723079756</v>
      </c>
      <c r="EW101" s="107">
        <f>IF(SeilBeregnet=0,EW74,((Loa+Lwl)/Bredde/6)^EW$3)</f>
        <v>1.0052996026192789</v>
      </c>
      <c r="EX101" s="107">
        <f>IF(SeilBeregnet=0,EX74,(Lwl*0.7+Loa*0.3)^EX$3)</f>
        <v>1.8458995117503456</v>
      </c>
      <c r="EY101" s="107" t="str">
        <f t="shared" si="658"/>
        <v>-</v>
      </c>
      <c r="FA101" s="107">
        <f t="shared" si="611"/>
        <v>1.8759450915845779</v>
      </c>
      <c r="FB101" s="107">
        <f>IF(SeilBeregnet=0,FB74,SeilBeregnet^0.5/Depl^0.3333)</f>
        <v>3.5006181017789877</v>
      </c>
      <c r="FC101" s="107">
        <f>IF(SeilBeregnet=0,FC74,((Loa+Lwl)/Bredde/6)^FC$3)</f>
        <v>1.0052996026192789</v>
      </c>
      <c r="FD101" s="107">
        <f>IF(SeilBeregnet=0,FD74,(Lwl*0.7+Loa*0.3)^FD$3)</f>
        <v>1.8458995117503456</v>
      </c>
      <c r="FE101" s="107" t="str">
        <f t="shared" si="662"/>
        <v>-</v>
      </c>
      <c r="FF101" s="141" t="str">
        <f t="shared" ref="FF101:FF109" si="884">IF($DY101=0,"-",(FE101-$DW101)*100)</f>
        <v>-</v>
      </c>
      <c r="FG101" s="107">
        <f t="shared" si="613"/>
        <v>3.5378201891191567</v>
      </c>
      <c r="FH101" s="133">
        <f>IF(SeilBeregnet=0,FH74,(SeilBeregnet^0.5/(Depl^0.3333))^FH$3)</f>
        <v>3.5006181017789877</v>
      </c>
      <c r="FI101" s="133">
        <f>IF(SeilBeregnet=0,FI74,((Loa+Lwl)/Bredde/6)^FI$3)</f>
        <v>1.01062729102648</v>
      </c>
      <c r="FJ101" s="107">
        <f>IF(SeilBeregnet=0,FJ74,(Lwl*0.07+Loa*0.03)^FJ$3)</f>
        <v>1.0380255776059077</v>
      </c>
      <c r="FK101" s="107" t="str">
        <f t="shared" si="666"/>
        <v>-</v>
      </c>
      <c r="FL101" s="141" t="str">
        <f t="shared" ref="FL101:FL109" si="885">IF($DY101=0,"-",(FK101-$DW101)*100)</f>
        <v>-</v>
      </c>
      <c r="FM101" s="107">
        <f t="shared" si="615"/>
        <v>5.6386875645952417</v>
      </c>
      <c r="FN101" s="133">
        <f>IF(SeilBeregnet=0,FN74,(SeilBeregnet^0.5/(Depl^0.3333))^FN$3)</f>
        <v>3.5006181017789877</v>
      </c>
      <c r="FO101" s="133">
        <f>IF(SeilBeregnet=0,FO74,(SeilBeregnet^0.5/Lwl*FO$7)^FO$3)</f>
        <v>0.82642620818490042</v>
      </c>
      <c r="FP101" s="133">
        <f>IF(SeilBeregnet=0,FP74,((Loa)/Bredde)^FP$3*FP$7)</f>
        <v>1.8116432546313532</v>
      </c>
      <c r="FQ101" s="107">
        <f>IF(SeilBeregnet=0,FQ74,(Lwl)^FQ$3)</f>
        <v>1.8252852516227529</v>
      </c>
      <c r="FR101" s="107" t="str">
        <f t="shared" si="671"/>
        <v>-</v>
      </c>
      <c r="FS101" s="141" t="str">
        <f t="shared" ref="FS101:FS109" si="886">IF($DY101=0,"-",(FR101-$DW101)*100)</f>
        <v>-</v>
      </c>
      <c r="FT101" s="107">
        <f t="shared" si="617"/>
        <v>6.3418711711283153</v>
      </c>
      <c r="FU101" s="133">
        <f>IF(SeilBeregnet=0,FU74,(SeilBeregnet^0.5/(Depl^0.3333))^FU$3)</f>
        <v>3.5006181017789877</v>
      </c>
      <c r="FV101" s="133">
        <f>IF(SeilBeregnet=0,FV74,(Loa/Bredde)^FV$3)</f>
        <v>1.8116432546313532</v>
      </c>
      <c r="FW101" s="107">
        <f>IF(SeilBeregnet=0,FW74,Lwl^FW$3)</f>
        <v>1.8252852516227529</v>
      </c>
      <c r="FY101">
        <v>0.95</v>
      </c>
      <c r="FZ101" s="62" t="str">
        <f t="shared" si="711"/>
        <v>-</v>
      </c>
      <c r="GA101" s="62">
        <f t="shared" si="712"/>
        <v>2.0038371012863347</v>
      </c>
      <c r="GB101" s="107" t="str">
        <f t="shared" si="798"/>
        <v>-</v>
      </c>
      <c r="GC101" s="441" t="s">
        <v>453</v>
      </c>
      <c r="GD101" s="57" t="s">
        <v>505</v>
      </c>
      <c r="GE101" s="436" t="s">
        <v>506</v>
      </c>
      <c r="GF101" s="496" t="s">
        <v>634</v>
      </c>
      <c r="GG101" s="57" t="s">
        <v>507</v>
      </c>
      <c r="GH101" s="57" t="s">
        <v>715</v>
      </c>
      <c r="GI101" s="57" t="s">
        <v>416</v>
      </c>
      <c r="GJ101" s="57" t="s">
        <v>474</v>
      </c>
      <c r="GL101" s="599" t="s">
        <v>933</v>
      </c>
      <c r="GM101" s="436" t="s">
        <v>478</v>
      </c>
      <c r="GN101" s="58" t="s">
        <v>478</v>
      </c>
      <c r="GO101" s="58" t="s">
        <v>478</v>
      </c>
      <c r="GP101" s="58" t="s">
        <v>478</v>
      </c>
      <c r="GQ101" s="58" t="s">
        <v>478</v>
      </c>
      <c r="GS101" s="57" t="s">
        <v>207</v>
      </c>
      <c r="GT101" s="57" t="s">
        <v>508</v>
      </c>
      <c r="GU101" s="57" t="s">
        <v>509</v>
      </c>
      <c r="GV101" s="632" t="s">
        <v>716</v>
      </c>
      <c r="GW101" s="57">
        <v>1914</v>
      </c>
      <c r="GX101" s="57" t="s">
        <v>431</v>
      </c>
      <c r="GY101" s="57" t="s">
        <v>438</v>
      </c>
      <c r="GZ101" s="57" t="s">
        <v>478</v>
      </c>
    </row>
    <row r="102" spans="1:208" ht="15.6" x14ac:dyDescent="0.3">
      <c r="A102" s="60" t="s">
        <v>934</v>
      </c>
      <c r="B102" s="218"/>
      <c r="C102" s="61" t="str">
        <f>C101</f>
        <v>Gaffel</v>
      </c>
      <c r="D102" s="61"/>
      <c r="E102" s="61"/>
      <c r="F102" s="61"/>
      <c r="G102" s="54"/>
      <c r="H102" s="204">
        <f t="shared" ref="H102:H109" si="887">TBFavrundet</f>
        <v>142.49999999999997</v>
      </c>
      <c r="I102" s="63">
        <f t="shared" ref="I102:I109" si="888">COUNTA(O102:AG102)</f>
        <v>4</v>
      </c>
      <c r="J102" s="222">
        <f t="shared" ref="J102:J109" si="889">SUM(O102:AG102)</f>
        <v>167.7</v>
      </c>
      <c r="K102" s="116">
        <f t="shared" ref="K102:K109" si="890">Seilareal/Depl^0.667/K$7</f>
        <v>1.9196239708943645</v>
      </c>
      <c r="L102" s="116">
        <f t="shared" ref="L102:L109" si="891">Seilareal/Lwl/Lwl/L$7</f>
        <v>1.6416150823534641</v>
      </c>
      <c r="M102" s="92">
        <f t="shared" ref="M102:M109" si="892">RiggF</f>
        <v>0.73971377459749565</v>
      </c>
      <c r="N102" s="242">
        <f t="shared" ref="N102:N109" si="893">StHfaktor</f>
        <v>1.0285949928485048</v>
      </c>
      <c r="O102" s="143"/>
      <c r="P102" s="143"/>
      <c r="Q102" s="143"/>
      <c r="R102" s="143"/>
      <c r="S102" s="165">
        <v>32.5</v>
      </c>
      <c r="T102" s="143"/>
      <c r="U102" s="143">
        <f t="shared" ref="U102" si="894">U101</f>
        <v>26.7</v>
      </c>
      <c r="V102" s="143"/>
      <c r="W102" s="143"/>
      <c r="X102" s="165">
        <v>87</v>
      </c>
      <c r="Y102" s="143"/>
      <c r="Z102" s="143"/>
      <c r="AA102" s="165">
        <v>21.5</v>
      </c>
      <c r="AB102" s="143"/>
      <c r="AC102" s="143"/>
      <c r="AD102" s="143"/>
      <c r="AE102" s="143"/>
      <c r="AF102" s="143"/>
      <c r="AG102" s="551"/>
      <c r="AH102" s="557"/>
      <c r="AI102" s="557">
        <f>AI101</f>
        <v>15.6</v>
      </c>
      <c r="AJ102" s="337">
        <f t="shared" ref="AJ102:AL102" si="895" xml:space="preserve"> AJ101</f>
        <v>0</v>
      </c>
      <c r="AK102" s="339"/>
      <c r="AL102" s="337">
        <f t="shared" si="895"/>
        <v>0</v>
      </c>
      <c r="AM102" s="339"/>
      <c r="AN102" s="267" t="str">
        <f t="shared" ref="AN102" si="896" xml:space="preserve"> AN101</f>
        <v>Lystb</v>
      </c>
      <c r="AO102" s="45">
        <f>VLOOKUP(AN102,Skrogform!$1:$1048576,3,FALSE)</f>
        <v>0.98</v>
      </c>
      <c r="AP102" s="64">
        <f>AP101</f>
        <v>14.32</v>
      </c>
      <c r="AQ102" s="64">
        <f t="shared" ref="AQ102:AZ102" si="897">AQ101</f>
        <v>12.45</v>
      </c>
      <c r="AR102" s="64">
        <f t="shared" si="897"/>
        <v>3.85</v>
      </c>
      <c r="AS102" s="64">
        <f t="shared" si="897"/>
        <v>2.2999999999999998</v>
      </c>
      <c r="AT102" s="64">
        <f t="shared" ref="AT102" si="898">AT101</f>
        <v>23</v>
      </c>
      <c r="AU102" s="64">
        <f t="shared" si="897"/>
        <v>23</v>
      </c>
      <c r="AV102" s="64">
        <f t="shared" si="897"/>
        <v>7</v>
      </c>
      <c r="AW102" s="64">
        <f t="shared" si="897"/>
        <v>2.5</v>
      </c>
      <c r="AX102" s="256">
        <f t="shared" ref="AX102:AX109" si="899">AX101</f>
        <v>0</v>
      </c>
      <c r="AY102" s="256">
        <f t="shared" si="897"/>
        <v>85</v>
      </c>
      <c r="AZ102" s="256">
        <f t="shared" si="897"/>
        <v>250</v>
      </c>
      <c r="BA102" s="256">
        <f t="shared" ref="BA102:BB102" si="900">BA101</f>
        <v>0</v>
      </c>
      <c r="BB102" s="256">
        <f t="shared" si="900"/>
        <v>0</v>
      </c>
      <c r="BC102" s="256"/>
      <c r="BD102" s="66"/>
      <c r="BE102" s="66"/>
      <c r="BF102" s="261"/>
      <c r="BG102" s="66"/>
      <c r="BH102" s="175"/>
      <c r="BI102" s="66"/>
      <c r="BJ102" s="66"/>
      <c r="BK102" s="65" t="str">
        <f t="shared" ref="BK102:BM102" si="901" xml:space="preserve"> BK101</f>
        <v>Seilrett</v>
      </c>
      <c r="BL102" s="267">
        <f t="shared" si="901"/>
        <v>4</v>
      </c>
      <c r="BM102" s="267">
        <f t="shared" si="901"/>
        <v>53</v>
      </c>
      <c r="BN102" s="45">
        <f t="shared" si="788"/>
        <v>1</v>
      </c>
      <c r="BO102" s="59"/>
      <c r="BP102" s="59"/>
      <c r="BR102" s="49">
        <f t="shared" ref="BR102:BX109" si="902">IF(O102=0,0,O102*BR$9)</f>
        <v>0</v>
      </c>
      <c r="BS102" s="49">
        <f t="shared" si="902"/>
        <v>0</v>
      </c>
      <c r="BT102" s="49">
        <f t="shared" si="902"/>
        <v>0</v>
      </c>
      <c r="BU102" s="49">
        <f t="shared" si="902"/>
        <v>0</v>
      </c>
      <c r="BV102" s="49">
        <f t="shared" si="902"/>
        <v>32.5</v>
      </c>
      <c r="BW102" s="49">
        <f t="shared" si="902"/>
        <v>0</v>
      </c>
      <c r="BX102" s="49">
        <f t="shared" si="902"/>
        <v>26.7</v>
      </c>
      <c r="BY102" s="549">
        <f t="shared" ref="BY102:BY109" si="903">IF(COUNT(Q102:U102)&gt;1,MINA(Q102:U102)*BY$9,0)</f>
        <v>-13.35</v>
      </c>
      <c r="BZ102" s="85">
        <f t="shared" ref="BZ102:CD109" si="904">IF(V102=0,0,V102*BZ$9)</f>
        <v>0</v>
      </c>
      <c r="CA102" s="85">
        <f t="shared" si="904"/>
        <v>0</v>
      </c>
      <c r="CB102" s="85">
        <f t="shared" si="904"/>
        <v>69.600000000000009</v>
      </c>
      <c r="CC102" s="85">
        <f t="shared" si="904"/>
        <v>0</v>
      </c>
      <c r="CD102" s="85">
        <f t="shared" si="904"/>
        <v>0</v>
      </c>
      <c r="CE102" s="85">
        <f t="shared" ref="CE102:CE109" si="905">IF(AC102=0,0,AC102*CE$9)</f>
        <v>0</v>
      </c>
      <c r="CF102" s="85">
        <f t="shared" ref="CF102:CG109" si="906">IF(AA102=0,0,AA102*CF$9)</f>
        <v>8.6</v>
      </c>
      <c r="CG102" s="85">
        <f t="shared" si="906"/>
        <v>0</v>
      </c>
      <c r="CH102" s="85">
        <f t="shared" ref="CH102:CK109" si="907">IF(AD102=0,0,AD102*CH$9)</f>
        <v>0</v>
      </c>
      <c r="CI102" s="85">
        <f t="shared" si="907"/>
        <v>0</v>
      </c>
      <c r="CJ102" s="85">
        <f t="shared" si="907"/>
        <v>0</v>
      </c>
      <c r="CK102" s="85">
        <f t="shared" si="907"/>
        <v>0</v>
      </c>
      <c r="CL102" s="100">
        <f t="shared" ref="CL102:CL109" si="908">SUM(BR102:CK102)</f>
        <v>124.05000000000001</v>
      </c>
      <c r="CM102" s="50"/>
      <c r="CN102" s="104">
        <f t="shared" ref="CN102:CN109" si="909">J102</f>
        <v>167.7</v>
      </c>
      <c r="CO102" s="101">
        <f t="shared" ref="CO102:CO109" si="910">CL102/CN102</f>
        <v>0.73971377459749565</v>
      </c>
      <c r="CP102" s="51">
        <f t="shared" ref="CP102:CP109" si="911">Seilareal/Lwl/Lwl</f>
        <v>1.0819180335801037</v>
      </c>
      <c r="CQ102" s="116">
        <f t="shared" ref="CQ102:CQ109" si="912">Seilareal/Depl^0.667/K$7</f>
        <v>1.9196239708943645</v>
      </c>
      <c r="CR102" s="51">
        <f t="shared" ref="CR102:CR109" si="913">Seilareal/Lwl/Lwl/SApRS1</f>
        <v>1.6416150823534641</v>
      </c>
      <c r="CS102" s="204"/>
      <c r="CT102" s="204">
        <f t="shared" ref="CT102:CT109" si="914">(ROUND(TBF/CT$6,3)*CT$6)*CT$4</f>
        <v>142.49999999999997</v>
      </c>
      <c r="CU102" s="107">
        <f t="shared" si="36"/>
        <v>1.4237136707357776</v>
      </c>
      <c r="CV102" s="62">
        <f t="shared" si="789"/>
        <v>4.0167992616769679</v>
      </c>
      <c r="CW102" s="62">
        <f t="shared" si="14"/>
        <v>1.8645705609129886</v>
      </c>
      <c r="CX102" s="62">
        <f t="shared" si="790"/>
        <v>1.878418417945126</v>
      </c>
      <c r="CY102" s="107">
        <f t="shared" si="16"/>
        <v>1.0285949928485048</v>
      </c>
      <c r="CZ102" s="168">
        <f t="shared" si="874"/>
        <v>1.4465882352941175</v>
      </c>
      <c r="DA102" s="159">
        <f>DA101</f>
        <v>1.1599999999999999</v>
      </c>
      <c r="DB102" s="168">
        <f t="shared" si="875"/>
        <v>1.3017543859649123</v>
      </c>
      <c r="DC102" s="159">
        <f>DC101</f>
        <v>1.4</v>
      </c>
      <c r="DD102" s="190" t="s">
        <v>134</v>
      </c>
      <c r="DE102" s="62">
        <v>1.1499999999999999</v>
      </c>
      <c r="DF102" s="62">
        <v>1.03</v>
      </c>
      <c r="DG102" s="62">
        <v>1.1399999999999999</v>
      </c>
      <c r="DH102" s="150">
        <v>1.19</v>
      </c>
      <c r="DI102" s="62">
        <f t="shared" si="39"/>
        <v>2.0374426801584842</v>
      </c>
      <c r="DJ102" s="47">
        <f t="shared" si="17"/>
        <v>13.294797687861271</v>
      </c>
      <c r="DK102" s="48">
        <f t="shared" si="876"/>
        <v>0</v>
      </c>
      <c r="DM102" s="107">
        <f t="shared" si="643"/>
        <v>1.3615387303864179</v>
      </c>
      <c r="DN102" s="142">
        <f t="shared" si="877"/>
        <v>-9.1230321384783828</v>
      </c>
      <c r="DO102" s="107">
        <f t="shared" si="878"/>
        <v>5.8454234405958276</v>
      </c>
      <c r="DP102" s="133">
        <f>IF(SeilBeregnet=0,DP101,(SeilBeregnet^0.5/(Depl^0.3333))^DP$3*DP$7)</f>
        <v>3.9168279621503035</v>
      </c>
      <c r="DQ102" s="133">
        <f>IF(SeilBeregnet=0,DQ101,(SeilBeregnet^0.5/Lwl)^DQ$3*DQ$7)</f>
        <v>0</v>
      </c>
      <c r="DR102" s="133">
        <f>IF(SeilBeregnet=0,DR101,(0.1*Loa/Depl^0.3333)^DR$3*DR$7)</f>
        <v>0</v>
      </c>
      <c r="DS102" s="133">
        <f>IF(SeilBeregnet=0,DS101,((Loa)/Bredde)^DS$3*DS$7)</f>
        <v>1.9285954784455239</v>
      </c>
      <c r="DT102" s="107">
        <f>IF(SeilBeregnet=0,DT101,(Lwl)^DT$3)</f>
        <v>1.878418417945126</v>
      </c>
      <c r="DU102" s="133">
        <f>IF(SeilBeregnet=0,DU101,(Dypg/Loa)^DU$3*5*DU$7)</f>
        <v>2.0038371012863347</v>
      </c>
      <c r="DW102" s="72">
        <f t="shared" si="769"/>
        <v>1.4527690517712017</v>
      </c>
      <c r="DX102" s="107">
        <f t="shared" si="40"/>
        <v>1.3976299732499227</v>
      </c>
      <c r="DY102" s="122">
        <f>DX102-DW102</f>
        <v>-5.5139078521279083E-2</v>
      </c>
      <c r="DZ102" s="107">
        <f t="shared" si="41"/>
        <v>1.3700998302502709</v>
      </c>
      <c r="EA102" s="122">
        <f t="shared" si="879"/>
        <v>-8.2669221520930813E-2</v>
      </c>
      <c r="EB102" s="107">
        <f t="shared" si="880"/>
        <v>1.4257669167742761</v>
      </c>
      <c r="EC102" s="122">
        <f t="shared" si="881"/>
        <v>-2.7002134996925609E-2</v>
      </c>
      <c r="ED102" s="107">
        <f>IF(SeilBeregnet=0,ED101,SeilBeregnet^0.5/Depl^0.33333)</f>
        <v>3.916459543735578</v>
      </c>
      <c r="EE102" s="107">
        <f>IF(SeilBeregnet=0,EE101,Lwl^0.3333)</f>
        <v>2.317501078004538</v>
      </c>
      <c r="EF102" s="107">
        <f>IF(SeilBeregnet=0,EF101,((Loa+Lwl)/Bredde)^EF$3)</f>
        <v>1.6238537419499199</v>
      </c>
      <c r="EH102" s="107">
        <f t="shared" si="882"/>
        <v>1.4046274889723838</v>
      </c>
      <c r="EJ102" s="107">
        <f>IF(SeilBeregnet=0,EJ101,SeilBeregnet^0.5/Depl^0.33333)</f>
        <v>3.916459543735578</v>
      </c>
      <c r="EK102" s="107">
        <f>IF(SeilBeregnet=0,EK101,Lwl^EK$3)</f>
        <v>2.3176764073442899</v>
      </c>
      <c r="EL102" s="107">
        <f>IF(SeilBeregnet=0,EL101,((Loa+Lwl)/Bredde)^EL$3)</f>
        <v>1.9085394483088816</v>
      </c>
      <c r="EM102" s="107">
        <f t="shared" si="883"/>
        <v>1.3996377742779302</v>
      </c>
      <c r="EO102" s="107">
        <f>IF(SeilBeregnet=0,EO101,(EP102*EQ102)^EO$3)</f>
        <v>6.3597574852904941</v>
      </c>
      <c r="EP102" s="107">
        <f>IF(SeilBeregnet=0,EP101,SeilBeregnet^0.5/Depl^0.33333)</f>
        <v>3.916459543735578</v>
      </c>
      <c r="EQ102" s="107">
        <f>IF(SeilBeregnet=0,EQ101,((Loa+Lwl)/Bredde)^EQ$3)</f>
        <v>1.6238537419499199</v>
      </c>
      <c r="ER102" s="107">
        <f>IF(SeilBeregnet=0,ER101,Lwl^ER$3)</f>
        <v>1.878418417945126</v>
      </c>
      <c r="ES102" s="107">
        <f t="shared" si="654"/>
        <v>1.3852171269788909</v>
      </c>
      <c r="EU102" s="107">
        <f>IF(SeilBeregnet=0,EU101,(EV:EV*EW:EW)^EU$3)</f>
        <v>2.0158182432711977</v>
      </c>
      <c r="EV102" s="107">
        <f>IF(SeilBeregnet=0,EV101,SeilBeregnet^0.5/Depl^0.33333)</f>
        <v>3.916459543735578</v>
      </c>
      <c r="EW102" s="107">
        <f>IF(SeilBeregnet=0,EW101,((Loa+Lwl)/Bredde/6)^EW$3)</f>
        <v>1.0375501507234075</v>
      </c>
      <c r="EX102" s="107">
        <f>IF(SeilBeregnet=0,EX101,(Lwl*0.7+Loa*0.3)^EX$3)</f>
        <v>1.8992304700730467</v>
      </c>
      <c r="EY102" s="107">
        <f t="shared" si="658"/>
        <v>1.2874005376781108</v>
      </c>
      <c r="FA102" s="107">
        <f t="shared" si="611"/>
        <v>2.0159130542974082</v>
      </c>
      <c r="FB102" s="107">
        <f>IF(SeilBeregnet=0,FB101,SeilBeregnet^0.5/Depl^0.3333)</f>
        <v>3.9168279621503035</v>
      </c>
      <c r="FC102" s="107">
        <f>IF(SeilBeregnet=0,FC101,((Loa+Lwl)/Bredde/6)^FC$3)</f>
        <v>1.0375501507234075</v>
      </c>
      <c r="FD102" s="107">
        <f>IF(SeilBeregnet=0,FD101,(Lwl*0.7+Loa*0.3)^FD$3)</f>
        <v>1.8992304700730467</v>
      </c>
      <c r="FE102" s="107">
        <f t="shared" si="662"/>
        <v>1.394258498828669</v>
      </c>
      <c r="FF102" s="141">
        <f t="shared" si="884"/>
        <v>-5.8510552942532712</v>
      </c>
      <c r="FG102" s="107">
        <f t="shared" si="613"/>
        <v>4.2165057043777558</v>
      </c>
      <c r="FH102" s="133">
        <f>IF(SeilBeregnet=0,FH101,(SeilBeregnet^0.5/(Depl^0.3333))^FH$3)</f>
        <v>3.9168279621503035</v>
      </c>
      <c r="FI102" s="133">
        <f>IF(SeilBeregnet=0,FI101,((Loa+Lwl)/Bredde/6)^FI$3)</f>
        <v>1.0765103152661655</v>
      </c>
      <c r="FJ102" s="107">
        <f>IF(SeilBeregnet=0,FJ101,(Lwl*0.07+Loa*0.03)^FJ$3)</f>
        <v>1.0680157793827667</v>
      </c>
      <c r="FK102" s="107">
        <f t="shared" si="666"/>
        <v>1.3948436841669321</v>
      </c>
      <c r="FL102" s="141">
        <f t="shared" si="885"/>
        <v>-5.7925367604269695</v>
      </c>
      <c r="FM102" s="107">
        <f t="shared" si="615"/>
        <v>6.2400237269945285</v>
      </c>
      <c r="FN102" s="133">
        <f>IF(SeilBeregnet=0,FN101,(SeilBeregnet^0.5/(Depl^0.3333))^FN$3)</f>
        <v>3.9168279621503035</v>
      </c>
      <c r="FO102" s="133">
        <f>IF(SeilBeregnet=0,FO101,(SeilBeregnet^0.5/Lwl*FO$7)^FO$3)</f>
        <v>0.89460028639870137</v>
      </c>
      <c r="FP102" s="133">
        <f>IF(SeilBeregnet=0,FP101,((Loa)/Bredde)^FP$3*FP$7)</f>
        <v>1.9285954784455239</v>
      </c>
      <c r="FQ102" s="107">
        <f>IF(SeilBeregnet=0,FQ101,(Lwl)^FQ$3)</f>
        <v>1.878418417945126</v>
      </c>
      <c r="FR102" s="107">
        <f t="shared" si="671"/>
        <v>1.3890049682802212</v>
      </c>
      <c r="FS102" s="141">
        <f t="shared" si="886"/>
        <v>-6.3764083490980505</v>
      </c>
      <c r="FT102" s="107">
        <f t="shared" si="617"/>
        <v>7.5539766976520708</v>
      </c>
      <c r="FU102" s="133">
        <f>IF(SeilBeregnet=0,FU101,(SeilBeregnet^0.5/(Depl^0.3333))^FU$3)</f>
        <v>3.9168279621503035</v>
      </c>
      <c r="FV102" s="133">
        <f>IF(SeilBeregnet=0,FV101,(Loa/Bredde)^FV$3)</f>
        <v>1.9285954784455239</v>
      </c>
      <c r="FW102" s="107">
        <f>IF(SeilBeregnet=0,FW101,Lwl^FW$3)</f>
        <v>1.878418417945126</v>
      </c>
      <c r="FY102">
        <v>0.95</v>
      </c>
      <c r="FZ102" s="62">
        <f t="shared" si="711"/>
        <v>1.3100154737250407</v>
      </c>
      <c r="GA102" s="62">
        <f t="shared" si="712"/>
        <v>2.0038371012863347</v>
      </c>
      <c r="GB102" s="107">
        <f t="shared" si="798"/>
        <v>1.3444376405358924</v>
      </c>
      <c r="GC102" s="440"/>
      <c r="GD102" s="17"/>
      <c r="GE102" s="442"/>
      <c r="GF102" s="462"/>
      <c r="GG102" s="17"/>
      <c r="GH102" s="17"/>
      <c r="GI102" s="17"/>
      <c r="GJ102" s="17"/>
      <c r="GL102" s="17"/>
      <c r="GM102" s="442"/>
      <c r="GN102" s="8"/>
      <c r="GO102" s="8"/>
      <c r="GP102" s="8"/>
      <c r="GQ102" s="8"/>
      <c r="GS102" s="17"/>
      <c r="GT102" s="17"/>
      <c r="GU102" s="17"/>
      <c r="GV102" s="629"/>
      <c r="GW102" s="17"/>
      <c r="GX102" s="17"/>
      <c r="GY102" s="17"/>
      <c r="GZ102" s="17"/>
    </row>
    <row r="103" spans="1:208" ht="15.6" x14ac:dyDescent="0.3">
      <c r="A103" s="60" t="s">
        <v>110</v>
      </c>
      <c r="B103" s="218"/>
      <c r="C103" s="61" t="str">
        <f t="shared" ref="C103:C109" si="915">C102</f>
        <v>Gaffel</v>
      </c>
      <c r="D103" s="61"/>
      <c r="E103" s="61"/>
      <c r="F103" s="61"/>
      <c r="G103" s="54"/>
      <c r="H103" s="204">
        <f t="shared" si="887"/>
        <v>139</v>
      </c>
      <c r="I103" s="63">
        <f t="shared" si="888"/>
        <v>3</v>
      </c>
      <c r="J103" s="222">
        <f t="shared" si="889"/>
        <v>146.19999999999999</v>
      </c>
      <c r="K103" s="116">
        <f t="shared" si="890"/>
        <v>1.6735183336002151</v>
      </c>
      <c r="L103" s="116">
        <f t="shared" si="891"/>
        <v>1.431151610256866</v>
      </c>
      <c r="M103" s="92">
        <f t="shared" si="892"/>
        <v>0.7896716826265392</v>
      </c>
      <c r="N103" s="242">
        <f t="shared" si="893"/>
        <v>1.0285949928485048</v>
      </c>
      <c r="O103" s="143"/>
      <c r="P103" s="143"/>
      <c r="Q103" s="143"/>
      <c r="R103" s="143"/>
      <c r="S103" s="165">
        <v>32.5</v>
      </c>
      <c r="T103" s="143"/>
      <c r="U103" s="143">
        <f t="shared" ref="U103" si="916">U102</f>
        <v>26.7</v>
      </c>
      <c r="V103" s="143"/>
      <c r="W103" s="143"/>
      <c r="X103" s="165">
        <v>87</v>
      </c>
      <c r="Y103" s="143"/>
      <c r="Z103" s="143"/>
      <c r="AA103" s="143"/>
      <c r="AB103" s="143"/>
      <c r="AC103" s="143"/>
      <c r="AD103" s="143"/>
      <c r="AE103" s="143"/>
      <c r="AF103" s="143"/>
      <c r="AG103" s="551"/>
      <c r="AH103" s="557"/>
      <c r="AI103" s="557">
        <f t="shared" ref="AI103:AI109" si="917">AI102</f>
        <v>15.6</v>
      </c>
      <c r="AJ103" s="337">
        <f t="shared" ref="AJ103:AL103" si="918" xml:space="preserve"> AJ102</f>
        <v>0</v>
      </c>
      <c r="AK103" s="339"/>
      <c r="AL103" s="337">
        <f t="shared" si="918"/>
        <v>0</v>
      </c>
      <c r="AM103" s="339"/>
      <c r="AN103" s="267" t="str">
        <f t="shared" ref="AN103" si="919" xml:space="preserve"> AN102</f>
        <v>Lystb</v>
      </c>
      <c r="AO103" s="45">
        <f>VLOOKUP(AN103,Skrogform!$1:$1048576,3,FALSE)</f>
        <v>0.98</v>
      </c>
      <c r="AP103" s="64">
        <f t="shared" ref="AP103:AZ109" si="920">AP102</f>
        <v>14.32</v>
      </c>
      <c r="AQ103" s="64">
        <f t="shared" si="920"/>
        <v>12.45</v>
      </c>
      <c r="AR103" s="64">
        <f t="shared" si="920"/>
        <v>3.85</v>
      </c>
      <c r="AS103" s="64">
        <f t="shared" si="920"/>
        <v>2.2999999999999998</v>
      </c>
      <c r="AT103" s="64">
        <f t="shared" ref="AT103" si="921">AT102</f>
        <v>23</v>
      </c>
      <c r="AU103" s="64">
        <f t="shared" si="920"/>
        <v>23</v>
      </c>
      <c r="AV103" s="64">
        <f t="shared" si="920"/>
        <v>7</v>
      </c>
      <c r="AW103" s="64">
        <f t="shared" si="920"/>
        <v>2.5</v>
      </c>
      <c r="AX103" s="256">
        <f t="shared" si="899"/>
        <v>0</v>
      </c>
      <c r="AY103" s="256">
        <f t="shared" si="920"/>
        <v>85</v>
      </c>
      <c r="AZ103" s="256">
        <f t="shared" si="920"/>
        <v>250</v>
      </c>
      <c r="BA103" s="256">
        <f t="shared" ref="BA103:BB103" si="922">BA102</f>
        <v>0</v>
      </c>
      <c r="BB103" s="256">
        <f t="shared" si="922"/>
        <v>0</v>
      </c>
      <c r="BC103" s="256"/>
      <c r="BD103" s="66"/>
      <c r="BE103" s="66"/>
      <c r="BF103" s="261"/>
      <c r="BG103" s="66"/>
      <c r="BH103" s="175"/>
      <c r="BI103" s="66"/>
      <c r="BJ103" s="66"/>
      <c r="BK103" s="65" t="str">
        <f t="shared" ref="BK103:BM103" si="923" xml:space="preserve"> BK102</f>
        <v>Seilrett</v>
      </c>
      <c r="BL103" s="267">
        <f t="shared" si="923"/>
        <v>4</v>
      </c>
      <c r="BM103" s="267">
        <f t="shared" si="923"/>
        <v>53</v>
      </c>
      <c r="BN103" s="45">
        <f t="shared" si="788"/>
        <v>1</v>
      </c>
      <c r="BO103" s="59"/>
      <c r="BP103" s="59"/>
      <c r="BR103" s="49">
        <f t="shared" si="902"/>
        <v>0</v>
      </c>
      <c r="BS103" s="49">
        <f t="shared" si="902"/>
        <v>0</v>
      </c>
      <c r="BT103" s="49">
        <f t="shared" si="902"/>
        <v>0</v>
      </c>
      <c r="BU103" s="49">
        <f t="shared" si="902"/>
        <v>0</v>
      </c>
      <c r="BV103" s="49">
        <f t="shared" si="902"/>
        <v>32.5</v>
      </c>
      <c r="BW103" s="49">
        <f t="shared" si="902"/>
        <v>0</v>
      </c>
      <c r="BX103" s="49">
        <f t="shared" si="902"/>
        <v>26.7</v>
      </c>
      <c r="BY103" s="549">
        <f t="shared" si="903"/>
        <v>-13.35</v>
      </c>
      <c r="BZ103" s="85">
        <f t="shared" si="904"/>
        <v>0</v>
      </c>
      <c r="CA103" s="85">
        <f t="shared" si="904"/>
        <v>0</v>
      </c>
      <c r="CB103" s="85">
        <f t="shared" si="904"/>
        <v>69.600000000000009</v>
      </c>
      <c r="CC103" s="85">
        <f t="shared" si="904"/>
        <v>0</v>
      </c>
      <c r="CD103" s="85">
        <f t="shared" si="904"/>
        <v>0</v>
      </c>
      <c r="CE103" s="85">
        <f t="shared" si="905"/>
        <v>0</v>
      </c>
      <c r="CF103" s="85">
        <f t="shared" si="906"/>
        <v>0</v>
      </c>
      <c r="CG103" s="85">
        <f t="shared" si="906"/>
        <v>0</v>
      </c>
      <c r="CH103" s="85">
        <f t="shared" si="907"/>
        <v>0</v>
      </c>
      <c r="CI103" s="85">
        <f t="shared" si="907"/>
        <v>0</v>
      </c>
      <c r="CJ103" s="85">
        <f t="shared" si="907"/>
        <v>0</v>
      </c>
      <c r="CK103" s="85">
        <f t="shared" si="907"/>
        <v>0</v>
      </c>
      <c r="CL103" s="100">
        <f t="shared" si="908"/>
        <v>115.45000000000002</v>
      </c>
      <c r="CM103" s="50"/>
      <c r="CN103" s="104">
        <f t="shared" si="909"/>
        <v>146.19999999999999</v>
      </c>
      <c r="CO103" s="101">
        <f t="shared" si="910"/>
        <v>0.7896716826265392</v>
      </c>
      <c r="CP103" s="51">
        <f t="shared" si="911"/>
        <v>0.94321059337752622</v>
      </c>
      <c r="CQ103" s="116">
        <f t="shared" si="912"/>
        <v>1.6735183336002151</v>
      </c>
      <c r="CR103" s="51">
        <f t="shared" si="913"/>
        <v>1.431151610256866</v>
      </c>
      <c r="CS103" s="204"/>
      <c r="CT103" s="204">
        <f t="shared" si="914"/>
        <v>139</v>
      </c>
      <c r="CU103" s="107">
        <f t="shared" si="36"/>
        <v>1.3894032031939254</v>
      </c>
      <c r="CV103" s="62">
        <f t="shared" si="789"/>
        <v>3.8750625118322355</v>
      </c>
      <c r="CW103" s="62">
        <f t="shared" si="14"/>
        <v>1.8645705609129886</v>
      </c>
      <c r="CX103" s="62">
        <f t="shared" si="790"/>
        <v>1.878418417945126</v>
      </c>
      <c r="CY103" s="107">
        <f t="shared" si="16"/>
        <v>1.0285949928485048</v>
      </c>
      <c r="CZ103" s="168" t="str">
        <f t="shared" si="874"/>
        <v>-</v>
      </c>
      <c r="DA103" s="158"/>
      <c r="DB103" s="168" t="str">
        <f t="shared" si="875"/>
        <v>-</v>
      </c>
      <c r="DC103" s="160"/>
      <c r="DD103" s="190" t="s">
        <v>134</v>
      </c>
      <c r="DE103" s="62">
        <v>1.1200000000000001</v>
      </c>
      <c r="DF103" s="62">
        <v>1.01</v>
      </c>
      <c r="DG103" s="62">
        <v>1.1100000000000001</v>
      </c>
      <c r="DH103" s="150">
        <v>1.1499999999999999</v>
      </c>
      <c r="DI103" s="62">
        <f t="shared" si="39"/>
        <v>2.0374426801584842</v>
      </c>
      <c r="DJ103" s="47">
        <f t="shared" si="17"/>
        <v>13.294797687861271</v>
      </c>
      <c r="DK103" s="48">
        <f t="shared" si="876"/>
        <v>0</v>
      </c>
      <c r="DM103" s="107">
        <f t="shared" si="643"/>
        <v>1.3293465152929187</v>
      </c>
      <c r="DN103" s="141" t="str">
        <f t="shared" si="877"/>
        <v>-</v>
      </c>
      <c r="DO103" s="107">
        <f t="shared" si="878"/>
        <v>5.7072142773068508</v>
      </c>
      <c r="DP103" s="133">
        <f>IF(SeilBeregnet=0,DP102,(SeilBeregnet^0.5/(Depl^0.3333))^DP$3*DP$7)</f>
        <v>3.7786187988613271</v>
      </c>
      <c r="DQ103" s="133">
        <f>IF(SeilBeregnet=0,DQ102,(SeilBeregnet^0.5/Lwl)^DQ$3*DQ$7)</f>
        <v>0</v>
      </c>
      <c r="DR103" s="133">
        <f>IF(SeilBeregnet=0,DR102,(0.1*Loa/Depl^0.3333)^DR$3*DR$7)</f>
        <v>0</v>
      </c>
      <c r="DS103" s="133">
        <f>IF(SeilBeregnet=0,DS102,((Loa)/Bredde)^DS$3*DS$7)</f>
        <v>1.9285954784455239</v>
      </c>
      <c r="DT103" s="107">
        <f>IF(SeilBeregnet=0,DT102,(Lwl)^DT$3)</f>
        <v>1.878418417945126</v>
      </c>
      <c r="DU103" s="133">
        <f>IF(SeilBeregnet=0,DU102,(Dypg/Loa)^DU$3*5*DU$7)</f>
        <v>2.0038371012863347</v>
      </c>
      <c r="DW103" s="107">
        <f t="shared" si="769"/>
        <v>1.4177583706060464</v>
      </c>
      <c r="DX103" s="107">
        <f t="shared" si="40"/>
        <v>1.3569322643244797</v>
      </c>
      <c r="DZ103" s="107">
        <f t="shared" si="41"/>
        <v>1.3363464361954867</v>
      </c>
      <c r="EA103" s="122" t="str">
        <f t="shared" si="879"/>
        <v>-</v>
      </c>
      <c r="EB103" s="107">
        <f t="shared" si="880"/>
        <v>1.3853333766960427</v>
      </c>
      <c r="EC103" s="122" t="str">
        <f t="shared" si="881"/>
        <v>-</v>
      </c>
      <c r="ED103" s="107">
        <f>IF(SeilBeregnet=0,ED102,SeilBeregnet^0.5/Depl^0.33333)</f>
        <v>3.7782633804561327</v>
      </c>
      <c r="EE103" s="107">
        <f>IF(SeilBeregnet=0,EE102,Lwl^0.3333)</f>
        <v>2.317501078004538</v>
      </c>
      <c r="EF103" s="107">
        <f>IF(SeilBeregnet=0,EF102,((Loa+Lwl)/Bredde)^EF$3)</f>
        <v>1.6238537419499199</v>
      </c>
      <c r="EH103" s="107">
        <f t="shared" si="882"/>
        <v>1.3678138714955388</v>
      </c>
      <c r="EJ103" s="107">
        <f>IF(SeilBeregnet=0,EJ102,SeilBeregnet^0.5/Depl^0.33333)</f>
        <v>3.7782633804561327</v>
      </c>
      <c r="EK103" s="107">
        <f>IF(SeilBeregnet=0,EK102,Lwl^EK$3)</f>
        <v>2.3176764073442899</v>
      </c>
      <c r="EL103" s="107">
        <f>IF(SeilBeregnet=0,EL102,((Loa+Lwl)/Bredde)^EL$3)</f>
        <v>1.9085394483088816</v>
      </c>
      <c r="EM103" s="107">
        <f t="shared" si="883"/>
        <v>1.3620657259309128</v>
      </c>
      <c r="EO103" s="107">
        <f>IF(SeilBeregnet=0,EO102,(EP103*EQ103)^EO$3)</f>
        <v>6.1353471284260452</v>
      </c>
      <c r="EP103" s="107">
        <f>IF(SeilBeregnet=0,EP102,SeilBeregnet^0.5/Depl^0.33333)</f>
        <v>3.7782633804561327</v>
      </c>
      <c r="EQ103" s="107">
        <f>IF(SeilBeregnet=0,EQ102,((Loa+Lwl)/Bredde)^EQ$3)</f>
        <v>1.6238537419499199</v>
      </c>
      <c r="ER103" s="107">
        <f>IF(SeilBeregnet=0,ER102,Lwl^ER$3)</f>
        <v>1.878418417945126</v>
      </c>
      <c r="ES103" s="107">
        <f t="shared" si="654"/>
        <v>1.3524244191511547</v>
      </c>
      <c r="EU103" s="107">
        <f>IF(SeilBeregnet=0,EU102,(EV:EV*EW:EW)^EU$3)</f>
        <v>1.9799337715855527</v>
      </c>
      <c r="EV103" s="107">
        <f>IF(SeilBeregnet=0,EV102,SeilBeregnet^0.5/Depl^0.33333)</f>
        <v>3.7782633804561327</v>
      </c>
      <c r="EW103" s="107">
        <f>IF(SeilBeregnet=0,EW102,((Loa+Lwl)/Bredde/6)^EW$3)</f>
        <v>1.0375501507234075</v>
      </c>
      <c r="EX103" s="107">
        <f>IF(SeilBeregnet=0,EX102,(Lwl*0.7+Loa*0.3)^EX$3)</f>
        <v>1.8992304700730467</v>
      </c>
      <c r="EY103" s="107">
        <f t="shared" si="658"/>
        <v>1.2644829515829348</v>
      </c>
      <c r="FA103" s="107">
        <f t="shared" si="611"/>
        <v>1.9800268948387723</v>
      </c>
      <c r="FB103" s="107">
        <f>IF(SeilBeregnet=0,FB102,SeilBeregnet^0.5/Depl^0.3333)</f>
        <v>3.7786187988613271</v>
      </c>
      <c r="FC103" s="107">
        <f>IF(SeilBeregnet=0,FC102,((Loa+Lwl)/Bredde/6)^FC$3)</f>
        <v>1.0375501507234075</v>
      </c>
      <c r="FD103" s="107">
        <f>IF(SeilBeregnet=0,FD102,(Lwl*0.7+Loa*0.3)^FD$3)</f>
        <v>1.8992304700730467</v>
      </c>
      <c r="FE103" s="107">
        <f t="shared" si="662"/>
        <v>1.360888822256054</v>
      </c>
      <c r="FF103" s="141" t="str">
        <f t="shared" si="884"/>
        <v>-</v>
      </c>
      <c r="FG103" s="107">
        <f t="shared" si="613"/>
        <v>4.0677221144328666</v>
      </c>
      <c r="FH103" s="133">
        <f>IF(SeilBeregnet=0,FH102,(SeilBeregnet^0.5/(Depl^0.3333))^FH$3)</f>
        <v>3.7786187988613271</v>
      </c>
      <c r="FI103" s="133">
        <f>IF(SeilBeregnet=0,FI102,((Loa+Lwl)/Bredde/6)^FI$3)</f>
        <v>1.0765103152661655</v>
      </c>
      <c r="FJ103" s="107">
        <f>IF(SeilBeregnet=0,FJ102,(Lwl*0.07+Loa*0.03)^FJ$3)</f>
        <v>1.0680157793827667</v>
      </c>
      <c r="FK103" s="107">
        <f t="shared" si="666"/>
        <v>1.356893345650874</v>
      </c>
      <c r="FL103" s="141" t="str">
        <f t="shared" si="885"/>
        <v>-</v>
      </c>
      <c r="FM103" s="107">
        <f t="shared" si="615"/>
        <v>6.0702477044367669</v>
      </c>
      <c r="FN103" s="133">
        <f>IF(SeilBeregnet=0,FN102,(SeilBeregnet^0.5/(Depl^0.3333))^FN$3)</f>
        <v>3.7786187988613271</v>
      </c>
      <c r="FO103" s="133">
        <f>IF(SeilBeregnet=0,FO102,(SeilBeregnet^0.5/Lwl*FO$7)^FO$3)</f>
        <v>0.86303342712991571</v>
      </c>
      <c r="FP103" s="133">
        <f>IF(SeilBeregnet=0,FP102,((Loa)/Bredde)^FP$3*FP$7)</f>
        <v>1.9285954784455239</v>
      </c>
      <c r="FQ103" s="107">
        <f>IF(SeilBeregnet=0,FQ102,(Lwl)^FQ$3)</f>
        <v>1.878418417945126</v>
      </c>
      <c r="FR103" s="107">
        <f t="shared" si="671"/>
        <v>1.3569607048115924</v>
      </c>
      <c r="FS103" s="141" t="str">
        <f t="shared" si="886"/>
        <v>-</v>
      </c>
      <c r="FT103" s="107">
        <f t="shared" si="617"/>
        <v>7.2874271302532119</v>
      </c>
      <c r="FU103" s="133">
        <f>IF(SeilBeregnet=0,FU102,(SeilBeregnet^0.5/(Depl^0.3333))^FU$3)</f>
        <v>3.7786187988613271</v>
      </c>
      <c r="FV103" s="133">
        <f>IF(SeilBeregnet=0,FV102,(Loa/Bredde)^FV$3)</f>
        <v>1.9285954784455239</v>
      </c>
      <c r="FW103" s="107">
        <f>IF(SeilBeregnet=0,FW102,Lwl^FW$3)</f>
        <v>1.878418417945126</v>
      </c>
      <c r="FY103">
        <v>0.95</v>
      </c>
      <c r="FZ103" s="62">
        <f t="shared" si="711"/>
        <v>1.286950031946269</v>
      </c>
      <c r="GA103" s="62">
        <f t="shared" si="712"/>
        <v>2.0038371012863347</v>
      </c>
      <c r="GB103" s="107">
        <f t="shared" si="798"/>
        <v>1.3284346383734245</v>
      </c>
      <c r="GC103" s="440"/>
      <c r="GD103" s="17"/>
      <c r="GE103" s="442"/>
      <c r="GF103" s="462"/>
      <c r="GG103" s="17"/>
      <c r="GH103" s="17"/>
      <c r="GI103" s="17"/>
      <c r="GJ103" s="17"/>
      <c r="GL103" s="17"/>
      <c r="GM103" s="442"/>
      <c r="GN103" s="8"/>
      <c r="GO103" s="8"/>
      <c r="GP103" s="8"/>
      <c r="GQ103" s="8"/>
      <c r="GS103" s="17"/>
      <c r="GT103" s="17"/>
      <c r="GU103" s="17"/>
      <c r="GV103" s="629"/>
      <c r="GW103" s="17"/>
      <c r="GX103" s="17"/>
      <c r="GY103" s="17"/>
      <c r="GZ103" s="17"/>
    </row>
    <row r="104" spans="1:208" ht="15.6" x14ac:dyDescent="0.3">
      <c r="A104" s="60" t="s">
        <v>114</v>
      </c>
      <c r="B104" s="218"/>
      <c r="C104" s="61" t="str">
        <f t="shared" si="915"/>
        <v>Gaffel</v>
      </c>
      <c r="D104" s="61"/>
      <c r="E104" s="61"/>
      <c r="F104" s="61"/>
      <c r="G104" s="54"/>
      <c r="H104" s="204">
        <f t="shared" si="887"/>
        <v>132.50000000000003</v>
      </c>
      <c r="I104" s="63">
        <f t="shared" si="888"/>
        <v>3</v>
      </c>
      <c r="J104" s="222">
        <f t="shared" si="889"/>
        <v>128.80000000000001</v>
      </c>
      <c r="K104" s="116">
        <f t="shared" si="890"/>
        <v>1.474344468999369</v>
      </c>
      <c r="L104" s="116">
        <f t="shared" si="891"/>
        <v>1.2608230328391543</v>
      </c>
      <c r="M104" s="92">
        <f t="shared" si="892"/>
        <v>0.77746894409937883</v>
      </c>
      <c r="N104" s="242">
        <f t="shared" si="893"/>
        <v>1.0285949928485048</v>
      </c>
      <c r="O104" s="143"/>
      <c r="P104" s="143"/>
      <c r="Q104" s="143"/>
      <c r="R104" s="143"/>
      <c r="S104" s="165">
        <v>32.5</v>
      </c>
      <c r="T104" s="143"/>
      <c r="U104" s="143">
        <f t="shared" ref="U104" si="924">U103</f>
        <v>26.7</v>
      </c>
      <c r="V104" s="143"/>
      <c r="W104" s="143"/>
      <c r="X104" s="143"/>
      <c r="Y104" s="177">
        <f>Y$101</f>
        <v>69.599999999999994</v>
      </c>
      <c r="Z104" s="143"/>
      <c r="AA104" s="143"/>
      <c r="AB104" s="143"/>
      <c r="AC104" s="143"/>
      <c r="AD104" s="143"/>
      <c r="AE104" s="143"/>
      <c r="AF104" s="143"/>
      <c r="AG104" s="551"/>
      <c r="AH104" s="557"/>
      <c r="AI104" s="557">
        <f t="shared" si="917"/>
        <v>15.6</v>
      </c>
      <c r="AJ104" s="337">
        <f t="shared" ref="AJ104:AL109" si="925" xml:space="preserve"> AJ103</f>
        <v>0</v>
      </c>
      <c r="AK104" s="339"/>
      <c r="AL104" s="337">
        <f t="shared" si="925"/>
        <v>0</v>
      </c>
      <c r="AM104" s="339"/>
      <c r="AN104" s="267" t="str">
        <f t="shared" ref="AN104" si="926" xml:space="preserve"> AN103</f>
        <v>Lystb</v>
      </c>
      <c r="AO104" s="45">
        <f>VLOOKUP(AN104,Skrogform!$1:$1048576,3,FALSE)</f>
        <v>0.98</v>
      </c>
      <c r="AP104" s="64">
        <f t="shared" si="920"/>
        <v>14.32</v>
      </c>
      <c r="AQ104" s="64">
        <f t="shared" si="920"/>
        <v>12.45</v>
      </c>
      <c r="AR104" s="64">
        <f t="shared" si="920"/>
        <v>3.85</v>
      </c>
      <c r="AS104" s="64">
        <f t="shared" si="920"/>
        <v>2.2999999999999998</v>
      </c>
      <c r="AT104" s="64">
        <f t="shared" ref="AT104" si="927">AT103</f>
        <v>23</v>
      </c>
      <c r="AU104" s="64">
        <f t="shared" si="920"/>
        <v>23</v>
      </c>
      <c r="AV104" s="64">
        <f t="shared" si="920"/>
        <v>7</v>
      </c>
      <c r="AW104" s="64">
        <f t="shared" si="920"/>
        <v>2.5</v>
      </c>
      <c r="AX104" s="256">
        <f t="shared" si="899"/>
        <v>0</v>
      </c>
      <c r="AY104" s="256">
        <f t="shared" si="920"/>
        <v>85</v>
      </c>
      <c r="AZ104" s="256">
        <f t="shared" si="920"/>
        <v>250</v>
      </c>
      <c r="BA104" s="256">
        <f t="shared" ref="BA104:BB104" si="928">BA103</f>
        <v>0</v>
      </c>
      <c r="BB104" s="256">
        <f t="shared" si="928"/>
        <v>0</v>
      </c>
      <c r="BC104" s="256"/>
      <c r="BD104" s="66"/>
      <c r="BE104" s="66"/>
      <c r="BF104" s="261"/>
      <c r="BG104" s="66"/>
      <c r="BH104" s="175"/>
      <c r="BI104" s="66"/>
      <c r="BJ104" s="66"/>
      <c r="BK104" s="65" t="str">
        <f t="shared" ref="BK104:BM104" si="929" xml:space="preserve"> BK103</f>
        <v>Seilrett</v>
      </c>
      <c r="BL104" s="267">
        <f t="shared" si="929"/>
        <v>4</v>
      </c>
      <c r="BM104" s="267">
        <f t="shared" si="929"/>
        <v>53</v>
      </c>
      <c r="BN104" s="45">
        <f t="shared" si="788"/>
        <v>1</v>
      </c>
      <c r="BO104" s="59"/>
      <c r="BP104" s="59"/>
      <c r="BR104" s="49">
        <f t="shared" si="902"/>
        <v>0</v>
      </c>
      <c r="BS104" s="49">
        <f t="shared" si="902"/>
        <v>0</v>
      </c>
      <c r="BT104" s="49">
        <f t="shared" si="902"/>
        <v>0</v>
      </c>
      <c r="BU104" s="49">
        <f t="shared" si="902"/>
        <v>0</v>
      </c>
      <c r="BV104" s="49">
        <f t="shared" si="902"/>
        <v>32.5</v>
      </c>
      <c r="BW104" s="49">
        <f t="shared" si="902"/>
        <v>0</v>
      </c>
      <c r="BX104" s="49">
        <f t="shared" si="902"/>
        <v>26.7</v>
      </c>
      <c r="BY104" s="549">
        <f t="shared" si="903"/>
        <v>-13.35</v>
      </c>
      <c r="BZ104" s="85">
        <f t="shared" si="904"/>
        <v>0</v>
      </c>
      <c r="CA104" s="85">
        <f t="shared" si="904"/>
        <v>0</v>
      </c>
      <c r="CB104" s="85">
        <f t="shared" si="904"/>
        <v>0</v>
      </c>
      <c r="CC104" s="85">
        <f t="shared" si="904"/>
        <v>54.287999999999997</v>
      </c>
      <c r="CD104" s="85">
        <f t="shared" si="904"/>
        <v>0</v>
      </c>
      <c r="CE104" s="85">
        <f t="shared" si="905"/>
        <v>0</v>
      </c>
      <c r="CF104" s="85">
        <f t="shared" si="906"/>
        <v>0</v>
      </c>
      <c r="CG104" s="85">
        <f t="shared" si="906"/>
        <v>0</v>
      </c>
      <c r="CH104" s="85">
        <f t="shared" si="907"/>
        <v>0</v>
      </c>
      <c r="CI104" s="85">
        <f t="shared" si="907"/>
        <v>0</v>
      </c>
      <c r="CJ104" s="85">
        <f t="shared" si="907"/>
        <v>0</v>
      </c>
      <c r="CK104" s="85">
        <f t="shared" si="907"/>
        <v>0</v>
      </c>
      <c r="CL104" s="100">
        <f t="shared" si="908"/>
        <v>100.13800000000001</v>
      </c>
      <c r="CM104" s="50"/>
      <c r="CN104" s="104">
        <f t="shared" si="909"/>
        <v>128.80000000000001</v>
      </c>
      <c r="CO104" s="101">
        <f t="shared" si="910"/>
        <v>0.77746894409937883</v>
      </c>
      <c r="CP104" s="51">
        <f t="shared" si="911"/>
        <v>0.83095433944613806</v>
      </c>
      <c r="CQ104" s="116">
        <f t="shared" si="912"/>
        <v>1.474344468999369</v>
      </c>
      <c r="CR104" s="51">
        <f t="shared" si="913"/>
        <v>1.2608230328391543</v>
      </c>
      <c r="CS104" s="204"/>
      <c r="CT104" s="204">
        <f t="shared" si="914"/>
        <v>132.50000000000003</v>
      </c>
      <c r="CU104" s="107">
        <f t="shared" si="36"/>
        <v>1.3249855485780417</v>
      </c>
      <c r="CV104" s="62">
        <f t="shared" si="789"/>
        <v>3.6089527892894417</v>
      </c>
      <c r="CW104" s="62">
        <f t="shared" si="14"/>
        <v>1.8645705609129886</v>
      </c>
      <c r="CX104" s="62">
        <f t="shared" si="790"/>
        <v>1.878418417945126</v>
      </c>
      <c r="CY104" s="107">
        <f t="shared" si="16"/>
        <v>1.0285949928485048</v>
      </c>
      <c r="CZ104" s="168" t="str">
        <f t="shared" si="874"/>
        <v>-</v>
      </c>
      <c r="DA104" s="158"/>
      <c r="DB104" s="168" t="str">
        <f t="shared" si="875"/>
        <v>-</v>
      </c>
      <c r="DC104" s="160"/>
      <c r="DD104" s="190" t="s">
        <v>134</v>
      </c>
      <c r="DE104" s="62">
        <v>1.0900000000000001</v>
      </c>
      <c r="DF104" s="62">
        <v>1</v>
      </c>
      <c r="DG104" s="71">
        <v>1.08</v>
      </c>
      <c r="DH104" s="150">
        <v>1.1200000000000001</v>
      </c>
      <c r="DI104" s="62">
        <f t="shared" si="39"/>
        <v>2.0374426801584842</v>
      </c>
      <c r="DJ104" s="47">
        <f t="shared" si="17"/>
        <v>13.294797687861271</v>
      </c>
      <c r="DK104" s="48">
        <f t="shared" si="876"/>
        <v>0</v>
      </c>
      <c r="DM104" s="107">
        <f t="shared" si="643"/>
        <v>1.268905864325873</v>
      </c>
      <c r="DN104" s="141" t="str">
        <f t="shared" si="877"/>
        <v>-</v>
      </c>
      <c r="DO104" s="107">
        <f t="shared" si="878"/>
        <v>5.447727573004749</v>
      </c>
      <c r="DP104" s="133">
        <f>IF(SeilBeregnet=0,DP103,(SeilBeregnet^0.5/(Depl^0.3333))^DP$3*DP$7)</f>
        <v>3.5191320945592253</v>
      </c>
      <c r="DQ104" s="133">
        <f>IF(SeilBeregnet=0,DQ103,(SeilBeregnet^0.5/Lwl)^DQ$3*DQ$7)</f>
        <v>0</v>
      </c>
      <c r="DR104" s="133">
        <f>IF(SeilBeregnet=0,DR103,(0.1*Loa/Depl^0.3333)^DR$3*DR$7)</f>
        <v>0</v>
      </c>
      <c r="DS104" s="133">
        <f>IF(SeilBeregnet=0,DS103,((Loa)/Bredde)^DS$3*DS$7)</f>
        <v>1.9285954784455239</v>
      </c>
      <c r="DT104" s="107">
        <f>IF(SeilBeregnet=0,DT103,(Lwl)^DT$3)</f>
        <v>1.878418417945126</v>
      </c>
      <c r="DU104" s="133">
        <f>IF(SeilBeregnet=0,DU103,(Dypg/Loa)^DU$3*5*DU$7)</f>
        <v>2.0038371012863347</v>
      </c>
      <c r="DW104" s="107">
        <f t="shared" si="769"/>
        <v>1.3520260699775939</v>
      </c>
      <c r="DX104" s="107">
        <f t="shared" si="40"/>
        <v>1.2805226102147242</v>
      </c>
      <c r="DZ104" s="107">
        <f t="shared" si="41"/>
        <v>1.2729746830218338</v>
      </c>
      <c r="EA104" s="122" t="str">
        <f t="shared" si="879"/>
        <v>-</v>
      </c>
      <c r="EB104" s="107">
        <f t="shared" si="880"/>
        <v>1.3094196976859869</v>
      </c>
      <c r="EC104" s="122" t="str">
        <f t="shared" si="881"/>
        <v>-</v>
      </c>
      <c r="ED104" s="107">
        <f>IF(SeilBeregnet=0,ED103,SeilBeregnet^0.5/Depl^0.33333)</f>
        <v>3.5188010835778867</v>
      </c>
      <c r="EE104" s="107">
        <f>IF(SeilBeregnet=0,EE103,Lwl^0.3333)</f>
        <v>2.317501078004538</v>
      </c>
      <c r="EF104" s="107">
        <f>IF(SeilBeregnet=0,EF103,((Loa+Lwl)/Bredde)^EF$3)</f>
        <v>1.6238537419499199</v>
      </c>
      <c r="EH104" s="107">
        <f t="shared" si="882"/>
        <v>1.2986965709839118</v>
      </c>
      <c r="EJ104" s="107">
        <f>IF(SeilBeregnet=0,EJ103,SeilBeregnet^0.5/Depl^0.33333)</f>
        <v>3.5188010835778867</v>
      </c>
      <c r="EK104" s="107">
        <f>IF(SeilBeregnet=0,EK103,Lwl^EK$3)</f>
        <v>2.3176764073442899</v>
      </c>
      <c r="EL104" s="107">
        <f>IF(SeilBeregnet=0,EL103,((Loa+Lwl)/Bredde)^EL$3)</f>
        <v>1.9085394483088816</v>
      </c>
      <c r="EM104" s="107">
        <f t="shared" si="883"/>
        <v>1.2915244769468499</v>
      </c>
      <c r="EO104" s="107">
        <f>IF(SeilBeregnet=0,EO103,(EP104*EQ104)^EO$3)</f>
        <v>5.714018306745384</v>
      </c>
      <c r="EP104" s="107">
        <f>IF(SeilBeregnet=0,EP103,SeilBeregnet^0.5/Depl^0.33333)</f>
        <v>3.5188010835778867</v>
      </c>
      <c r="EQ104" s="107">
        <f>IF(SeilBeregnet=0,EQ103,((Loa+Lwl)/Bredde)^EQ$3)</f>
        <v>1.6238537419499199</v>
      </c>
      <c r="ER104" s="107">
        <f>IF(SeilBeregnet=0,ER103,Lwl^ER$3)</f>
        <v>1.878418417945126</v>
      </c>
      <c r="ES104" s="107">
        <f t="shared" si="654"/>
        <v>1.2891935562473056</v>
      </c>
      <c r="EU104" s="107">
        <f>IF(SeilBeregnet=0,EU103,(EV:EV*EW:EW)^EU$3)</f>
        <v>1.9107413730361118</v>
      </c>
      <c r="EV104" s="107">
        <f>IF(SeilBeregnet=0,EV103,SeilBeregnet^0.5/Depl^0.33333)</f>
        <v>3.5188010835778867</v>
      </c>
      <c r="EW104" s="107">
        <f>IF(SeilBeregnet=0,EW103,((Loa+Lwl)/Bredde/6)^EW$3)</f>
        <v>1.0375501507234075</v>
      </c>
      <c r="EX104" s="107">
        <f>IF(SeilBeregnet=0,EX103,(Lwl*0.7+Loa*0.3)^EX$3)</f>
        <v>1.8992304700730467</v>
      </c>
      <c r="EY104" s="107">
        <f t="shared" si="658"/>
        <v>1.2202932874635968</v>
      </c>
      <c r="FA104" s="107">
        <f t="shared" si="611"/>
        <v>1.9108312419273201</v>
      </c>
      <c r="FB104" s="107">
        <f>IF(SeilBeregnet=0,FB103,SeilBeregnet^0.5/Depl^0.3333)</f>
        <v>3.5191320945592253</v>
      </c>
      <c r="FC104" s="107">
        <f>IF(SeilBeregnet=0,FC103,((Loa+Lwl)/Bredde/6)^FC$3)</f>
        <v>1.0375501507234075</v>
      </c>
      <c r="FD104" s="107">
        <f>IF(SeilBeregnet=0,FD103,(Lwl*0.7+Loa*0.3)^FD$3)</f>
        <v>1.8992304700730467</v>
      </c>
      <c r="FE104" s="107">
        <f t="shared" si="662"/>
        <v>1.2982374958794509</v>
      </c>
      <c r="FF104" s="141" t="str">
        <f t="shared" si="884"/>
        <v>-</v>
      </c>
      <c r="FG104" s="107">
        <f t="shared" si="613"/>
        <v>3.7883820005772328</v>
      </c>
      <c r="FH104" s="133">
        <f>IF(SeilBeregnet=0,FH103,(SeilBeregnet^0.5/(Depl^0.3333))^FH$3)</f>
        <v>3.5191320945592253</v>
      </c>
      <c r="FI104" s="133">
        <f>IF(SeilBeregnet=0,FI103,((Loa+Lwl)/Bredde/6)^FI$3)</f>
        <v>1.0765103152661655</v>
      </c>
      <c r="FJ104" s="107">
        <f>IF(SeilBeregnet=0,FJ103,(Lwl*0.07+Loa*0.03)^FJ$3)</f>
        <v>1.0680157793827667</v>
      </c>
      <c r="FK104" s="107">
        <f t="shared" si="666"/>
        <v>1.2856418596108996</v>
      </c>
      <c r="FL104" s="141" t="str">
        <f t="shared" si="885"/>
        <v>-</v>
      </c>
      <c r="FM104" s="107">
        <f t="shared" si="615"/>
        <v>5.7514944502048397</v>
      </c>
      <c r="FN104" s="133">
        <f>IF(SeilBeregnet=0,FN103,(SeilBeregnet^0.5/(Depl^0.3333))^FN$3)</f>
        <v>3.5191320945592253</v>
      </c>
      <c r="FO104" s="133">
        <f>IF(SeilBeregnet=0,FO103,(SeilBeregnet^0.5/Lwl*FO$7)^FO$3)</f>
        <v>0.80376687720009077</v>
      </c>
      <c r="FP104" s="133">
        <f>IF(SeilBeregnet=0,FP103,((Loa)/Bredde)^FP$3*FP$7)</f>
        <v>1.9285954784455239</v>
      </c>
      <c r="FQ104" s="107">
        <f>IF(SeilBeregnet=0,FQ103,(Lwl)^FQ$3)</f>
        <v>1.878418417945126</v>
      </c>
      <c r="FR104" s="107">
        <f t="shared" si="671"/>
        <v>1.2967978319499935</v>
      </c>
      <c r="FS104" s="141" t="str">
        <f t="shared" si="886"/>
        <v>-</v>
      </c>
      <c r="FT104" s="107">
        <f t="shared" si="617"/>
        <v>6.7869822456194475</v>
      </c>
      <c r="FU104" s="133">
        <f>IF(SeilBeregnet=0,FU103,(SeilBeregnet^0.5/(Depl^0.3333))^FU$3)</f>
        <v>3.5191320945592253</v>
      </c>
      <c r="FV104" s="133">
        <f>IF(SeilBeregnet=0,FV103,(Loa/Bredde)^FV$3)</f>
        <v>1.9285954784455239</v>
      </c>
      <c r="FW104" s="107">
        <f>IF(SeilBeregnet=0,FW103,Lwl^FW$3)</f>
        <v>1.878418417945126</v>
      </c>
      <c r="FY104">
        <v>0.95</v>
      </c>
      <c r="FZ104" s="62">
        <f t="shared" si="711"/>
        <v>1.2436448318566675</v>
      </c>
      <c r="GA104" s="62">
        <f t="shared" si="712"/>
        <v>2.0038371012863347</v>
      </c>
      <c r="GB104" s="107">
        <f t="shared" si="798"/>
        <v>1.2973017993407545</v>
      </c>
      <c r="GC104" s="440"/>
      <c r="GD104" s="17"/>
      <c r="GE104" s="442"/>
      <c r="GF104" s="462"/>
      <c r="GG104" s="17"/>
      <c r="GH104" s="17"/>
      <c r="GI104" s="17"/>
      <c r="GJ104" s="17"/>
      <c r="GL104" s="17"/>
      <c r="GM104" s="442"/>
      <c r="GN104" s="8"/>
      <c r="GO104" s="8"/>
      <c r="GP104" s="8"/>
      <c r="GQ104" s="8"/>
      <c r="GS104" s="17"/>
      <c r="GT104" s="17"/>
      <c r="GU104" s="17"/>
      <c r="GV104" s="629"/>
      <c r="GW104" s="17"/>
      <c r="GX104" s="17"/>
      <c r="GY104" s="17"/>
      <c r="GZ104" s="17"/>
    </row>
    <row r="105" spans="1:208" ht="15.6" x14ac:dyDescent="0.3">
      <c r="A105" s="60" t="s">
        <v>111</v>
      </c>
      <c r="B105" s="218"/>
      <c r="C105" s="61" t="str">
        <f>C103</f>
        <v>Gaffel</v>
      </c>
      <c r="D105" s="61"/>
      <c r="E105" s="61"/>
      <c r="F105" s="61"/>
      <c r="G105" s="54"/>
      <c r="H105" s="204">
        <f t="shared" si="887"/>
        <v>134</v>
      </c>
      <c r="I105" s="63">
        <f t="shared" si="888"/>
        <v>3</v>
      </c>
      <c r="J105" s="222">
        <f t="shared" si="889"/>
        <v>128.69999999999999</v>
      </c>
      <c r="K105" s="116">
        <f t="shared" si="890"/>
        <v>1.4731997916166051</v>
      </c>
      <c r="L105" s="116">
        <f t="shared" si="891"/>
        <v>1.2598441329689372</v>
      </c>
      <c r="M105" s="92">
        <f t="shared" si="892"/>
        <v>0.80652680652680664</v>
      </c>
      <c r="N105" s="242">
        <f t="shared" si="893"/>
        <v>1.0285949928485048</v>
      </c>
      <c r="O105" s="143"/>
      <c r="P105" s="143"/>
      <c r="Q105" s="143"/>
      <c r="R105" s="143"/>
      <c r="S105" s="143"/>
      <c r="T105" s="165">
        <v>15</v>
      </c>
      <c r="U105" s="143">
        <f t="shared" ref="U105" si="930">U104</f>
        <v>26.7</v>
      </c>
      <c r="V105" s="143"/>
      <c r="W105" s="143"/>
      <c r="X105" s="165">
        <v>87</v>
      </c>
      <c r="Y105" s="143"/>
      <c r="Z105" s="143"/>
      <c r="AA105" s="143"/>
      <c r="AB105" s="143"/>
      <c r="AC105" s="143"/>
      <c r="AD105" s="143"/>
      <c r="AE105" s="143"/>
      <c r="AF105" s="143"/>
      <c r="AG105" s="551"/>
      <c r="AH105" s="557"/>
      <c r="AI105" s="557">
        <f t="shared" si="917"/>
        <v>15.6</v>
      </c>
      <c r="AJ105" s="337">
        <f t="shared" si="925"/>
        <v>0</v>
      </c>
      <c r="AK105" s="339"/>
      <c r="AL105" s="337">
        <f t="shared" si="925"/>
        <v>0</v>
      </c>
      <c r="AM105" s="339"/>
      <c r="AN105" s="267" t="str">
        <f t="shared" ref="AN105" si="931" xml:space="preserve"> AN104</f>
        <v>Lystb</v>
      </c>
      <c r="AO105" s="45">
        <f>VLOOKUP(AN105,Skrogform!$1:$1048576,3,FALSE)</f>
        <v>0.98</v>
      </c>
      <c r="AP105" s="64">
        <f t="shared" si="920"/>
        <v>14.32</v>
      </c>
      <c r="AQ105" s="64">
        <f t="shared" si="920"/>
        <v>12.45</v>
      </c>
      <c r="AR105" s="64">
        <f t="shared" si="920"/>
        <v>3.85</v>
      </c>
      <c r="AS105" s="64">
        <f t="shared" si="920"/>
        <v>2.2999999999999998</v>
      </c>
      <c r="AT105" s="64">
        <f t="shared" ref="AT105" si="932">AT104</f>
        <v>23</v>
      </c>
      <c r="AU105" s="64">
        <f t="shared" si="920"/>
        <v>23</v>
      </c>
      <c r="AV105" s="64">
        <f t="shared" si="920"/>
        <v>7</v>
      </c>
      <c r="AW105" s="64">
        <f t="shared" si="920"/>
        <v>2.5</v>
      </c>
      <c r="AX105" s="256">
        <f t="shared" si="899"/>
        <v>0</v>
      </c>
      <c r="AY105" s="256">
        <f t="shared" si="920"/>
        <v>85</v>
      </c>
      <c r="AZ105" s="256">
        <f t="shared" si="920"/>
        <v>250</v>
      </c>
      <c r="BA105" s="256">
        <f t="shared" ref="BA105:BB105" si="933">BA104</f>
        <v>0</v>
      </c>
      <c r="BB105" s="256">
        <f t="shared" si="933"/>
        <v>0</v>
      </c>
      <c r="BC105" s="256"/>
      <c r="BD105" s="66"/>
      <c r="BE105" s="66"/>
      <c r="BF105" s="261"/>
      <c r="BG105" s="66"/>
      <c r="BH105" s="175"/>
      <c r="BI105" s="66"/>
      <c r="BJ105" s="66"/>
      <c r="BK105" s="65" t="str">
        <f t="shared" ref="BK105:BM105" si="934" xml:space="preserve"> BK104</f>
        <v>Seilrett</v>
      </c>
      <c r="BL105" s="267">
        <f t="shared" si="934"/>
        <v>4</v>
      </c>
      <c r="BM105" s="267">
        <f t="shared" si="934"/>
        <v>53</v>
      </c>
      <c r="BN105" s="45">
        <f t="shared" si="788"/>
        <v>1</v>
      </c>
      <c r="BO105" s="59"/>
      <c r="BP105" s="59"/>
      <c r="BR105" s="49">
        <f t="shared" si="902"/>
        <v>0</v>
      </c>
      <c r="BS105" s="49">
        <f t="shared" si="902"/>
        <v>0</v>
      </c>
      <c r="BT105" s="49">
        <f t="shared" si="902"/>
        <v>0</v>
      </c>
      <c r="BU105" s="49">
        <f t="shared" si="902"/>
        <v>0</v>
      </c>
      <c r="BV105" s="49">
        <f t="shared" si="902"/>
        <v>0</v>
      </c>
      <c r="BW105" s="49">
        <f t="shared" si="902"/>
        <v>15</v>
      </c>
      <c r="BX105" s="49">
        <f t="shared" si="902"/>
        <v>26.7</v>
      </c>
      <c r="BY105" s="549">
        <f t="shared" si="903"/>
        <v>-7.5</v>
      </c>
      <c r="BZ105" s="85">
        <f t="shared" si="904"/>
        <v>0</v>
      </c>
      <c r="CA105" s="85">
        <f t="shared" si="904"/>
        <v>0</v>
      </c>
      <c r="CB105" s="85">
        <f t="shared" si="904"/>
        <v>69.600000000000009</v>
      </c>
      <c r="CC105" s="85">
        <f t="shared" si="904"/>
        <v>0</v>
      </c>
      <c r="CD105" s="85">
        <f t="shared" si="904"/>
        <v>0</v>
      </c>
      <c r="CE105" s="85">
        <f t="shared" si="905"/>
        <v>0</v>
      </c>
      <c r="CF105" s="85">
        <f t="shared" si="906"/>
        <v>0</v>
      </c>
      <c r="CG105" s="85">
        <f t="shared" si="906"/>
        <v>0</v>
      </c>
      <c r="CH105" s="85">
        <f t="shared" si="907"/>
        <v>0</v>
      </c>
      <c r="CI105" s="85">
        <f t="shared" si="907"/>
        <v>0</v>
      </c>
      <c r="CJ105" s="85">
        <f t="shared" si="907"/>
        <v>0</v>
      </c>
      <c r="CK105" s="85">
        <f t="shared" si="907"/>
        <v>0</v>
      </c>
      <c r="CL105" s="100">
        <f t="shared" si="908"/>
        <v>103.80000000000001</v>
      </c>
      <c r="CM105" s="50"/>
      <c r="CN105" s="104">
        <f t="shared" si="909"/>
        <v>128.69999999999999</v>
      </c>
      <c r="CO105" s="101">
        <f t="shared" ref="CO105" si="935">CL105/CN105</f>
        <v>0.80652680652680664</v>
      </c>
      <c r="CP105" s="51">
        <f t="shared" si="911"/>
        <v>0.83030918856147473</v>
      </c>
      <c r="CQ105" s="116">
        <f t="shared" si="912"/>
        <v>1.4731997916166051</v>
      </c>
      <c r="CR105" s="51">
        <f t="shared" si="913"/>
        <v>1.2598441329689372</v>
      </c>
      <c r="CS105" s="204"/>
      <c r="CT105" s="204">
        <f t="shared" si="914"/>
        <v>134</v>
      </c>
      <c r="CU105" s="107">
        <f t="shared" si="36"/>
        <v>1.3408161597071189</v>
      </c>
      <c r="CV105" s="62">
        <f t="shared" si="789"/>
        <v>3.6743491400315067</v>
      </c>
      <c r="CW105" s="62">
        <f t="shared" si="14"/>
        <v>1.8645705609129886</v>
      </c>
      <c r="CX105" s="62">
        <f t="shared" si="790"/>
        <v>1.878418417945126</v>
      </c>
      <c r="CY105" s="107">
        <f t="shared" si="16"/>
        <v>1.0285949928485048</v>
      </c>
      <c r="CZ105" s="168" t="str">
        <f t="shared" si="874"/>
        <v>-</v>
      </c>
      <c r="DA105" s="158"/>
      <c r="DB105" s="168" t="str">
        <f t="shared" si="875"/>
        <v>-</v>
      </c>
      <c r="DC105" s="160"/>
      <c r="DD105" s="190" t="s">
        <v>134</v>
      </c>
      <c r="DE105" s="62">
        <v>1.04</v>
      </c>
      <c r="DF105" s="62">
        <v>0.97</v>
      </c>
      <c r="DG105" s="62">
        <v>1.03</v>
      </c>
      <c r="DH105" s="150"/>
      <c r="DI105" s="62">
        <f t="shared" si="39"/>
        <v>2.0374426801584842</v>
      </c>
      <c r="DJ105" s="47">
        <f t="shared" si="17"/>
        <v>13.294797687861271</v>
      </c>
      <c r="DK105" s="48">
        <f t="shared" si="876"/>
        <v>0</v>
      </c>
      <c r="DM105" s="107">
        <f t="shared" si="643"/>
        <v>1.2837591285055914</v>
      </c>
      <c r="DN105" s="141" t="str">
        <f t="shared" si="877"/>
        <v>-</v>
      </c>
      <c r="DO105" s="107">
        <f t="shared" si="878"/>
        <v>5.5114963198407985</v>
      </c>
      <c r="DP105" s="133">
        <f>IF(SeilBeregnet=0,DP103,(SeilBeregnet^0.5/(Depl^0.3333))^DP$3*DP$7)</f>
        <v>3.5829008413952748</v>
      </c>
      <c r="DQ105" s="133">
        <f>IF(SeilBeregnet=0,DQ103,(SeilBeregnet^0.5/Lwl)^DQ$3*DQ$7)</f>
        <v>0</v>
      </c>
      <c r="DR105" s="133">
        <f>IF(SeilBeregnet=0,DR103,(0.1*Loa/Depl^0.3333)^DR$3*DR$7)</f>
        <v>0</v>
      </c>
      <c r="DS105" s="133">
        <f>IF(SeilBeregnet=0,DS103,((Loa)/Bredde)^DS$3*DS$7)</f>
        <v>1.9285954784455239</v>
      </c>
      <c r="DT105" s="107">
        <f>IF(SeilBeregnet=0,DT103,(Lwl)^DT$3)</f>
        <v>1.878418417945126</v>
      </c>
      <c r="DU105" s="133">
        <f>IF(SeilBeregnet=0,DU103,(Dypg/Loa)^DU$3*5*DU$7)</f>
        <v>2.0038371012863347</v>
      </c>
      <c r="DW105" s="107">
        <f t="shared" si="769"/>
        <v>1.3681797548031822</v>
      </c>
      <c r="DX105" s="107">
        <f t="shared" si="40"/>
        <v>1.2993002501013609</v>
      </c>
      <c r="DZ105" s="107">
        <f t="shared" si="41"/>
        <v>1.2885482643178621</v>
      </c>
      <c r="EA105" s="122" t="str">
        <f t="shared" si="879"/>
        <v>-</v>
      </c>
      <c r="EB105" s="107">
        <f t="shared" si="880"/>
        <v>1.3280754519035494</v>
      </c>
      <c r="EC105" s="122" t="str">
        <f t="shared" si="881"/>
        <v>-</v>
      </c>
      <c r="ED105" s="107">
        <f>IF(SeilBeregnet=0,ED103,SeilBeregnet^0.5/Depl^0.33333)</f>
        <v>3.58256383229994</v>
      </c>
      <c r="EE105" s="107">
        <f>IF(SeilBeregnet=0,EE103,Lwl^0.3333)</f>
        <v>2.317501078004538</v>
      </c>
      <c r="EF105" s="107">
        <f>IF(SeilBeregnet=0,EF103,((Loa+Lwl)/Bredde)^EF$3)</f>
        <v>1.6238537419499199</v>
      </c>
      <c r="EH105" s="107">
        <f t="shared" si="882"/>
        <v>1.3156821180861082</v>
      </c>
      <c r="EJ105" s="107">
        <f>IF(SeilBeregnet=0,EJ103,SeilBeregnet^0.5/Depl^0.33333)</f>
        <v>3.58256383229994</v>
      </c>
      <c r="EK105" s="107">
        <f>IF(SeilBeregnet=0,EK103,Lwl^EK$3)</f>
        <v>2.3176764073442899</v>
      </c>
      <c r="EL105" s="107">
        <f>IF(SeilBeregnet=0,EL103,((Loa+Lwl)/Bredde)^EL$3)</f>
        <v>1.9085394483088816</v>
      </c>
      <c r="EM105" s="107">
        <f t="shared" si="883"/>
        <v>1.3088599587784213</v>
      </c>
      <c r="EO105" s="107">
        <f>IF(SeilBeregnet=0,EO103,(EP105*EQ105)^EO$3)</f>
        <v>5.8175596848547029</v>
      </c>
      <c r="EP105" s="107">
        <f>IF(SeilBeregnet=0,EP103,SeilBeregnet^0.5/Depl^0.33333)</f>
        <v>3.58256383229994</v>
      </c>
      <c r="EQ105" s="107">
        <f>IF(SeilBeregnet=0,EQ103,((Loa+Lwl)/Bredde)^EQ$3)</f>
        <v>1.6238537419499199</v>
      </c>
      <c r="ER105" s="107">
        <f>IF(SeilBeregnet=0,ER103,Lwl^ER$3)</f>
        <v>1.878418417945126</v>
      </c>
      <c r="ES105" s="107">
        <f t="shared" si="654"/>
        <v>1.3049428385016655</v>
      </c>
      <c r="EU105" s="107">
        <f>IF(SeilBeregnet=0,EU103,(EV:EV*EW:EW)^EU$3)</f>
        <v>1.927975529974131</v>
      </c>
      <c r="EV105" s="107">
        <f>IF(SeilBeregnet=0,EV103,SeilBeregnet^0.5/Depl^0.33333)</f>
        <v>3.58256383229994</v>
      </c>
      <c r="EW105" s="107">
        <f>IF(SeilBeregnet=0,EW103,((Loa+Lwl)/Bredde/6)^EW$3)</f>
        <v>1.0375501507234075</v>
      </c>
      <c r="EX105" s="107">
        <f>IF(SeilBeregnet=0,EX103,(Lwl*0.7+Loa*0.3)^EX$3)</f>
        <v>1.8992304700730467</v>
      </c>
      <c r="EY105" s="107">
        <f t="shared" si="658"/>
        <v>1.231299866545067</v>
      </c>
      <c r="FA105" s="107">
        <f t="shared" si="611"/>
        <v>1.928066209448392</v>
      </c>
      <c r="FB105" s="107">
        <f>IF(SeilBeregnet=0,FB103,SeilBeregnet^0.5/Depl^0.3333)</f>
        <v>3.5829008413952748</v>
      </c>
      <c r="FC105" s="107">
        <f>IF(SeilBeregnet=0,FC103,((Loa+Lwl)/Bredde/6)^FC$3)</f>
        <v>1.0375501507234075</v>
      </c>
      <c r="FD105" s="107">
        <f>IF(SeilBeregnet=0,FD103,(Lwl*0.7+Loa*0.3)^FD$3)</f>
        <v>1.8992304700730467</v>
      </c>
      <c r="FE105" s="107">
        <f t="shared" si="662"/>
        <v>1.3136340325975751</v>
      </c>
      <c r="FF105" s="141" t="str">
        <f t="shared" si="884"/>
        <v>-</v>
      </c>
      <c r="FG105" s="107">
        <f t="shared" si="613"/>
        <v>3.8570297143378367</v>
      </c>
      <c r="FH105" s="133">
        <f>IF(SeilBeregnet=0,FH103,(SeilBeregnet^0.5/(Depl^0.3333))^FH$3)</f>
        <v>3.5829008413952748</v>
      </c>
      <c r="FI105" s="133">
        <f>IF(SeilBeregnet=0,FI103,((Loa+Lwl)/Bredde/6)^FI$3)</f>
        <v>1.0765103152661655</v>
      </c>
      <c r="FJ105" s="107">
        <f>IF(SeilBeregnet=0,FJ103,(Lwl*0.07+Loa*0.03)^FJ$3)</f>
        <v>1.0680157793827667</v>
      </c>
      <c r="FK105" s="107">
        <f t="shared" si="666"/>
        <v>1.3031518818958399</v>
      </c>
      <c r="FL105" s="141" t="str">
        <f t="shared" si="885"/>
        <v>-</v>
      </c>
      <c r="FM105" s="107">
        <f t="shared" si="615"/>
        <v>5.8298279263918049</v>
      </c>
      <c r="FN105" s="133">
        <f>IF(SeilBeregnet=0,FN103,(SeilBeregnet^0.5/(Depl^0.3333))^FN$3)</f>
        <v>3.5829008413952748</v>
      </c>
      <c r="FO105" s="133">
        <f>IF(SeilBeregnet=0,FO103,(SeilBeregnet^0.5/Lwl*FO$7)^FO$3)</f>
        <v>0.81833160655100601</v>
      </c>
      <c r="FP105" s="133">
        <f>IF(SeilBeregnet=0,FP103,((Loa)/Bredde)^FP$3*FP$7)</f>
        <v>1.9285954784455239</v>
      </c>
      <c r="FQ105" s="107">
        <f>IF(SeilBeregnet=0,FQ103,(Lwl)^FQ$3)</f>
        <v>1.878418417945126</v>
      </c>
      <c r="FR105" s="107">
        <f t="shared" si="671"/>
        <v>1.311582832278851</v>
      </c>
      <c r="FS105" s="141" t="str">
        <f t="shared" si="886"/>
        <v>-</v>
      </c>
      <c r="FT105" s="107">
        <f t="shared" si="617"/>
        <v>6.9099663624335905</v>
      </c>
      <c r="FU105" s="133">
        <f>IF(SeilBeregnet=0,FU103,(SeilBeregnet^0.5/(Depl^0.3333))^FU$3)</f>
        <v>3.5829008413952748</v>
      </c>
      <c r="FV105" s="133">
        <f>IF(SeilBeregnet=0,FV103,(Loa/Bredde)^FV$3)</f>
        <v>1.9285954784455239</v>
      </c>
      <c r="FW105" s="107">
        <f>IF(SeilBeregnet=0,FW103,Lwl^FW$3)</f>
        <v>1.878418417945126</v>
      </c>
      <c r="FY105">
        <v>0.95</v>
      </c>
      <c r="FZ105" s="62">
        <f t="shared" si="711"/>
        <v>1.254287066296484</v>
      </c>
      <c r="GA105" s="62">
        <f t="shared" si="712"/>
        <v>2.0038371012863347</v>
      </c>
      <c r="GB105" s="107">
        <f t="shared" si="798"/>
        <v>1.3050908970500308</v>
      </c>
      <c r="GC105" s="440"/>
      <c r="GD105" s="17"/>
      <c r="GE105" s="442"/>
      <c r="GF105" s="462"/>
      <c r="GG105" s="17"/>
      <c r="GH105" s="17"/>
      <c r="GI105" s="17"/>
      <c r="GJ105" s="17"/>
      <c r="GL105" s="17"/>
      <c r="GM105" s="442"/>
      <c r="GN105" s="8"/>
      <c r="GO105" s="8"/>
      <c r="GP105" s="8"/>
      <c r="GQ105" s="8"/>
      <c r="GS105" s="17"/>
      <c r="GT105" s="17"/>
      <c r="GU105" s="17"/>
      <c r="GV105" s="629"/>
      <c r="GW105" s="17"/>
      <c r="GX105" s="17"/>
      <c r="GY105" s="17"/>
      <c r="GZ105" s="17"/>
    </row>
    <row r="106" spans="1:208" ht="15.6" x14ac:dyDescent="0.3">
      <c r="A106" s="60" t="s">
        <v>113</v>
      </c>
      <c r="B106" s="218"/>
      <c r="C106" s="61" t="str">
        <f>C104</f>
        <v>Gaffel</v>
      </c>
      <c r="D106" s="61"/>
      <c r="E106" s="61"/>
      <c r="F106" s="61"/>
      <c r="G106" s="54"/>
      <c r="H106" s="204">
        <f t="shared" si="887"/>
        <v>127.49999999999999</v>
      </c>
      <c r="I106" s="63">
        <f t="shared" si="888"/>
        <v>3</v>
      </c>
      <c r="J106" s="222">
        <f t="shared" si="889"/>
        <v>111.3</v>
      </c>
      <c r="K106" s="116">
        <f t="shared" si="890"/>
        <v>1.274025927015759</v>
      </c>
      <c r="L106" s="116">
        <f t="shared" si="891"/>
        <v>1.0895155555512257</v>
      </c>
      <c r="M106" s="92">
        <f t="shared" si="892"/>
        <v>0.79504043126684643</v>
      </c>
      <c r="N106" s="242">
        <f t="shared" si="893"/>
        <v>1.0285949928485048</v>
      </c>
      <c r="O106" s="143"/>
      <c r="P106" s="143"/>
      <c r="Q106" s="143"/>
      <c r="R106" s="143"/>
      <c r="S106" s="143"/>
      <c r="T106" s="165">
        <v>15</v>
      </c>
      <c r="U106" s="143">
        <f t="shared" ref="U106" si="936">U105</f>
        <v>26.7</v>
      </c>
      <c r="V106" s="143"/>
      <c r="W106" s="143"/>
      <c r="X106" s="143"/>
      <c r="Y106" s="177">
        <f>Y$101</f>
        <v>69.599999999999994</v>
      </c>
      <c r="Z106" s="143"/>
      <c r="AA106" s="143"/>
      <c r="AB106" s="143"/>
      <c r="AC106" s="143"/>
      <c r="AD106" s="143"/>
      <c r="AE106" s="143"/>
      <c r="AF106" s="143"/>
      <c r="AG106" s="551"/>
      <c r="AH106" s="557"/>
      <c r="AI106" s="557">
        <f t="shared" si="917"/>
        <v>15.6</v>
      </c>
      <c r="AJ106" s="337">
        <f t="shared" si="925"/>
        <v>0</v>
      </c>
      <c r="AK106" s="339"/>
      <c r="AL106" s="337">
        <f t="shared" si="925"/>
        <v>0</v>
      </c>
      <c r="AM106" s="339"/>
      <c r="AN106" s="267" t="str">
        <f t="shared" ref="AN106" si="937" xml:space="preserve"> AN105</f>
        <v>Lystb</v>
      </c>
      <c r="AO106" s="45">
        <f>VLOOKUP(AN106,Skrogform!$1:$1048576,3,FALSE)</f>
        <v>0.98</v>
      </c>
      <c r="AP106" s="64">
        <f t="shared" si="920"/>
        <v>14.32</v>
      </c>
      <c r="AQ106" s="64">
        <f t="shared" si="920"/>
        <v>12.45</v>
      </c>
      <c r="AR106" s="64">
        <f t="shared" si="920"/>
        <v>3.85</v>
      </c>
      <c r="AS106" s="64">
        <f t="shared" si="920"/>
        <v>2.2999999999999998</v>
      </c>
      <c r="AT106" s="64">
        <f t="shared" ref="AT106" si="938">AT105</f>
        <v>23</v>
      </c>
      <c r="AU106" s="64">
        <f t="shared" si="920"/>
        <v>23</v>
      </c>
      <c r="AV106" s="64">
        <f t="shared" si="920"/>
        <v>7</v>
      </c>
      <c r="AW106" s="64">
        <f t="shared" si="920"/>
        <v>2.5</v>
      </c>
      <c r="AX106" s="256">
        <f t="shared" si="899"/>
        <v>0</v>
      </c>
      <c r="AY106" s="256">
        <f t="shared" si="920"/>
        <v>85</v>
      </c>
      <c r="AZ106" s="256">
        <f t="shared" si="920"/>
        <v>250</v>
      </c>
      <c r="BA106" s="256">
        <f t="shared" ref="BA106:BB106" si="939">BA105</f>
        <v>0</v>
      </c>
      <c r="BB106" s="256">
        <f t="shared" si="939"/>
        <v>0</v>
      </c>
      <c r="BC106" s="256"/>
      <c r="BD106" s="66"/>
      <c r="BE106" s="66"/>
      <c r="BF106" s="261"/>
      <c r="BG106" s="66"/>
      <c r="BH106" s="175"/>
      <c r="BI106" s="66"/>
      <c r="BJ106" s="66"/>
      <c r="BK106" s="65" t="str">
        <f t="shared" ref="BK106:BM106" si="940" xml:space="preserve"> BK105</f>
        <v>Seilrett</v>
      </c>
      <c r="BL106" s="267">
        <f t="shared" si="940"/>
        <v>4</v>
      </c>
      <c r="BM106" s="267">
        <f t="shared" si="940"/>
        <v>53</v>
      </c>
      <c r="BN106" s="45">
        <f t="shared" si="788"/>
        <v>1</v>
      </c>
      <c r="BO106" s="59"/>
      <c r="BP106" s="59"/>
      <c r="BR106" s="49">
        <f t="shared" si="902"/>
        <v>0</v>
      </c>
      <c r="BS106" s="49">
        <f t="shared" si="902"/>
        <v>0</v>
      </c>
      <c r="BT106" s="49">
        <f t="shared" si="902"/>
        <v>0</v>
      </c>
      <c r="BU106" s="49">
        <f t="shared" si="902"/>
        <v>0</v>
      </c>
      <c r="BV106" s="49">
        <f t="shared" si="902"/>
        <v>0</v>
      </c>
      <c r="BW106" s="49">
        <f t="shared" si="902"/>
        <v>15</v>
      </c>
      <c r="BX106" s="49">
        <f t="shared" si="902"/>
        <v>26.7</v>
      </c>
      <c r="BY106" s="549">
        <f t="shared" si="903"/>
        <v>-7.5</v>
      </c>
      <c r="BZ106" s="85">
        <f t="shared" si="904"/>
        <v>0</v>
      </c>
      <c r="CA106" s="85">
        <f t="shared" si="904"/>
        <v>0</v>
      </c>
      <c r="CB106" s="85">
        <f t="shared" si="904"/>
        <v>0</v>
      </c>
      <c r="CC106" s="85">
        <f t="shared" si="904"/>
        <v>54.287999999999997</v>
      </c>
      <c r="CD106" s="85">
        <f t="shared" si="904"/>
        <v>0</v>
      </c>
      <c r="CE106" s="85">
        <f t="shared" si="905"/>
        <v>0</v>
      </c>
      <c r="CF106" s="85">
        <f t="shared" si="906"/>
        <v>0</v>
      </c>
      <c r="CG106" s="85">
        <f t="shared" si="906"/>
        <v>0</v>
      </c>
      <c r="CH106" s="85">
        <f t="shared" si="907"/>
        <v>0</v>
      </c>
      <c r="CI106" s="85">
        <f t="shared" si="907"/>
        <v>0</v>
      </c>
      <c r="CJ106" s="85">
        <f t="shared" si="907"/>
        <v>0</v>
      </c>
      <c r="CK106" s="85">
        <f t="shared" si="907"/>
        <v>0</v>
      </c>
      <c r="CL106" s="100">
        <f t="shared" si="908"/>
        <v>88.488</v>
      </c>
      <c r="CM106" s="50"/>
      <c r="CN106" s="104">
        <f t="shared" si="909"/>
        <v>111.3</v>
      </c>
      <c r="CO106" s="101">
        <f t="shared" si="910"/>
        <v>0.79504043126684643</v>
      </c>
      <c r="CP106" s="51">
        <f t="shared" si="911"/>
        <v>0.71805293463008668</v>
      </c>
      <c r="CQ106" s="116">
        <f t="shared" si="912"/>
        <v>1.274025927015759</v>
      </c>
      <c r="CR106" s="51">
        <f t="shared" si="913"/>
        <v>1.0895155555512257</v>
      </c>
      <c r="CS106" s="204"/>
      <c r="CT106" s="204">
        <f t="shared" si="914"/>
        <v>127.49999999999999</v>
      </c>
      <c r="CU106" s="107">
        <f t="shared" si="36"/>
        <v>1.2725961467560116</v>
      </c>
      <c r="CV106" s="62">
        <f t="shared" si="789"/>
        <v>3.392531852107326</v>
      </c>
      <c r="CW106" s="62">
        <f t="shared" si="14"/>
        <v>1.8645705609129886</v>
      </c>
      <c r="CX106" s="62">
        <f t="shared" si="790"/>
        <v>1.878418417945126</v>
      </c>
      <c r="CY106" s="107">
        <f t="shared" si="16"/>
        <v>1.0285949928485048</v>
      </c>
      <c r="CZ106" s="168" t="str">
        <f t="shared" si="874"/>
        <v>-</v>
      </c>
      <c r="DA106" s="158"/>
      <c r="DB106" s="168" t="str">
        <f t="shared" si="875"/>
        <v>-</v>
      </c>
      <c r="DC106" s="160"/>
      <c r="DD106" s="190" t="s">
        <v>134</v>
      </c>
      <c r="DE106" s="62">
        <v>1.04</v>
      </c>
      <c r="DF106" s="62">
        <v>0.97</v>
      </c>
      <c r="DG106" s="62">
        <v>1.03</v>
      </c>
      <c r="DH106" s="150"/>
      <c r="DI106" s="62">
        <f t="shared" si="39"/>
        <v>2.0374426801584842</v>
      </c>
      <c r="DJ106" s="47">
        <f t="shared" si="17"/>
        <v>13.294797687861271</v>
      </c>
      <c r="DK106" s="48">
        <f t="shared" si="876"/>
        <v>0</v>
      </c>
      <c r="DM106" s="107">
        <f t="shared" si="643"/>
        <v>1.2197508684046636</v>
      </c>
      <c r="DN106" s="141" t="str">
        <f t="shared" si="877"/>
        <v>-</v>
      </c>
      <c r="DO106" s="107">
        <f t="shared" si="878"/>
        <v>5.2366929847351358</v>
      </c>
      <c r="DP106" s="133">
        <f>IF(SeilBeregnet=0,DP104,(SeilBeregnet^0.5/(Depl^0.3333))^DP$3*DP$7)</f>
        <v>3.3080975062896121</v>
      </c>
      <c r="DQ106" s="133">
        <f>IF(SeilBeregnet=0,DQ104,(SeilBeregnet^0.5/Lwl)^DQ$3*DQ$7)</f>
        <v>0</v>
      </c>
      <c r="DR106" s="133">
        <f>IF(SeilBeregnet=0,DR104,(0.1*Loa/Depl^0.3333)^DR$3*DR$7)</f>
        <v>0</v>
      </c>
      <c r="DS106" s="133">
        <f>IF(SeilBeregnet=0,DS104,((Loa)/Bredde)^DS$3*DS$7)</f>
        <v>1.9285954784455239</v>
      </c>
      <c r="DT106" s="107">
        <f>IF(SeilBeregnet=0,DT104,(Lwl)^DT$3)</f>
        <v>1.878418417945126</v>
      </c>
      <c r="DU106" s="133">
        <f>IF(SeilBeregnet=0,DU104,(Dypg/Loa)^DU$3*5*DU$7)</f>
        <v>2.0038371012863347</v>
      </c>
      <c r="DW106" s="107">
        <f t="shared" si="769"/>
        <v>1.298567496689808</v>
      </c>
      <c r="DX106" s="107">
        <f t="shared" si="40"/>
        <v>1.2183803901027348</v>
      </c>
      <c r="DZ106" s="107">
        <f t="shared" si="41"/>
        <v>1.2214358888670649</v>
      </c>
      <c r="EA106" s="122" t="str">
        <f t="shared" si="879"/>
        <v>-</v>
      </c>
      <c r="EB106" s="107">
        <f t="shared" si="880"/>
        <v>1.2476808427531063</v>
      </c>
      <c r="EC106" s="122" t="str">
        <f t="shared" si="881"/>
        <v>-</v>
      </c>
      <c r="ED106" s="107">
        <f>IF(SeilBeregnet=0,ED104,SeilBeregnet^0.5/Depl^0.33333)</f>
        <v>3.3077863453065919</v>
      </c>
      <c r="EE106" s="107">
        <f>IF(SeilBeregnet=0,EE104,Lwl^0.3333)</f>
        <v>2.317501078004538</v>
      </c>
      <c r="EF106" s="107">
        <f>IF(SeilBeregnet=0,EF104,((Loa+Lwl)/Bredde)^EF$3)</f>
        <v>1.6238537419499199</v>
      </c>
      <c r="EH106" s="107">
        <f t="shared" si="882"/>
        <v>1.2424850548871302</v>
      </c>
      <c r="EJ106" s="107">
        <f>IF(SeilBeregnet=0,EJ104,SeilBeregnet^0.5/Depl^0.33333)</f>
        <v>3.3077863453065919</v>
      </c>
      <c r="EK106" s="107">
        <f>IF(SeilBeregnet=0,EK104,Lwl^EK$3)</f>
        <v>2.3176764073442899</v>
      </c>
      <c r="EL106" s="107">
        <f>IF(SeilBeregnet=0,EL104,((Loa+Lwl)/Bredde)^EL$3)</f>
        <v>1.9085394483088816</v>
      </c>
      <c r="EM106" s="107">
        <f t="shared" si="883"/>
        <v>1.2341548961992959</v>
      </c>
      <c r="EO106" s="107">
        <f>IF(SeilBeregnet=0,EO104,(EP106*EQ106)^EO$3)</f>
        <v>5.371361234396959</v>
      </c>
      <c r="EP106" s="107">
        <f>IF(SeilBeregnet=0,EP104,SeilBeregnet^0.5/Depl^0.33333)</f>
        <v>3.3077863453065919</v>
      </c>
      <c r="EQ106" s="107">
        <f>IF(SeilBeregnet=0,EQ104,((Loa+Lwl)/Bredde)^EQ$3)</f>
        <v>1.6238537419499199</v>
      </c>
      <c r="ER106" s="107">
        <f>IF(SeilBeregnet=0,ER104,Lwl^ER$3)</f>
        <v>1.878418417945126</v>
      </c>
      <c r="ES106" s="107">
        <f t="shared" si="654"/>
        <v>1.236028886134382</v>
      </c>
      <c r="EU106" s="107">
        <f>IF(SeilBeregnet=0,EU104,(EV:EV*EW:EW)^EU$3)</f>
        <v>1.8525642286122455</v>
      </c>
      <c r="EV106" s="107">
        <f>IF(SeilBeregnet=0,EV104,SeilBeregnet^0.5/Depl^0.33333)</f>
        <v>3.3077863453065919</v>
      </c>
      <c r="EW106" s="107">
        <f>IF(SeilBeregnet=0,EW104,((Loa+Lwl)/Bredde/6)^EW$3)</f>
        <v>1.0375501507234075</v>
      </c>
      <c r="EX106" s="107">
        <f>IF(SeilBeregnet=0,EX104,(Lwl*0.7+Loa*0.3)^EX$3)</f>
        <v>1.8992304700730467</v>
      </c>
      <c r="EY106" s="107">
        <f t="shared" si="658"/>
        <v>1.1831385056464019</v>
      </c>
      <c r="FA106" s="107">
        <f t="shared" ref="FA106:FA136" si="941">(FB:FB*FC:FC)^FA$3</f>
        <v>1.8526513612276099</v>
      </c>
      <c r="FB106" s="107">
        <f>IF(SeilBeregnet=0,FB104,SeilBeregnet^0.5/Depl^0.3333)</f>
        <v>3.3080975062896121</v>
      </c>
      <c r="FC106" s="107">
        <f>IF(SeilBeregnet=0,FC104,((Loa+Lwl)/Bredde/6)^FC$3)</f>
        <v>1.0375501507234075</v>
      </c>
      <c r="FD106" s="107">
        <f>IF(SeilBeregnet=0,FD104,(Lwl*0.7+Loa*0.3)^FD$3)</f>
        <v>1.8992304700730467</v>
      </c>
      <c r="FE106" s="107">
        <f t="shared" si="662"/>
        <v>1.2472846083240305</v>
      </c>
      <c r="FF106" s="141" t="str">
        <f t="shared" si="884"/>
        <v>-</v>
      </c>
      <c r="FG106" s="107">
        <f t="shared" ref="FG106:FG136" si="942">(FH:FH*FI:FI)^FG$3</f>
        <v>3.5612010894270463</v>
      </c>
      <c r="FH106" s="133">
        <f>IF(SeilBeregnet=0,FH104,(SeilBeregnet^0.5/(Depl^0.3333))^FH$3)</f>
        <v>3.3080975062896121</v>
      </c>
      <c r="FI106" s="133">
        <f>IF(SeilBeregnet=0,FI104,((Loa+Lwl)/Bredde/6)^FI$3)</f>
        <v>1.0765103152661655</v>
      </c>
      <c r="FJ106" s="107">
        <f>IF(SeilBeregnet=0,FJ104,(Lwl*0.07+Loa*0.03)^FJ$3)</f>
        <v>1.0680157793827667</v>
      </c>
      <c r="FK106" s="107">
        <f t="shared" si="666"/>
        <v>1.2276946593468809</v>
      </c>
      <c r="FL106" s="141" t="str">
        <f t="shared" si="885"/>
        <v>-</v>
      </c>
      <c r="FM106" s="107">
        <f t="shared" ref="FM106:FM136" si="943">(FN:FN+FO:FO+FP:FP)^FM$3+FM$7</f>
        <v>5.4922597354731026</v>
      </c>
      <c r="FN106" s="133">
        <f>IF(SeilBeregnet=0,FN104,(SeilBeregnet^0.5/(Depl^0.3333))^FN$3)</f>
        <v>3.3080975062896121</v>
      </c>
      <c r="FO106" s="133">
        <f>IF(SeilBeregnet=0,FO104,(SeilBeregnet^0.5/Lwl*FO$7)^FO$3)</f>
        <v>0.75556675073796675</v>
      </c>
      <c r="FP106" s="133">
        <f>IF(SeilBeregnet=0,FP104,((Loa)/Bredde)^FP$3*FP$7)</f>
        <v>1.9285954784455239</v>
      </c>
      <c r="FQ106" s="107">
        <f>IF(SeilBeregnet=0,FQ104,(Lwl)^FQ$3)</f>
        <v>1.878418417945126</v>
      </c>
      <c r="FR106" s="107">
        <f t="shared" si="671"/>
        <v>1.2478687465943017</v>
      </c>
      <c r="FS106" s="141" t="str">
        <f t="shared" si="886"/>
        <v>-</v>
      </c>
      <c r="FT106" s="107">
        <f t="shared" ref="FT106:FT136" si="944">(FU:FU*FV:FV)^FT$3</f>
        <v>6.3799818928870593</v>
      </c>
      <c r="FU106" s="133">
        <f>IF(SeilBeregnet=0,FU104,(SeilBeregnet^0.5/(Depl^0.3333))^FU$3)</f>
        <v>3.3080975062896121</v>
      </c>
      <c r="FV106" s="133">
        <f>IF(SeilBeregnet=0,FV104,(Loa/Bredde)^FV$3)</f>
        <v>1.9285954784455239</v>
      </c>
      <c r="FW106" s="107">
        <f>IF(SeilBeregnet=0,FW104,Lwl^FW$3)</f>
        <v>1.878418417945126</v>
      </c>
      <c r="FY106">
        <v>0.95</v>
      </c>
      <c r="FZ106" s="62">
        <f t="shared" si="711"/>
        <v>1.2084257053298515</v>
      </c>
      <c r="GA106" s="62">
        <f t="shared" si="712"/>
        <v>2.0038371012863347</v>
      </c>
      <c r="GB106" s="107">
        <f t="shared" si="798"/>
        <v>1.2708333347823122</v>
      </c>
      <c r="GC106" s="440"/>
      <c r="GD106" s="17"/>
      <c r="GE106" s="442"/>
      <c r="GF106" s="462"/>
      <c r="GG106" s="17"/>
      <c r="GH106" s="17"/>
      <c r="GI106" s="17"/>
      <c r="GJ106" s="17"/>
      <c r="GL106" s="17"/>
      <c r="GM106" s="442"/>
      <c r="GN106" s="8"/>
      <c r="GO106" s="8"/>
      <c r="GP106" s="8"/>
      <c r="GQ106" s="8"/>
      <c r="GS106" s="17"/>
      <c r="GT106" s="17"/>
      <c r="GU106" s="17"/>
      <c r="GV106" s="629"/>
      <c r="GW106" s="17"/>
      <c r="GX106" s="17"/>
      <c r="GY106" s="17"/>
      <c r="GZ106" s="17"/>
    </row>
    <row r="107" spans="1:208" ht="15.6" x14ac:dyDescent="0.3">
      <c r="A107" s="60" t="s">
        <v>33</v>
      </c>
      <c r="B107" s="218"/>
      <c r="C107" s="61" t="str">
        <f t="shared" si="915"/>
        <v>Gaffel</v>
      </c>
      <c r="D107" s="61"/>
      <c r="E107" s="61"/>
      <c r="F107" s="61"/>
      <c r="G107" s="54"/>
      <c r="H107" s="204">
        <f t="shared" si="887"/>
        <v>131</v>
      </c>
      <c r="I107" s="63">
        <f t="shared" si="888"/>
        <v>2</v>
      </c>
      <c r="J107" s="222">
        <f t="shared" si="889"/>
        <v>113.7</v>
      </c>
      <c r="K107" s="116">
        <f t="shared" si="890"/>
        <v>1.3014981842020825</v>
      </c>
      <c r="L107" s="116">
        <f t="shared" si="891"/>
        <v>1.1130091524364272</v>
      </c>
      <c r="M107" s="92">
        <f t="shared" si="892"/>
        <v>0.84696569920844333</v>
      </c>
      <c r="N107" s="242">
        <f t="shared" si="893"/>
        <v>1.0285949928485048</v>
      </c>
      <c r="O107" s="143"/>
      <c r="P107" s="143"/>
      <c r="Q107" s="143"/>
      <c r="R107" s="143"/>
      <c r="S107" s="143"/>
      <c r="T107" s="143"/>
      <c r="U107" s="143">
        <f t="shared" ref="U107" si="945">U106</f>
        <v>26.7</v>
      </c>
      <c r="V107" s="143"/>
      <c r="W107" s="143"/>
      <c r="X107" s="143">
        <f>X101</f>
        <v>87</v>
      </c>
      <c r="Y107" s="143"/>
      <c r="Z107" s="143"/>
      <c r="AA107" s="143"/>
      <c r="AB107" s="143"/>
      <c r="AC107" s="143"/>
      <c r="AD107" s="143"/>
      <c r="AE107" s="143"/>
      <c r="AF107" s="143"/>
      <c r="AG107" s="551"/>
      <c r="AH107" s="557"/>
      <c r="AI107" s="557">
        <f t="shared" si="917"/>
        <v>15.6</v>
      </c>
      <c r="AJ107" s="337">
        <f t="shared" si="925"/>
        <v>0</v>
      </c>
      <c r="AK107" s="339"/>
      <c r="AL107" s="337">
        <f t="shared" si="925"/>
        <v>0</v>
      </c>
      <c r="AM107" s="339"/>
      <c r="AN107" s="267" t="str">
        <f t="shared" ref="AN107" si="946" xml:space="preserve"> AN106</f>
        <v>Lystb</v>
      </c>
      <c r="AO107" s="45">
        <f>VLOOKUP(AN107,Skrogform!$1:$1048576,3,FALSE)</f>
        <v>0.98</v>
      </c>
      <c r="AP107" s="64">
        <f t="shared" si="920"/>
        <v>14.32</v>
      </c>
      <c r="AQ107" s="64">
        <f t="shared" si="920"/>
        <v>12.45</v>
      </c>
      <c r="AR107" s="64">
        <f t="shared" si="920"/>
        <v>3.85</v>
      </c>
      <c r="AS107" s="64">
        <f t="shared" si="920"/>
        <v>2.2999999999999998</v>
      </c>
      <c r="AT107" s="64">
        <f t="shared" ref="AT107" si="947">AT106</f>
        <v>23</v>
      </c>
      <c r="AU107" s="64">
        <f t="shared" si="920"/>
        <v>23</v>
      </c>
      <c r="AV107" s="64">
        <f t="shared" si="920"/>
        <v>7</v>
      </c>
      <c r="AW107" s="64">
        <f t="shared" si="920"/>
        <v>2.5</v>
      </c>
      <c r="AX107" s="256">
        <f t="shared" si="899"/>
        <v>0</v>
      </c>
      <c r="AY107" s="256">
        <f t="shared" si="920"/>
        <v>85</v>
      </c>
      <c r="AZ107" s="256">
        <f t="shared" si="920"/>
        <v>250</v>
      </c>
      <c r="BA107" s="256">
        <f t="shared" ref="BA107:BB107" si="948">BA106</f>
        <v>0</v>
      </c>
      <c r="BB107" s="256">
        <f t="shared" si="948"/>
        <v>0</v>
      </c>
      <c r="BC107" s="256"/>
      <c r="BD107" s="66"/>
      <c r="BE107" s="66"/>
      <c r="BF107" s="261"/>
      <c r="BG107" s="66"/>
      <c r="BH107" s="175"/>
      <c r="BI107" s="66"/>
      <c r="BJ107" s="66"/>
      <c r="BK107" s="65" t="str">
        <f t="shared" ref="BK107:BM107" si="949" xml:space="preserve"> BK106</f>
        <v>Seilrett</v>
      </c>
      <c r="BL107" s="267">
        <f t="shared" si="949"/>
        <v>4</v>
      </c>
      <c r="BM107" s="267">
        <f t="shared" si="949"/>
        <v>53</v>
      </c>
      <c r="BN107" s="45">
        <f t="shared" si="788"/>
        <v>1</v>
      </c>
      <c r="BO107" s="59"/>
      <c r="BP107" s="59"/>
      <c r="BR107" s="49">
        <f t="shared" si="902"/>
        <v>0</v>
      </c>
      <c r="BS107" s="49">
        <f t="shared" si="902"/>
        <v>0</v>
      </c>
      <c r="BT107" s="49">
        <f t="shared" si="902"/>
        <v>0</v>
      </c>
      <c r="BU107" s="49">
        <f t="shared" si="902"/>
        <v>0</v>
      </c>
      <c r="BV107" s="49">
        <f t="shared" si="902"/>
        <v>0</v>
      </c>
      <c r="BW107" s="49">
        <f t="shared" si="902"/>
        <v>0</v>
      </c>
      <c r="BX107" s="49">
        <f t="shared" si="902"/>
        <v>26.7</v>
      </c>
      <c r="BY107" s="549">
        <f t="shared" si="903"/>
        <v>0</v>
      </c>
      <c r="BZ107" s="85">
        <f t="shared" si="904"/>
        <v>0</v>
      </c>
      <c r="CA107" s="85">
        <f t="shared" si="904"/>
        <v>0</v>
      </c>
      <c r="CB107" s="85">
        <f t="shared" si="904"/>
        <v>69.600000000000009</v>
      </c>
      <c r="CC107" s="85">
        <f t="shared" si="904"/>
        <v>0</v>
      </c>
      <c r="CD107" s="85">
        <f t="shared" si="904"/>
        <v>0</v>
      </c>
      <c r="CE107" s="85">
        <f t="shared" si="905"/>
        <v>0</v>
      </c>
      <c r="CF107" s="85">
        <f t="shared" si="906"/>
        <v>0</v>
      </c>
      <c r="CG107" s="85">
        <f t="shared" si="906"/>
        <v>0</v>
      </c>
      <c r="CH107" s="85">
        <f t="shared" si="907"/>
        <v>0</v>
      </c>
      <c r="CI107" s="85">
        <f t="shared" si="907"/>
        <v>0</v>
      </c>
      <c r="CJ107" s="85">
        <f t="shared" si="907"/>
        <v>0</v>
      </c>
      <c r="CK107" s="85">
        <f t="shared" si="907"/>
        <v>0</v>
      </c>
      <c r="CL107" s="100">
        <f t="shared" si="908"/>
        <v>96.300000000000011</v>
      </c>
      <c r="CM107" s="50"/>
      <c r="CN107" s="104">
        <f t="shared" si="909"/>
        <v>113.7</v>
      </c>
      <c r="CO107" s="101">
        <f t="shared" si="910"/>
        <v>0.84696569920844333</v>
      </c>
      <c r="CP107" s="51">
        <f t="shared" si="911"/>
        <v>0.73353655586200228</v>
      </c>
      <c r="CQ107" s="116">
        <f t="shared" si="912"/>
        <v>1.3014981842020825</v>
      </c>
      <c r="CR107" s="51">
        <f t="shared" si="913"/>
        <v>1.1130091524364272</v>
      </c>
      <c r="CS107" s="204"/>
      <c r="CT107" s="204">
        <f t="shared" si="914"/>
        <v>131</v>
      </c>
      <c r="CU107" s="107">
        <f t="shared" si="36"/>
        <v>1.3080802106190346</v>
      </c>
      <c r="CV107" s="62">
        <f t="shared" si="789"/>
        <v>3.5391167354841815</v>
      </c>
      <c r="CW107" s="62">
        <f t="shared" si="14"/>
        <v>1.8645705609129886</v>
      </c>
      <c r="CX107" s="62">
        <f t="shared" si="790"/>
        <v>1.878418417945126</v>
      </c>
      <c r="CY107" s="107">
        <f t="shared" si="16"/>
        <v>1.0285949928485048</v>
      </c>
      <c r="CZ107" s="168" t="str">
        <f t="shared" si="874"/>
        <v>-</v>
      </c>
      <c r="DA107" s="158"/>
      <c r="DB107" s="168" t="str">
        <f t="shared" si="875"/>
        <v>-</v>
      </c>
      <c r="DC107" s="160"/>
      <c r="DD107" s="190" t="s">
        <v>134</v>
      </c>
      <c r="DE107" s="62">
        <v>1</v>
      </c>
      <c r="DF107" s="62">
        <v>0.94</v>
      </c>
      <c r="DG107" s="62">
        <v>1</v>
      </c>
      <c r="DH107" s="150"/>
      <c r="DI107" s="62">
        <f t="shared" si="39"/>
        <v>2.0374426801584842</v>
      </c>
      <c r="DJ107" s="47">
        <f t="shared" si="17"/>
        <v>13.294797687861271</v>
      </c>
      <c r="DK107" s="48">
        <f t="shared" si="876"/>
        <v>0</v>
      </c>
      <c r="DM107" s="107">
        <f t="shared" ref="DM107:DM136" si="950">IF(SeilBeregnet=0,"-",DM$7*(DO:DO+DM$6)*DT:DT*PropF+ErfaringsF+Dyp_F)</f>
        <v>1.2530442245758231</v>
      </c>
      <c r="DN107" s="141" t="str">
        <f t="shared" si="877"/>
        <v>-</v>
      </c>
      <c r="DO107" s="107">
        <f t="shared" si="878"/>
        <v>5.3796296197611317</v>
      </c>
      <c r="DP107" s="133">
        <f>IF(SeilBeregnet=0,DP106,(SeilBeregnet^0.5/(Depl^0.3333))^DP$3*DP$7)</f>
        <v>3.4510341413156076</v>
      </c>
      <c r="DQ107" s="133">
        <f>IF(SeilBeregnet=0,DQ106,(SeilBeregnet^0.5/Lwl)^DQ$3*DQ$7)</f>
        <v>0</v>
      </c>
      <c r="DR107" s="133">
        <f>IF(SeilBeregnet=0,DR106,(0.1*Loa/Depl^0.3333)^DR$3*DR$7)</f>
        <v>0</v>
      </c>
      <c r="DS107" s="133">
        <f>IF(SeilBeregnet=0,DS106,((Loa)/Bredde)^DS$3*DS$7)</f>
        <v>1.9285954784455239</v>
      </c>
      <c r="DT107" s="107">
        <f>IF(SeilBeregnet=0,DT106,(Lwl)^DT$3)</f>
        <v>1.878418417945126</v>
      </c>
      <c r="DU107" s="133">
        <f>IF(SeilBeregnet=0,DU106,(Dypg/Loa)^DU$3*5*DU$7)</f>
        <v>2.0038371012863347</v>
      </c>
      <c r="DW107" s="107">
        <f t="shared" si="769"/>
        <v>1.334775725121464</v>
      </c>
      <c r="DX107" s="107">
        <f t="shared" si="40"/>
        <v>1.2604701722028355</v>
      </c>
      <c r="DZ107" s="107">
        <f t="shared" si="41"/>
        <v>1.2563438244343306</v>
      </c>
      <c r="EA107" s="122" t="str">
        <f t="shared" si="879"/>
        <v>-</v>
      </c>
      <c r="EB107" s="107">
        <f t="shared" si="880"/>
        <v>1.2894974200583851</v>
      </c>
      <c r="EC107" s="122" t="str">
        <f t="shared" si="881"/>
        <v>-</v>
      </c>
      <c r="ED107" s="107">
        <f>IF(SeilBeregnet=0,ED106,SeilBeregnet^0.5/Depl^0.33333)</f>
        <v>3.4507095356551614</v>
      </c>
      <c r="EE107" s="107">
        <f>IF(SeilBeregnet=0,EE106,Lwl^0.3333)</f>
        <v>2.317501078004538</v>
      </c>
      <c r="EF107" s="107">
        <f>IF(SeilBeregnet=0,EF106,((Loa+Lwl)/Bredde)^EF$3)</f>
        <v>1.6238537419499199</v>
      </c>
      <c r="EH107" s="107">
        <f t="shared" si="882"/>
        <v>1.2805578894232328</v>
      </c>
      <c r="EJ107" s="107">
        <f>IF(SeilBeregnet=0,EJ106,SeilBeregnet^0.5/Depl^0.33333)</f>
        <v>3.4507095356551614</v>
      </c>
      <c r="EK107" s="107">
        <f>IF(SeilBeregnet=0,EK106,Lwl^EK$3)</f>
        <v>2.3176764073442899</v>
      </c>
      <c r="EL107" s="107">
        <f>IF(SeilBeregnet=0,EL106,((Loa+Lwl)/Bredde)^EL$3)</f>
        <v>1.9085394483088816</v>
      </c>
      <c r="EM107" s="107">
        <f t="shared" si="883"/>
        <v>1.2730121038833324</v>
      </c>
      <c r="EO107" s="107">
        <f>IF(SeilBeregnet=0,EO106,(EP107*EQ107)^EO$3)</f>
        <v>5.6034475918559048</v>
      </c>
      <c r="EP107" s="107">
        <f>IF(SeilBeregnet=0,EP106,SeilBeregnet^0.5/Depl^0.33333)</f>
        <v>3.4507095356551614</v>
      </c>
      <c r="EQ107" s="107">
        <f>IF(SeilBeregnet=0,EQ106,((Loa+Lwl)/Bredde)^EQ$3)</f>
        <v>1.6238537419499199</v>
      </c>
      <c r="ER107" s="107">
        <f>IF(SeilBeregnet=0,ER106,Lwl^ER$3)</f>
        <v>1.878418417945126</v>
      </c>
      <c r="ES107" s="107">
        <f t="shared" ref="ES107:ES136" si="951">IF(SeilBeregnet=0,"-",ES$7*(ES$4*EU:EU+ES$6)*EX:EX*PropF+ErfaringsF+Dyp_F)</f>
        <v>1.2722166902373662</v>
      </c>
      <c r="EU107" s="107">
        <f>IF(SeilBeregnet=0,EU106,(EV:EV*EW:EW)^EU$3)</f>
        <v>1.8921638932242926</v>
      </c>
      <c r="EV107" s="107">
        <f>IF(SeilBeregnet=0,EV106,SeilBeregnet^0.5/Depl^0.33333)</f>
        <v>3.4507095356551614</v>
      </c>
      <c r="EW107" s="107">
        <f>IF(SeilBeregnet=0,EW106,((Loa+Lwl)/Bredde/6)^EW$3)</f>
        <v>1.0375501507234075</v>
      </c>
      <c r="EX107" s="107">
        <f>IF(SeilBeregnet=0,EX106,(Lwl*0.7+Loa*0.3)^EX$3)</f>
        <v>1.8992304700730467</v>
      </c>
      <c r="EY107" s="107">
        <f t="shared" ref="EY107:EY136" si="952">IF(SeilBeregnet=0,"-",EY$7*(FA:FA+EY$6)*FD:FD*PropF+ErfaringsF+Dyp_F)</f>
        <v>1.2084287964172069</v>
      </c>
      <c r="FA107" s="107">
        <f t="shared" si="941"/>
        <v>1.8922528883512462</v>
      </c>
      <c r="FB107" s="107">
        <f>IF(SeilBeregnet=0,FB106,SeilBeregnet^0.5/Depl^0.3333)</f>
        <v>3.4510341413156076</v>
      </c>
      <c r="FC107" s="107">
        <f>IF(SeilBeregnet=0,FC106,((Loa+Lwl)/Bredde/6)^FC$3)</f>
        <v>1.0375501507234075</v>
      </c>
      <c r="FD107" s="107">
        <f>IF(SeilBeregnet=0,FD106,(Lwl*0.7+Loa*0.3)^FD$3)</f>
        <v>1.8992304700730467</v>
      </c>
      <c r="FE107" s="107">
        <f t="shared" ref="FE107:FE136" si="953">IF(SeilBeregnet=0,"-",FE$7*(FG:FG+FE$6)*FJ:FJ*PropF+ErfaringsF+Dyp_F)</f>
        <v>1.2817957012768364</v>
      </c>
      <c r="FF107" s="141" t="str">
        <f t="shared" si="884"/>
        <v>-</v>
      </c>
      <c r="FG107" s="107">
        <f t="shared" si="942"/>
        <v>3.7150738514619652</v>
      </c>
      <c r="FH107" s="133">
        <f>IF(SeilBeregnet=0,FH106,(SeilBeregnet^0.5/(Depl^0.3333))^FH$3)</f>
        <v>3.4510341413156076</v>
      </c>
      <c r="FI107" s="133">
        <f>IF(SeilBeregnet=0,FI106,((Loa+Lwl)/Bredde/6)^FI$3)</f>
        <v>1.0765103152661655</v>
      </c>
      <c r="FJ107" s="107">
        <f>IF(SeilBeregnet=0,FJ106,(Lwl*0.07+Loa*0.03)^FJ$3)</f>
        <v>1.0680157793827667</v>
      </c>
      <c r="FK107" s="107">
        <f t="shared" ref="FK107:FK136" si="954">IF(SeilBeregnet=0,"-",FK$7*(FM:FM+FK$6)*FQ:FQ*PropF+ErfaringsF+Dyp_F)</f>
        <v>1.2669430966899311</v>
      </c>
      <c r="FL107" s="141" t="str">
        <f t="shared" si="885"/>
        <v>-</v>
      </c>
      <c r="FM107" s="107">
        <f t="shared" si="943"/>
        <v>5.6678429804260047</v>
      </c>
      <c r="FN107" s="133">
        <f>IF(SeilBeregnet=0,FN106,(SeilBeregnet^0.5/(Depl^0.3333))^FN$3)</f>
        <v>3.4510341413156076</v>
      </c>
      <c r="FO107" s="133">
        <f>IF(SeilBeregnet=0,FO106,(SeilBeregnet^0.5/Lwl*FO$7)^FO$3)</f>
        <v>0.78821336066487357</v>
      </c>
      <c r="FP107" s="133">
        <f>IF(SeilBeregnet=0,FP106,((Loa)/Bredde)^FP$3*FP$7)</f>
        <v>1.9285954784455239</v>
      </c>
      <c r="FQ107" s="107">
        <f>IF(SeilBeregnet=0,FQ106,(Lwl)^FQ$3)</f>
        <v>1.878418417945126</v>
      </c>
      <c r="FR107" s="107">
        <f t="shared" ref="FR107:FR136" si="955">IF(SeilBeregnet=0,"-",FR$7*(FT:FT+FR$6)*FW:FW*PropF+ErfaringsF+Dyp_F)</f>
        <v>1.2810090904260303</v>
      </c>
      <c r="FS107" s="141" t="str">
        <f t="shared" si="886"/>
        <v>-</v>
      </c>
      <c r="FT107" s="107">
        <f t="shared" si="944"/>
        <v>6.6556488409024119</v>
      </c>
      <c r="FU107" s="133">
        <f>IF(SeilBeregnet=0,FU106,(SeilBeregnet^0.5/(Depl^0.3333))^FU$3)</f>
        <v>3.4510341413156076</v>
      </c>
      <c r="FV107" s="133">
        <f>IF(SeilBeregnet=0,FV106,(Loa/Bredde)^FV$3)</f>
        <v>1.9285954784455239</v>
      </c>
      <c r="FW107" s="107">
        <f>IF(SeilBeregnet=0,FW106,Lwl^FW$3)</f>
        <v>1.878418417945126</v>
      </c>
      <c r="FY107">
        <v>0.95</v>
      </c>
      <c r="FZ107" s="62">
        <f t="shared" si="711"/>
        <v>1.2322801051018282</v>
      </c>
      <c r="GA107" s="62">
        <f t="shared" si="712"/>
        <v>2.0038371012863347</v>
      </c>
      <c r="GB107" s="107">
        <f t="shared" si="798"/>
        <v>1.2888793019501201</v>
      </c>
      <c r="GC107" s="440"/>
      <c r="GD107" s="17"/>
      <c r="GE107" s="442"/>
      <c r="GF107" s="462"/>
      <c r="GG107" s="17"/>
      <c r="GH107" s="17"/>
      <c r="GI107" s="17"/>
      <c r="GJ107" s="17"/>
      <c r="GL107" s="17"/>
      <c r="GM107" s="442"/>
      <c r="GN107" s="8"/>
      <c r="GO107" s="8"/>
      <c r="GP107" s="8"/>
      <c r="GQ107" s="8"/>
      <c r="GS107" s="17"/>
      <c r="GT107" s="17"/>
      <c r="GU107" s="17"/>
      <c r="GV107" s="629"/>
      <c r="GW107" s="17"/>
      <c r="GX107" s="17"/>
      <c r="GY107" s="17"/>
      <c r="GZ107" s="17"/>
    </row>
    <row r="108" spans="1:208" ht="15.6" x14ac:dyDescent="0.3">
      <c r="A108" s="60" t="s">
        <v>35</v>
      </c>
      <c r="B108" s="218"/>
      <c r="C108" s="61" t="str">
        <f t="shared" si="915"/>
        <v>Gaffel</v>
      </c>
      <c r="D108" s="61"/>
      <c r="E108" s="61"/>
      <c r="F108" s="61"/>
      <c r="G108" s="54"/>
      <c r="H108" s="204">
        <f t="shared" si="887"/>
        <v>123.49999999999999</v>
      </c>
      <c r="I108" s="63">
        <f t="shared" si="888"/>
        <v>2</v>
      </c>
      <c r="J108" s="222">
        <f t="shared" si="889"/>
        <v>96.3</v>
      </c>
      <c r="K108" s="116">
        <f t="shared" si="890"/>
        <v>1.1023243196012362</v>
      </c>
      <c r="L108" s="116">
        <f t="shared" si="891"/>
        <v>0.94268057501871549</v>
      </c>
      <c r="M108" s="92">
        <f t="shared" si="892"/>
        <v>0.84099688473520251</v>
      </c>
      <c r="N108" s="242">
        <f t="shared" si="893"/>
        <v>1.0285949928485048</v>
      </c>
      <c r="O108" s="143"/>
      <c r="P108" s="143"/>
      <c r="Q108" s="143"/>
      <c r="R108" s="143"/>
      <c r="S108" s="143"/>
      <c r="T108" s="143"/>
      <c r="U108" s="143">
        <f t="shared" ref="U108" si="956">U107</f>
        <v>26.7</v>
      </c>
      <c r="V108" s="143"/>
      <c r="W108" s="143"/>
      <c r="X108" s="143"/>
      <c r="Y108" s="177">
        <f>Y101</f>
        <v>69.599999999999994</v>
      </c>
      <c r="Z108" s="143"/>
      <c r="AA108" s="143"/>
      <c r="AB108" s="143"/>
      <c r="AC108" s="143"/>
      <c r="AD108" s="143"/>
      <c r="AE108" s="143"/>
      <c r="AF108" s="143"/>
      <c r="AG108" s="551"/>
      <c r="AH108" s="557"/>
      <c r="AI108" s="557">
        <f t="shared" si="917"/>
        <v>15.6</v>
      </c>
      <c r="AJ108" s="337">
        <f t="shared" si="925"/>
        <v>0</v>
      </c>
      <c r="AK108" s="339"/>
      <c r="AL108" s="337">
        <f t="shared" si="925"/>
        <v>0</v>
      </c>
      <c r="AM108" s="339"/>
      <c r="AN108" s="267" t="str">
        <f t="shared" ref="AN108" si="957" xml:space="preserve"> AN107</f>
        <v>Lystb</v>
      </c>
      <c r="AO108" s="45">
        <f>VLOOKUP(AN108,Skrogform!$1:$1048576,3,FALSE)</f>
        <v>0.98</v>
      </c>
      <c r="AP108" s="64">
        <f t="shared" si="920"/>
        <v>14.32</v>
      </c>
      <c r="AQ108" s="64">
        <f t="shared" si="920"/>
        <v>12.45</v>
      </c>
      <c r="AR108" s="64">
        <f t="shared" si="920"/>
        <v>3.85</v>
      </c>
      <c r="AS108" s="64">
        <f t="shared" si="920"/>
        <v>2.2999999999999998</v>
      </c>
      <c r="AT108" s="64">
        <f t="shared" ref="AT108" si="958">AT107</f>
        <v>23</v>
      </c>
      <c r="AU108" s="64">
        <f t="shared" si="920"/>
        <v>23</v>
      </c>
      <c r="AV108" s="64">
        <f t="shared" si="920"/>
        <v>7</v>
      </c>
      <c r="AW108" s="64">
        <f t="shared" si="920"/>
        <v>2.5</v>
      </c>
      <c r="AX108" s="256">
        <f t="shared" si="899"/>
        <v>0</v>
      </c>
      <c r="AY108" s="256">
        <f t="shared" si="920"/>
        <v>85</v>
      </c>
      <c r="AZ108" s="256">
        <f t="shared" si="920"/>
        <v>250</v>
      </c>
      <c r="BA108" s="256">
        <f t="shared" ref="BA108:BB108" si="959">BA107</f>
        <v>0</v>
      </c>
      <c r="BB108" s="256">
        <f t="shared" si="959"/>
        <v>0</v>
      </c>
      <c r="BC108" s="256"/>
      <c r="BD108" s="66"/>
      <c r="BE108" s="66"/>
      <c r="BF108" s="261"/>
      <c r="BG108" s="66"/>
      <c r="BH108" s="175"/>
      <c r="BI108" s="66"/>
      <c r="BJ108" s="66"/>
      <c r="BK108" s="65" t="str">
        <f t="shared" ref="BK108:BM108" si="960" xml:space="preserve"> BK107</f>
        <v>Seilrett</v>
      </c>
      <c r="BL108" s="267">
        <f t="shared" si="960"/>
        <v>4</v>
      </c>
      <c r="BM108" s="267">
        <f t="shared" si="960"/>
        <v>53</v>
      </c>
      <c r="BN108" s="45">
        <f t="shared" si="788"/>
        <v>1</v>
      </c>
      <c r="BO108" s="59"/>
      <c r="BP108" s="59"/>
      <c r="BR108" s="49">
        <f t="shared" si="902"/>
        <v>0</v>
      </c>
      <c r="BS108" s="49">
        <f t="shared" si="902"/>
        <v>0</v>
      </c>
      <c r="BT108" s="49">
        <f t="shared" si="902"/>
        <v>0</v>
      </c>
      <c r="BU108" s="49">
        <f t="shared" si="902"/>
        <v>0</v>
      </c>
      <c r="BV108" s="49">
        <f t="shared" si="902"/>
        <v>0</v>
      </c>
      <c r="BW108" s="49">
        <f t="shared" si="902"/>
        <v>0</v>
      </c>
      <c r="BX108" s="49">
        <f t="shared" si="902"/>
        <v>26.7</v>
      </c>
      <c r="BY108" s="549">
        <f t="shared" si="903"/>
        <v>0</v>
      </c>
      <c r="BZ108" s="85">
        <f t="shared" si="904"/>
        <v>0</v>
      </c>
      <c r="CA108" s="85">
        <f t="shared" si="904"/>
        <v>0</v>
      </c>
      <c r="CB108" s="85">
        <f t="shared" si="904"/>
        <v>0</v>
      </c>
      <c r="CC108" s="85">
        <f t="shared" si="904"/>
        <v>54.287999999999997</v>
      </c>
      <c r="CD108" s="85">
        <f t="shared" si="904"/>
        <v>0</v>
      </c>
      <c r="CE108" s="85">
        <f t="shared" si="905"/>
        <v>0</v>
      </c>
      <c r="CF108" s="85">
        <f t="shared" si="906"/>
        <v>0</v>
      </c>
      <c r="CG108" s="85">
        <f t="shared" si="906"/>
        <v>0</v>
      </c>
      <c r="CH108" s="85">
        <f t="shared" si="907"/>
        <v>0</v>
      </c>
      <c r="CI108" s="85">
        <f t="shared" si="907"/>
        <v>0</v>
      </c>
      <c r="CJ108" s="85">
        <f t="shared" si="907"/>
        <v>0</v>
      </c>
      <c r="CK108" s="85">
        <f t="shared" si="907"/>
        <v>0</v>
      </c>
      <c r="CL108" s="100">
        <f t="shared" si="908"/>
        <v>80.988</v>
      </c>
      <c r="CM108" s="50"/>
      <c r="CN108" s="104">
        <f t="shared" si="909"/>
        <v>96.3</v>
      </c>
      <c r="CO108" s="101">
        <f t="shared" si="910"/>
        <v>0.84099688473520251</v>
      </c>
      <c r="CP108" s="51">
        <f t="shared" si="911"/>
        <v>0.62128030193061412</v>
      </c>
      <c r="CQ108" s="116">
        <f t="shared" si="912"/>
        <v>1.1023243196012362</v>
      </c>
      <c r="CR108" s="51">
        <f t="shared" si="913"/>
        <v>0.94268057501871549</v>
      </c>
      <c r="CS108" s="204"/>
      <c r="CT108" s="204">
        <f t="shared" si="914"/>
        <v>123.49999999999999</v>
      </c>
      <c r="CU108" s="107">
        <f t="shared" si="36"/>
        <v>1.237022821093944</v>
      </c>
      <c r="CV108" s="62">
        <f t="shared" si="789"/>
        <v>3.2455782276963694</v>
      </c>
      <c r="CW108" s="62">
        <f t="shared" si="14"/>
        <v>1.8645705609129886</v>
      </c>
      <c r="CX108" s="62">
        <f t="shared" si="790"/>
        <v>1.878418417945126</v>
      </c>
      <c r="CY108" s="107">
        <f t="shared" si="16"/>
        <v>1.0285949928485048</v>
      </c>
      <c r="CZ108" s="168" t="str">
        <f t="shared" si="874"/>
        <v>-</v>
      </c>
      <c r="DA108" s="158"/>
      <c r="DB108" s="168" t="str">
        <f t="shared" si="875"/>
        <v>-</v>
      </c>
      <c r="DC108" s="160"/>
      <c r="DD108" s="190" t="s">
        <v>134</v>
      </c>
      <c r="DE108" s="62">
        <v>0.96</v>
      </c>
      <c r="DF108" s="62">
        <v>0.92</v>
      </c>
      <c r="DG108" s="62">
        <v>0.96</v>
      </c>
      <c r="DH108" s="150"/>
      <c r="DI108" s="62">
        <f t="shared" si="39"/>
        <v>2.0374426801584842</v>
      </c>
      <c r="DJ108" s="47">
        <f t="shared" si="17"/>
        <v>13.294797687861271</v>
      </c>
      <c r="DK108" s="48">
        <f t="shared" si="876"/>
        <v>0</v>
      </c>
      <c r="DM108" s="107">
        <f t="shared" si="950"/>
        <v>1.1863737612606859</v>
      </c>
      <c r="DN108" s="141" t="str">
        <f t="shared" si="877"/>
        <v>-</v>
      </c>
      <c r="DO108" s="107">
        <f t="shared" si="878"/>
        <v>5.0933967860120095</v>
      </c>
      <c r="DP108" s="133">
        <f>IF(SeilBeregnet=0,DP107,(SeilBeregnet^0.5/(Depl^0.3333))^DP$3*DP$7)</f>
        <v>3.1648013075664854</v>
      </c>
      <c r="DQ108" s="133">
        <f>IF(SeilBeregnet=0,DQ107,(SeilBeregnet^0.5/Lwl)^DQ$3*DQ$7)</f>
        <v>0</v>
      </c>
      <c r="DR108" s="133">
        <f>IF(SeilBeregnet=0,DR107,(0.1*Loa/Depl^0.3333)^DR$3*DR$7)</f>
        <v>0</v>
      </c>
      <c r="DS108" s="133">
        <f>IF(SeilBeregnet=0,DS107,((Loa)/Bredde)^DS$3*DS$7)</f>
        <v>1.9285954784455239</v>
      </c>
      <c r="DT108" s="107">
        <f>IF(SeilBeregnet=0,DT107,(Lwl)^DT$3)</f>
        <v>1.878418417945126</v>
      </c>
      <c r="DU108" s="133">
        <f>IF(SeilBeregnet=0,DU107,(Dypg/Loa)^DU$3*5*DU$7)</f>
        <v>2.0038371012863347</v>
      </c>
      <c r="DW108" s="107">
        <f t="shared" si="769"/>
        <v>1.2622681847897386</v>
      </c>
      <c r="DX108" s="107">
        <f t="shared" si="40"/>
        <v>1.1761847292147325</v>
      </c>
      <c r="DZ108" s="107">
        <f t="shared" si="41"/>
        <v>1.1864401407780509</v>
      </c>
      <c r="EA108" s="122" t="str">
        <f t="shared" si="879"/>
        <v>-</v>
      </c>
      <c r="EB108" s="107">
        <f t="shared" si="880"/>
        <v>1.2057590739191857</v>
      </c>
      <c r="EC108" s="122" t="str">
        <f t="shared" si="881"/>
        <v>-</v>
      </c>
      <c r="ED108" s="107">
        <f>IF(SeilBeregnet=0,ED107,SeilBeregnet^0.5/Depl^0.33333)</f>
        <v>3.164503625081597</v>
      </c>
      <c r="EE108" s="107">
        <f>IF(SeilBeregnet=0,EE107,Lwl^0.3333)</f>
        <v>2.317501078004538</v>
      </c>
      <c r="EF108" s="107">
        <f>IF(SeilBeregnet=0,EF107,((Loa+Lwl)/Bredde)^EF$3)</f>
        <v>1.6238537419499199</v>
      </c>
      <c r="EH108" s="107">
        <f t="shared" si="882"/>
        <v>1.20431644637997</v>
      </c>
      <c r="EJ108" s="107">
        <f>IF(SeilBeregnet=0,EJ107,SeilBeregnet^0.5/Depl^0.33333)</f>
        <v>3.164503625081597</v>
      </c>
      <c r="EK108" s="107">
        <f>IF(SeilBeregnet=0,EK107,Lwl^EK$3)</f>
        <v>2.3176764073442899</v>
      </c>
      <c r="EL108" s="107">
        <f>IF(SeilBeregnet=0,EL107,((Loa+Lwl)/Bredde)^EL$3)</f>
        <v>1.9085394483088816</v>
      </c>
      <c r="EM108" s="107">
        <f t="shared" si="883"/>
        <v>1.1951999414173755</v>
      </c>
      <c r="EO108" s="107">
        <f>IF(SeilBeregnet=0,EO107,(EP108*EQ108)^EO$3)</f>
        <v>5.1386910530028382</v>
      </c>
      <c r="EP108" s="107">
        <f>IF(SeilBeregnet=0,EP107,SeilBeregnet^0.5/Depl^0.33333)</f>
        <v>3.164503625081597</v>
      </c>
      <c r="EQ108" s="107">
        <f>IF(SeilBeregnet=0,EQ107,((Loa+Lwl)/Bredde)^EQ$3)</f>
        <v>1.6238537419499199</v>
      </c>
      <c r="ER108" s="107">
        <f>IF(SeilBeregnet=0,ER107,Lwl^ER$3)</f>
        <v>1.878418417945126</v>
      </c>
      <c r="ES108" s="107">
        <f t="shared" si="951"/>
        <v>1.1989563993528203</v>
      </c>
      <c r="EU108" s="107">
        <f>IF(SeilBeregnet=0,EU107,(EV:EV*EW:EW)^EU$3)</f>
        <v>1.8119964716213386</v>
      </c>
      <c r="EV108" s="107">
        <f>IF(SeilBeregnet=0,EV107,SeilBeregnet^0.5/Depl^0.33333)</f>
        <v>3.164503625081597</v>
      </c>
      <c r="EW108" s="107">
        <f>IF(SeilBeregnet=0,EW107,((Loa+Lwl)/Bredde/6)^EW$3)</f>
        <v>1.0375501507234075</v>
      </c>
      <c r="EX108" s="107">
        <f>IF(SeilBeregnet=0,EX107,(Lwl*0.7+Loa*0.3)^EX$3)</f>
        <v>1.8992304700730467</v>
      </c>
      <c r="EY108" s="107">
        <f t="shared" si="952"/>
        <v>1.1572299435343056</v>
      </c>
      <c r="FA108" s="107">
        <f t="shared" si="941"/>
        <v>1.8120816961923225</v>
      </c>
      <c r="FB108" s="107">
        <f>IF(SeilBeregnet=0,FB107,SeilBeregnet^0.5/Depl^0.3333)</f>
        <v>3.1648013075664854</v>
      </c>
      <c r="FC108" s="107">
        <f>IF(SeilBeregnet=0,FC107,((Loa+Lwl)/Bredde/6)^FC$3)</f>
        <v>1.0375501507234075</v>
      </c>
      <c r="FD108" s="107">
        <f>IF(SeilBeregnet=0,FD107,(Lwl*0.7+Loa*0.3)^FD$3)</f>
        <v>1.8992304700730467</v>
      </c>
      <c r="FE108" s="107">
        <f t="shared" si="953"/>
        <v>1.2126867011253748</v>
      </c>
      <c r="FF108" s="141" t="str">
        <f t="shared" si="884"/>
        <v>-</v>
      </c>
      <c r="FG108" s="107">
        <f t="shared" si="942"/>
        <v>3.4069412533631698</v>
      </c>
      <c r="FH108" s="133">
        <f>IF(SeilBeregnet=0,FH107,(SeilBeregnet^0.5/(Depl^0.3333))^FH$3)</f>
        <v>3.1648013075664854</v>
      </c>
      <c r="FI108" s="133">
        <f>IF(SeilBeregnet=0,FI107,((Loa+Lwl)/Bredde/6)^FI$3)</f>
        <v>1.0765103152661655</v>
      </c>
      <c r="FJ108" s="107">
        <f>IF(SeilBeregnet=0,FJ107,(Lwl*0.07+Loa*0.03)^FJ$3)</f>
        <v>1.0680157793827667</v>
      </c>
      <c r="FK108" s="107">
        <f t="shared" si="954"/>
        <v>1.188347490749698</v>
      </c>
      <c r="FL108" s="141" t="str">
        <f t="shared" si="885"/>
        <v>-</v>
      </c>
      <c r="FM108" s="107">
        <f t="shared" si="943"/>
        <v>5.3162348027702544</v>
      </c>
      <c r="FN108" s="133">
        <f>IF(SeilBeregnet=0,FN107,(SeilBeregnet^0.5/(Depl^0.3333))^FN$3)</f>
        <v>3.1648013075664854</v>
      </c>
      <c r="FO108" s="133">
        <f>IF(SeilBeregnet=0,FO107,(SeilBeregnet^0.5/Lwl*FO$7)^FO$3)</f>
        <v>0.72283801675824477</v>
      </c>
      <c r="FP108" s="133">
        <f>IF(SeilBeregnet=0,FP107,((Loa)/Bredde)^FP$3*FP$7)</f>
        <v>1.9285954784455239</v>
      </c>
      <c r="FQ108" s="107">
        <f>IF(SeilBeregnet=0,FQ107,(Lwl)^FQ$3)</f>
        <v>1.878418417945126</v>
      </c>
      <c r="FR108" s="107">
        <f t="shared" si="955"/>
        <v>1.2146450366993509</v>
      </c>
      <c r="FS108" s="141" t="str">
        <f t="shared" si="886"/>
        <v>-</v>
      </c>
      <c r="FT108" s="107">
        <f t="shared" si="944"/>
        <v>6.1036214919512055</v>
      </c>
      <c r="FU108" s="133">
        <f>IF(SeilBeregnet=0,FU107,(SeilBeregnet^0.5/(Depl^0.3333))^FU$3)</f>
        <v>3.1648013075664854</v>
      </c>
      <c r="FV108" s="133">
        <f>IF(SeilBeregnet=0,FV107,(Loa/Bredde)^FV$3)</f>
        <v>1.9285954784455239</v>
      </c>
      <c r="FW108" s="107">
        <f>IF(SeilBeregnet=0,FW107,Lwl^FW$3)</f>
        <v>1.878418417945126</v>
      </c>
      <c r="FY108">
        <v>0.95</v>
      </c>
      <c r="FZ108" s="62">
        <f t="shared" si="711"/>
        <v>1.1845112987151696</v>
      </c>
      <c r="GA108" s="62">
        <f t="shared" si="712"/>
        <v>2.0038371012863347</v>
      </c>
      <c r="GB108" s="107">
        <f t="shared" si="798"/>
        <v>1.2522123439162915</v>
      </c>
      <c r="GC108" s="440"/>
      <c r="GD108" s="17"/>
      <c r="GE108" s="442"/>
      <c r="GF108" s="462"/>
      <c r="GG108" s="17"/>
      <c r="GH108" s="17"/>
      <c r="GI108" s="17"/>
      <c r="GJ108" s="17"/>
      <c r="GL108" s="17"/>
      <c r="GM108" s="442"/>
      <c r="GN108" s="8"/>
      <c r="GO108" s="8"/>
      <c r="GP108" s="8"/>
      <c r="GQ108" s="8"/>
      <c r="GS108" s="17"/>
      <c r="GT108" s="17"/>
      <c r="GU108" s="17"/>
      <c r="GV108" s="629"/>
      <c r="GW108" s="17"/>
      <c r="GX108" s="17"/>
      <c r="GY108" s="17"/>
      <c r="GZ108" s="17"/>
    </row>
    <row r="109" spans="1:208" ht="15.6" x14ac:dyDescent="0.3">
      <c r="A109" s="60" t="s">
        <v>36</v>
      </c>
      <c r="B109" s="218"/>
      <c r="C109" s="61" t="str">
        <f t="shared" si="915"/>
        <v>Gaffel</v>
      </c>
      <c r="D109" s="61"/>
      <c r="E109" s="61"/>
      <c r="F109" s="61"/>
      <c r="G109" s="54"/>
      <c r="H109" s="204">
        <f t="shared" si="887"/>
        <v>117.00000000000001</v>
      </c>
      <c r="I109" s="63">
        <f t="shared" si="888"/>
        <v>2</v>
      </c>
      <c r="J109" s="222">
        <f t="shared" si="889"/>
        <v>80.3</v>
      </c>
      <c r="K109" s="116">
        <f t="shared" si="890"/>
        <v>0.91917593835907851</v>
      </c>
      <c r="L109" s="116">
        <f t="shared" si="891"/>
        <v>0.78605659578403797</v>
      </c>
      <c r="M109" s="92">
        <f t="shared" si="892"/>
        <v>0.83980074719800746</v>
      </c>
      <c r="N109" s="242">
        <f t="shared" si="893"/>
        <v>1.0285949928485048</v>
      </c>
      <c r="O109" s="143"/>
      <c r="P109" s="143"/>
      <c r="Q109" s="143"/>
      <c r="R109" s="143"/>
      <c r="S109" s="143"/>
      <c r="T109" s="143"/>
      <c r="U109" s="143">
        <f t="shared" ref="U109" si="961">U108</f>
        <v>26.7</v>
      </c>
      <c r="V109" s="143"/>
      <c r="W109" s="143"/>
      <c r="X109" s="143"/>
      <c r="Y109" s="143"/>
      <c r="Z109" s="177">
        <f>Z101</f>
        <v>53.599999999999994</v>
      </c>
      <c r="AA109" s="143"/>
      <c r="AB109" s="143"/>
      <c r="AC109" s="143"/>
      <c r="AD109" s="143"/>
      <c r="AE109" s="143"/>
      <c r="AF109" s="143"/>
      <c r="AG109" s="551"/>
      <c r="AH109" s="557"/>
      <c r="AI109" s="557">
        <f t="shared" si="917"/>
        <v>15.6</v>
      </c>
      <c r="AJ109" s="337">
        <f t="shared" si="925"/>
        <v>0</v>
      </c>
      <c r="AK109" s="339"/>
      <c r="AL109" s="337">
        <f t="shared" si="925"/>
        <v>0</v>
      </c>
      <c r="AM109" s="339"/>
      <c r="AN109" s="267" t="str">
        <f t="shared" ref="AN109" si="962" xml:space="preserve"> AN108</f>
        <v>Lystb</v>
      </c>
      <c r="AO109" s="45">
        <f>VLOOKUP(AN109,Skrogform!$1:$1048576,3,FALSE)</f>
        <v>0.98</v>
      </c>
      <c r="AP109" s="64">
        <f t="shared" si="920"/>
        <v>14.32</v>
      </c>
      <c r="AQ109" s="64">
        <f t="shared" si="920"/>
        <v>12.45</v>
      </c>
      <c r="AR109" s="64">
        <f t="shared" si="920"/>
        <v>3.85</v>
      </c>
      <c r="AS109" s="64">
        <f t="shared" si="920"/>
        <v>2.2999999999999998</v>
      </c>
      <c r="AT109" s="64">
        <f t="shared" ref="AT109" si="963">AT108</f>
        <v>23</v>
      </c>
      <c r="AU109" s="64">
        <f t="shared" si="920"/>
        <v>23</v>
      </c>
      <c r="AV109" s="64">
        <f t="shared" si="920"/>
        <v>7</v>
      </c>
      <c r="AW109" s="64">
        <f t="shared" si="920"/>
        <v>2.5</v>
      </c>
      <c r="AX109" s="256">
        <f t="shared" si="899"/>
        <v>0</v>
      </c>
      <c r="AY109" s="256">
        <f t="shared" si="920"/>
        <v>85</v>
      </c>
      <c r="AZ109" s="256">
        <f t="shared" si="920"/>
        <v>250</v>
      </c>
      <c r="BA109" s="256">
        <f t="shared" ref="BA109:BB109" si="964">BA108</f>
        <v>0</v>
      </c>
      <c r="BB109" s="256">
        <f t="shared" si="964"/>
        <v>0</v>
      </c>
      <c r="BC109" s="256"/>
      <c r="BD109" s="66"/>
      <c r="BE109" s="66"/>
      <c r="BF109" s="261"/>
      <c r="BG109" s="66"/>
      <c r="BH109" s="175"/>
      <c r="BI109" s="66"/>
      <c r="BJ109" s="66"/>
      <c r="BK109" s="65" t="str">
        <f t="shared" ref="BK109:BM109" si="965" xml:space="preserve"> BK108</f>
        <v>Seilrett</v>
      </c>
      <c r="BL109" s="267">
        <f t="shared" si="965"/>
        <v>4</v>
      </c>
      <c r="BM109" s="267">
        <f t="shared" si="965"/>
        <v>53</v>
      </c>
      <c r="BN109" s="45">
        <f t="shared" si="788"/>
        <v>1</v>
      </c>
      <c r="BO109" s="59"/>
      <c r="BP109" s="59"/>
      <c r="BR109" s="49">
        <f t="shared" si="902"/>
        <v>0</v>
      </c>
      <c r="BS109" s="49">
        <f t="shared" si="902"/>
        <v>0</v>
      </c>
      <c r="BT109" s="49">
        <f t="shared" si="902"/>
        <v>0</v>
      </c>
      <c r="BU109" s="49">
        <f t="shared" si="902"/>
        <v>0</v>
      </c>
      <c r="BV109" s="49">
        <f t="shared" si="902"/>
        <v>0</v>
      </c>
      <c r="BW109" s="49">
        <f t="shared" si="902"/>
        <v>0</v>
      </c>
      <c r="BX109" s="49">
        <f t="shared" si="902"/>
        <v>26.7</v>
      </c>
      <c r="BY109" s="549">
        <f t="shared" si="903"/>
        <v>0</v>
      </c>
      <c r="BZ109" s="85">
        <f t="shared" si="904"/>
        <v>0</v>
      </c>
      <c r="CA109" s="85">
        <f t="shared" si="904"/>
        <v>0</v>
      </c>
      <c r="CB109" s="85">
        <f t="shared" si="904"/>
        <v>0</v>
      </c>
      <c r="CC109" s="85">
        <f t="shared" si="904"/>
        <v>0</v>
      </c>
      <c r="CD109" s="85">
        <f t="shared" si="904"/>
        <v>40.735999999999997</v>
      </c>
      <c r="CE109" s="85">
        <f t="shared" si="905"/>
        <v>0</v>
      </c>
      <c r="CF109" s="85">
        <f t="shared" si="906"/>
        <v>0</v>
      </c>
      <c r="CG109" s="85">
        <f t="shared" si="906"/>
        <v>0</v>
      </c>
      <c r="CH109" s="85">
        <f t="shared" si="907"/>
        <v>0</v>
      </c>
      <c r="CI109" s="85">
        <f t="shared" si="907"/>
        <v>0</v>
      </c>
      <c r="CJ109" s="85">
        <f t="shared" si="907"/>
        <v>0</v>
      </c>
      <c r="CK109" s="85">
        <f t="shared" si="907"/>
        <v>0</v>
      </c>
      <c r="CL109" s="100">
        <f t="shared" si="908"/>
        <v>67.435999999999993</v>
      </c>
      <c r="CM109" s="50"/>
      <c r="CN109" s="104">
        <f t="shared" si="909"/>
        <v>80.3</v>
      </c>
      <c r="CO109" s="101">
        <f t="shared" si="910"/>
        <v>0.83980074719800746</v>
      </c>
      <c r="CP109" s="51">
        <f t="shared" si="911"/>
        <v>0.51805616038450997</v>
      </c>
      <c r="CQ109" s="116">
        <f t="shared" si="912"/>
        <v>0.91917593835907851</v>
      </c>
      <c r="CR109" s="51">
        <f t="shared" si="913"/>
        <v>0.78605659578403797</v>
      </c>
      <c r="CS109" s="204"/>
      <c r="CT109" s="204">
        <f t="shared" si="914"/>
        <v>117.00000000000001</v>
      </c>
      <c r="CU109" s="107">
        <f t="shared" si="36"/>
        <v>1.1682817588638941</v>
      </c>
      <c r="CV109" s="62">
        <f t="shared" si="789"/>
        <v>2.9616084820356035</v>
      </c>
      <c r="CW109" s="62">
        <f t="shared" si="14"/>
        <v>1.8645705609129886</v>
      </c>
      <c r="CX109" s="62">
        <f t="shared" si="790"/>
        <v>1.878418417945126</v>
      </c>
      <c r="CY109" s="107">
        <f t="shared" si="16"/>
        <v>1.0285949928485048</v>
      </c>
      <c r="CZ109" s="168" t="str">
        <f t="shared" si="874"/>
        <v>-</v>
      </c>
      <c r="DA109" s="158"/>
      <c r="DB109" s="168" t="str">
        <f t="shared" si="875"/>
        <v>-</v>
      </c>
      <c r="DC109" s="160"/>
      <c r="DD109" s="190" t="s">
        <v>134</v>
      </c>
      <c r="DE109" s="62">
        <v>0.92</v>
      </c>
      <c r="DF109" s="62">
        <v>0.9</v>
      </c>
      <c r="DG109" s="62">
        <v>0.92</v>
      </c>
      <c r="DH109" s="150"/>
      <c r="DI109" s="62">
        <f t="shared" si="39"/>
        <v>2.0374426801584842</v>
      </c>
      <c r="DJ109" s="47">
        <f t="shared" si="17"/>
        <v>13.294797687861271</v>
      </c>
      <c r="DK109" s="48">
        <f t="shared" si="876"/>
        <v>0</v>
      </c>
      <c r="DM109" s="107">
        <f t="shared" si="950"/>
        <v>1.1218766203119068</v>
      </c>
      <c r="DN109" s="141" t="str">
        <f t="shared" si="877"/>
        <v>-</v>
      </c>
      <c r="DO109" s="107">
        <f t="shared" si="878"/>
        <v>4.8164945641806796</v>
      </c>
      <c r="DP109" s="133">
        <f>IF(SeilBeregnet=0,DP108,(SeilBeregnet^0.5/(Depl^0.3333))^DP$3*DP$7)</f>
        <v>2.8878990857351559</v>
      </c>
      <c r="DQ109" s="133">
        <f>IF(SeilBeregnet=0,DQ108,(SeilBeregnet^0.5/Lwl)^DQ$3*DQ$7)</f>
        <v>0</v>
      </c>
      <c r="DR109" s="133">
        <f>IF(SeilBeregnet=0,DR108,(0.1*Loa/Depl^0.3333)^DR$3*DR$7)</f>
        <v>0</v>
      </c>
      <c r="DS109" s="133">
        <f>IF(SeilBeregnet=0,DS108,((Loa)/Bredde)^DS$3*DS$7)</f>
        <v>1.9285954784455239</v>
      </c>
      <c r="DT109" s="107">
        <f>IF(SeilBeregnet=0,DT108,(Lwl)^DT$3)</f>
        <v>1.878418417945126</v>
      </c>
      <c r="DU109" s="133">
        <f>IF(SeilBeregnet=0,DU108,(Dypg/Loa)^DU$3*5*DU$7)</f>
        <v>2.0038371012863347</v>
      </c>
      <c r="DW109" s="107">
        <f t="shared" si="769"/>
        <v>1.1921242437386674</v>
      </c>
      <c r="DX109" s="107">
        <f t="shared" si="40"/>
        <v>1.0946468213313212</v>
      </c>
      <c r="DZ109" s="107">
        <f t="shared" si="41"/>
        <v>1.1188151759370719</v>
      </c>
      <c r="EA109" s="122" t="str">
        <f t="shared" si="879"/>
        <v>-</v>
      </c>
      <c r="EB109" s="107">
        <f t="shared" si="880"/>
        <v>1.1247504286330599</v>
      </c>
      <c r="EC109" s="122" t="str">
        <f t="shared" si="881"/>
        <v>-</v>
      </c>
      <c r="ED109" s="107">
        <f>IF(SeilBeregnet=0,ED108,SeilBeregnet^0.5/Depl^0.33333)</f>
        <v>2.8876274487847118</v>
      </c>
      <c r="EE109" s="107">
        <f>IF(SeilBeregnet=0,EE108,Lwl^0.3333)</f>
        <v>2.317501078004538</v>
      </c>
      <c r="EF109" s="107">
        <f>IF(SeilBeregnet=0,EF108,((Loa+Lwl)/Bredde)^EF$3)</f>
        <v>1.6238537419499199</v>
      </c>
      <c r="EH109" s="107">
        <f t="shared" si="882"/>
        <v>1.1305603202997245</v>
      </c>
      <c r="EJ109" s="107">
        <f>IF(SeilBeregnet=0,EJ108,SeilBeregnet^0.5/Depl^0.33333)</f>
        <v>2.8876274487847118</v>
      </c>
      <c r="EK109" s="107">
        <f>IF(SeilBeregnet=0,EK108,Lwl^EK$3)</f>
        <v>2.3176764073442899</v>
      </c>
      <c r="EL109" s="107">
        <f>IF(SeilBeregnet=0,EL108,((Loa+Lwl)/Bredde)^EL$3)</f>
        <v>1.9085394483088816</v>
      </c>
      <c r="EM109" s="107">
        <f t="shared" si="883"/>
        <v>1.1199242981932696</v>
      </c>
      <c r="EO109" s="107">
        <f>IF(SeilBeregnet=0,EO108,(EP109*EQ109)^EO$3)</f>
        <v>4.6890846380663547</v>
      </c>
      <c r="EP109" s="107">
        <f>IF(SeilBeregnet=0,EP108,SeilBeregnet^0.5/Depl^0.33333)</f>
        <v>2.8876274487847118</v>
      </c>
      <c r="EQ109" s="107">
        <f>IF(SeilBeregnet=0,EQ108,((Loa+Lwl)/Bredde)^EQ$3)</f>
        <v>1.6238537419499199</v>
      </c>
      <c r="ER109" s="107">
        <f>IF(SeilBeregnet=0,ER108,Lwl^ER$3)</f>
        <v>1.878418417945126</v>
      </c>
      <c r="ES109" s="107">
        <f t="shared" si="951"/>
        <v>1.1248585833008309</v>
      </c>
      <c r="EU109" s="107">
        <f>IF(SeilBeregnet=0,EU108,(EV:EV*EW:EW)^EU$3)</f>
        <v>1.7309125612576814</v>
      </c>
      <c r="EV109" s="107">
        <f>IF(SeilBeregnet=0,EV108,SeilBeregnet^0.5/Depl^0.33333)</f>
        <v>2.8876274487847118</v>
      </c>
      <c r="EW109" s="107">
        <f>IF(SeilBeregnet=0,EW108,((Loa+Lwl)/Bredde/6)^EW$3)</f>
        <v>1.0375501507234075</v>
      </c>
      <c r="EX109" s="107">
        <f>IF(SeilBeregnet=0,EX108,(Lwl*0.7+Loa*0.3)^EX$3)</f>
        <v>1.8992304700730467</v>
      </c>
      <c r="EY109" s="107">
        <f t="shared" si="952"/>
        <v>1.1054457759151952</v>
      </c>
      <c r="FA109" s="107">
        <f t="shared" si="941"/>
        <v>1.7309939721670038</v>
      </c>
      <c r="FB109" s="107">
        <f>IF(SeilBeregnet=0,FB108,SeilBeregnet^0.5/Depl^0.3333)</f>
        <v>2.8878990857351559</v>
      </c>
      <c r="FC109" s="107">
        <f>IF(SeilBeregnet=0,FC108,((Loa+Lwl)/Bredde/6)^FC$3)</f>
        <v>1.0375501507234075</v>
      </c>
      <c r="FD109" s="107">
        <f>IF(SeilBeregnet=0,FD108,(Lwl*0.7+Loa*0.3)^FD$3)</f>
        <v>1.8992304700730467</v>
      </c>
      <c r="FE109" s="107">
        <f t="shared" si="953"/>
        <v>1.1458305147129726</v>
      </c>
      <c r="FF109" s="141" t="str">
        <f t="shared" si="884"/>
        <v>-</v>
      </c>
      <c r="FG109" s="107">
        <f t="shared" si="942"/>
        <v>3.1088531552416239</v>
      </c>
      <c r="FH109" s="133">
        <f>IF(SeilBeregnet=0,FH108,(SeilBeregnet^0.5/(Depl^0.3333))^FH$3)</f>
        <v>2.8878990857351559</v>
      </c>
      <c r="FI109" s="133">
        <f>IF(SeilBeregnet=0,FI108,((Loa+Lwl)/Bredde/6)^FI$3)</f>
        <v>1.0765103152661655</v>
      </c>
      <c r="FJ109" s="107">
        <f>IF(SeilBeregnet=0,FJ108,(Lwl*0.07+Loa*0.03)^FJ$3)</f>
        <v>1.0680157793827667</v>
      </c>
      <c r="FK109" s="107">
        <f t="shared" si="954"/>
        <v>1.1123139427252757</v>
      </c>
      <c r="FL109" s="141" t="str">
        <f t="shared" si="885"/>
        <v>-</v>
      </c>
      <c r="FM109" s="107">
        <f t="shared" si="943"/>
        <v>4.9760883411233081</v>
      </c>
      <c r="FN109" s="133">
        <f>IF(SeilBeregnet=0,FN108,(SeilBeregnet^0.5/(Depl^0.3333))^FN$3)</f>
        <v>2.8878990857351559</v>
      </c>
      <c r="FO109" s="133">
        <f>IF(SeilBeregnet=0,FO108,(SeilBeregnet^0.5/Lwl*FO$7)^FO$3)</f>
        <v>0.65959377694262877</v>
      </c>
      <c r="FP109" s="133">
        <f>IF(SeilBeregnet=0,FP108,((Loa)/Bredde)^FP$3*FP$7)</f>
        <v>1.9285954784455239</v>
      </c>
      <c r="FQ109" s="107">
        <f>IF(SeilBeregnet=0,FQ108,(Lwl)^FQ$3)</f>
        <v>1.878418417945126</v>
      </c>
      <c r="FR109" s="107">
        <f t="shared" si="955"/>
        <v>1.1504443170056842</v>
      </c>
      <c r="FS109" s="141" t="str">
        <f t="shared" si="886"/>
        <v>-</v>
      </c>
      <c r="FT109" s="107">
        <f t="shared" si="944"/>
        <v>5.5695891189557845</v>
      </c>
      <c r="FU109" s="133">
        <f>IF(SeilBeregnet=0,FU108,(SeilBeregnet^0.5/(Depl^0.3333))^FU$3)</f>
        <v>2.8878990857351559</v>
      </c>
      <c r="FV109" s="133">
        <f>IF(SeilBeregnet=0,FV108,(Loa/Bredde)^FV$3)</f>
        <v>1.9285954784455239</v>
      </c>
      <c r="FW109" s="107">
        <f>IF(SeilBeregnet=0,FW108,Lwl^FW$3)</f>
        <v>1.878418417945126</v>
      </c>
      <c r="FY109">
        <v>0.95</v>
      </c>
      <c r="FZ109" s="62">
        <f t="shared" si="711"/>
        <v>1.1382996588783159</v>
      </c>
      <c r="GA109" s="62">
        <f t="shared" si="712"/>
        <v>2.0038371012863347</v>
      </c>
      <c r="GB109" s="107">
        <f t="shared" si="798"/>
        <v>1.2145717304935779</v>
      </c>
      <c r="GC109" s="440"/>
      <c r="GD109" s="17"/>
      <c r="GE109" s="442"/>
      <c r="GF109" s="462"/>
      <c r="GG109" s="17"/>
      <c r="GH109" s="17"/>
      <c r="GI109" s="17"/>
      <c r="GJ109" s="17"/>
      <c r="GL109" s="17"/>
      <c r="GM109" s="442"/>
      <c r="GN109" s="8"/>
      <c r="GO109" s="8"/>
      <c r="GP109" s="8"/>
      <c r="GQ109" s="8"/>
      <c r="GS109" s="17"/>
      <c r="GT109" s="17"/>
      <c r="GU109" s="17"/>
      <c r="GV109" s="629"/>
      <c r="GW109" s="17"/>
      <c r="GX109" s="17"/>
      <c r="GY109" s="17"/>
      <c r="GZ109" s="17"/>
    </row>
    <row r="110" spans="1:208" ht="15.6" x14ac:dyDescent="0.3">
      <c r="A110" s="52" t="s">
        <v>259</v>
      </c>
      <c r="B110" s="218">
        <f t="shared" si="10"/>
        <v>40.682414698162731</v>
      </c>
      <c r="C110" s="53" t="s">
        <v>19</v>
      </c>
      <c r="D110" s="53"/>
      <c r="E110" s="53"/>
      <c r="F110" s="53"/>
      <c r="G110" s="54"/>
      <c r="H110" s="112">
        <f>J111</f>
        <v>97.2</v>
      </c>
      <c r="I110" s="601">
        <f>H111/100</f>
        <v>1.19</v>
      </c>
      <c r="J110" s="651">
        <f>IF(DC111=0,"-",DC111)</f>
        <v>1.19</v>
      </c>
      <c r="K110" s="123" t="str">
        <f>A110</f>
        <v>Vilde</v>
      </c>
      <c r="L110" s="116"/>
      <c r="M110" s="116"/>
      <c r="N110" s="92"/>
      <c r="O110" s="165"/>
      <c r="P110" s="165"/>
      <c r="Q110" s="165"/>
      <c r="R110" s="165">
        <v>27.8</v>
      </c>
      <c r="S110" s="177">
        <v>15</v>
      </c>
      <c r="T110" s="165"/>
      <c r="U110" s="165">
        <v>16.5</v>
      </c>
      <c r="V110" s="559"/>
      <c r="W110" s="559"/>
      <c r="X110" s="165">
        <v>44.5</v>
      </c>
      <c r="Y110" s="165"/>
      <c r="Z110" s="165"/>
      <c r="AA110" s="165">
        <v>8.4</v>
      </c>
      <c r="AB110" s="165"/>
      <c r="AC110" s="165"/>
      <c r="AD110" s="165"/>
      <c r="AE110" s="165"/>
      <c r="AF110" s="165"/>
      <c r="AG110" s="552"/>
      <c r="AH110" s="244"/>
      <c r="AI110" s="244">
        <v>11.25</v>
      </c>
      <c r="AJ110" s="554"/>
      <c r="AK110" s="339"/>
      <c r="AL110" s="268"/>
      <c r="AM110" s="339"/>
      <c r="AN110" s="268" t="s">
        <v>211</v>
      </c>
      <c r="AO110" s="45">
        <f>VLOOKUP(AN110,Skrogform!$1:$1048576,3,FALSE)</f>
        <v>0.98</v>
      </c>
      <c r="AP110" s="55">
        <v>12.4</v>
      </c>
      <c r="AQ110" s="55">
        <v>10.199999999999999</v>
      </c>
      <c r="AR110" s="55">
        <v>3.6</v>
      </c>
      <c r="AS110" s="55">
        <v>1.8</v>
      </c>
      <c r="AT110" s="637">
        <v>16</v>
      </c>
      <c r="AU110" s="55">
        <v>16</v>
      </c>
      <c r="AV110" s="55">
        <v>5</v>
      </c>
      <c r="AW110" s="55">
        <v>1</v>
      </c>
      <c r="AX110" s="253"/>
      <c r="AY110" s="253">
        <v>65</v>
      </c>
      <c r="AZ110" s="254">
        <f>AY110*7</f>
        <v>455</v>
      </c>
      <c r="BA110" s="253"/>
      <c r="BB110" s="253"/>
      <c r="BC110" s="244">
        <f>Depl+Diesel/1000*0.84+Vann/1000</f>
        <v>16</v>
      </c>
      <c r="BD110" s="95">
        <f>Bredde/(Loa+Lwl)*2</f>
        <v>0.31858407079646017</v>
      </c>
      <c r="BE110" s="95">
        <f>(Kjøl+Ballast)/Depl</f>
        <v>0.375</v>
      </c>
      <c r="BF110" s="260">
        <f>BF$7*((Depl-Kjøl-Ballast-VektMotor/1000-VektAnnet/1000)/Lwl/Lwl/Bredde)</f>
        <v>0.96172900047483389</v>
      </c>
      <c r="BG110" s="95">
        <f>BG$7*(Depl/Loa/Lwl/Lwl)</f>
        <v>0.91266666666666663</v>
      </c>
      <c r="BH110" s="174">
        <f>BH$7*(Depl/Loa/Lwl/Bredde)</f>
        <v>0.95583333333333331</v>
      </c>
      <c r="BI110" s="95">
        <f>BI$7*Bredde/(Loa+Lwl)*2</f>
        <v>0.90882101056237508</v>
      </c>
      <c r="BJ110" s="95">
        <f>BJ$7*(Dypg/Lwl)</f>
        <v>0.96521739130434792</v>
      </c>
      <c r="BK110" s="56" t="s">
        <v>39</v>
      </c>
      <c r="BL110" s="268">
        <v>3</v>
      </c>
      <c r="BM110" s="268">
        <v>40</v>
      </c>
      <c r="BN110" s="45">
        <f t="shared" si="788"/>
        <v>0.98861021875730792</v>
      </c>
      <c r="BO110" s="59"/>
      <c r="BP110" s="59"/>
      <c r="BR110" s="209"/>
      <c r="BS110" s="209"/>
      <c r="BT110" s="209" t="str">
        <f>$A110</f>
        <v>Vilde</v>
      </c>
      <c r="BU110" s="10"/>
      <c r="BV110" s="10"/>
      <c r="BW110" s="10"/>
      <c r="BX110" s="10">
        <f>IF(U110=0,0,U110*BX$9)</f>
        <v>16.5</v>
      </c>
      <c r="BY110" s="549"/>
      <c r="BZ110" s="10"/>
      <c r="CA110" s="10"/>
      <c r="CB110" s="209" t="str">
        <f>$A110</f>
        <v>Vilde</v>
      </c>
      <c r="CC110" s="10"/>
      <c r="CD110" s="10"/>
      <c r="CE110" s="10"/>
      <c r="CF110" s="10"/>
      <c r="CG110" s="10"/>
      <c r="CH110" s="10"/>
      <c r="CI110" s="10"/>
      <c r="CJ110" s="10"/>
      <c r="CK110" s="10"/>
      <c r="CL110" s="209"/>
      <c r="CM110" s="10"/>
      <c r="CN110" s="209" t="str">
        <f>$A110</f>
        <v>Vilde</v>
      </c>
      <c r="CO110" s="207"/>
      <c r="CP110" s="207"/>
      <c r="CQ110" s="116"/>
      <c r="CR110" s="207"/>
      <c r="CS110" s="203"/>
      <c r="CT110" s="203" t="s">
        <v>23</v>
      </c>
      <c r="CU110" s="107" t="str">
        <f t="shared" si="36"/>
        <v>-</v>
      </c>
      <c r="CV110" s="62" t="str">
        <f t="shared" si="789"/>
        <v>-</v>
      </c>
      <c r="CW110" s="62" t="str">
        <f t="shared" si="14"/>
        <v>-</v>
      </c>
      <c r="CX110" s="62" t="str">
        <f t="shared" si="790"/>
        <v>-</v>
      </c>
      <c r="CY110" s="107" t="str">
        <f t="shared" si="16"/>
        <v>-</v>
      </c>
      <c r="CZ110" s="168" t="str">
        <f t="shared" si="693"/>
        <v>-</v>
      </c>
      <c r="DA110" s="158"/>
      <c r="DB110" s="168" t="str">
        <f t="shared" si="694"/>
        <v>-</v>
      </c>
      <c r="DC110" s="160">
        <v>1.19</v>
      </c>
      <c r="DD110" s="190" t="s">
        <v>134</v>
      </c>
      <c r="DE110" s="29" t="s">
        <v>23</v>
      </c>
      <c r="DF110" s="29" t="s">
        <v>23</v>
      </c>
      <c r="DG110" s="29" t="s">
        <v>23</v>
      </c>
      <c r="DH110" s="149">
        <v>2022</v>
      </c>
      <c r="DI110" s="62" t="str">
        <f t="shared" si="695"/>
        <v>-</v>
      </c>
      <c r="DJ110" s="47">
        <f t="shared" si="696"/>
        <v>12.162162162162163</v>
      </c>
      <c r="DK110" s="48">
        <f t="shared" si="697"/>
        <v>0</v>
      </c>
      <c r="DM110" s="107" t="str">
        <f t="shared" si="950"/>
        <v>-</v>
      </c>
      <c r="DN110" s="141" t="str">
        <f t="shared" ref="DN110:DN113" si="966">IF($DY110=0,"-",(DM110-$DW110)*100)</f>
        <v>-</v>
      </c>
      <c r="DO110" s="107">
        <f t="shared" si="698"/>
        <v>4.3883753514569079</v>
      </c>
      <c r="DP110" s="133">
        <f>IF(SeilBeregnet=0,DP96,(SeilBeregnet^0.5/(Depl^0.3333))^DP$3*DP$7)</f>
        <v>2.5601341875442647</v>
      </c>
      <c r="DQ110" s="133">
        <f>IF(SeilBeregnet=0,DQ96,(SeilBeregnet^0.5/Lwl)^DQ$3*DQ$7)</f>
        <v>0</v>
      </c>
      <c r="DR110" s="133">
        <f>IF(SeilBeregnet=0,DR96,(0.1*Loa/Depl^0.3333)^DR$3*DR$7)</f>
        <v>0</v>
      </c>
      <c r="DS110" s="133">
        <f>IF(SeilBeregnet=0,DS96,((Loa)/Bredde)^DS$3*DS$7)</f>
        <v>1.8282411639126435</v>
      </c>
      <c r="DT110" s="107">
        <f>IF(SeilBeregnet=0,DT96,(Lwl)^DT$3)</f>
        <v>1.800102871839254</v>
      </c>
      <c r="DU110" s="133">
        <f>IF(SeilBeregnet=0,DU96,(Dypg/Loa)^DU$3*5*DU$7)</f>
        <v>1.9470448393802795</v>
      </c>
      <c r="DW110" s="107" t="str">
        <f t="shared" si="417"/>
        <v>-</v>
      </c>
      <c r="DX110" s="107" t="str">
        <f t="shared" si="699"/>
        <v>-</v>
      </c>
      <c r="DZ110" s="107" t="str">
        <f t="shared" si="700"/>
        <v>-</v>
      </c>
      <c r="EA110" s="122" t="str">
        <f t="shared" ref="EA110:EA113" si="967">IF($DY110=0,"-",DZ110-$DW110)</f>
        <v>-</v>
      </c>
      <c r="EB110" s="107" t="str">
        <f t="shared" si="701"/>
        <v>-</v>
      </c>
      <c r="EC110" s="122" t="str">
        <f t="shared" ref="EC110:EC113" si="968">IF($DY110=0,"-",EB110-$DW110)</f>
        <v>-</v>
      </c>
      <c r="ED110" s="107">
        <f>IF(SeilBeregnet=0,ED96,SeilBeregnet^0.5/Depl^0.33333)</f>
        <v>2.5599193540913108</v>
      </c>
      <c r="EE110" s="107">
        <f>IF(SeilBeregnet=0,EE96,Lwl^0.3333)</f>
        <v>2.1895879451208748</v>
      </c>
      <c r="EF110" s="107">
        <f>IF(SeilBeregnet=0,EF96,((Loa+Lwl)/Bredde)^EF$3)</f>
        <v>1.579185865474966</v>
      </c>
      <c r="EH110" s="107" t="str">
        <f t="shared" si="702"/>
        <v>-</v>
      </c>
      <c r="EJ110" s="107">
        <f>IF(SeilBeregnet=0,EJ96,SeilBeregnet^0.5/Depl^0.33333)</f>
        <v>2.5599193540913108</v>
      </c>
      <c r="EK110" s="107">
        <f>IF(SeilBeregnet=0,EK96,Lwl^EK$3)</f>
        <v>2.1897424068563001</v>
      </c>
      <c r="EL110" s="107">
        <f>IF(SeilBeregnet=0,EL96,((Loa+Lwl)/Bredde)^EL$3)</f>
        <v>1.8388707573234102</v>
      </c>
      <c r="EM110" s="107" t="str">
        <f t="shared" si="703"/>
        <v>-</v>
      </c>
      <c r="EO110" s="107">
        <f>IF(SeilBeregnet=0,EO96,(EP110*EQ110)^EO$3)</f>
        <v>4.0425884607368028</v>
      </c>
      <c r="EP110" s="107">
        <f>IF(SeilBeregnet=0,EP96,SeilBeregnet^0.5/Depl^0.33333)</f>
        <v>2.5599193540913108</v>
      </c>
      <c r="EQ110" s="107">
        <f>IF(SeilBeregnet=0,EQ96,((Loa+Lwl)/Bredde)^EQ$3)</f>
        <v>1.579185865474966</v>
      </c>
      <c r="ER110" s="107">
        <f>IF(SeilBeregnet=0,ER96,Lwl^ER$3)</f>
        <v>1.800102871839254</v>
      </c>
      <c r="ES110" s="107" t="str">
        <f t="shared" si="951"/>
        <v>-</v>
      </c>
      <c r="EU110" s="107">
        <f>IF(SeilBeregnet=0,EU96,(EV:EV*EW:EW)^EU$3)</f>
        <v>1.6071664569338588</v>
      </c>
      <c r="EV110" s="107">
        <f>IF(SeilBeregnet=0,EV96,SeilBeregnet^0.5/Depl^0.33333)</f>
        <v>2.5599193540913108</v>
      </c>
      <c r="EW110" s="107">
        <f>IF(SeilBeregnet=0,EW96,((Loa+Lwl)/Bredde/6)^EW$3)</f>
        <v>1.0090099190684112</v>
      </c>
      <c r="EX110" s="107">
        <f>IF(SeilBeregnet=0,EX96,(Lwl*0.7+Loa*0.3)^EX$3)</f>
        <v>1.8215740458755476</v>
      </c>
      <c r="EY110" s="107" t="str">
        <f t="shared" si="952"/>
        <v>-</v>
      </c>
      <c r="FA110" s="107">
        <f t="shared" si="941"/>
        <v>1.6072338937996271</v>
      </c>
      <c r="FB110" s="107">
        <f>IF(SeilBeregnet=0,FB96,SeilBeregnet^0.5/Depl^0.3333)</f>
        <v>2.5601341875442647</v>
      </c>
      <c r="FC110" s="107">
        <f>IF(SeilBeregnet=0,FC96,((Loa+Lwl)/Bredde/6)^FC$3)</f>
        <v>1.0090099190684112</v>
      </c>
      <c r="FD110" s="107">
        <f>IF(SeilBeregnet=0,FD96,(Lwl*0.7+Loa*0.3)^FD$3)</f>
        <v>1.8215740458755476</v>
      </c>
      <c r="FE110" s="107" t="str">
        <f t="shared" si="953"/>
        <v>-</v>
      </c>
      <c r="FF110" s="141" t="str">
        <f t="shared" ref="FF110:FF113" si="969">IF($DY110=0,"-",(FE110-$DW110)*100)</f>
        <v>-</v>
      </c>
      <c r="FG110" s="107">
        <f t="shared" si="942"/>
        <v>2.6064752194280656</v>
      </c>
      <c r="FH110" s="133">
        <f>IF(SeilBeregnet=0,FH96,(SeilBeregnet^0.5/(Depl^0.3333))^FH$3)</f>
        <v>2.5601341875442647</v>
      </c>
      <c r="FI110" s="133">
        <f>IF(SeilBeregnet=0,FI96,((Loa+Lwl)/Bredde/6)^FI$3)</f>
        <v>1.0181010167784417</v>
      </c>
      <c r="FJ110" s="107">
        <f>IF(SeilBeregnet=0,FJ96,(Lwl*0.07+Loa*0.03)^FJ$3)</f>
        <v>1.0243463628900011</v>
      </c>
      <c r="FK110" s="107" t="str">
        <f t="shared" si="954"/>
        <v>-</v>
      </c>
      <c r="FL110" s="141" t="str">
        <f t="shared" ref="FL110:FL113" si="970">IF($DY110=0,"-",(FK110-$DW110)*100)</f>
        <v>-</v>
      </c>
      <c r="FM110" s="107">
        <f t="shared" si="943"/>
        <v>4.507789162562017</v>
      </c>
      <c r="FN110" s="133">
        <f>IF(SeilBeregnet=0,FN96,(SeilBeregnet^0.5/(Depl^0.3333))^FN$3)</f>
        <v>2.5601341875442647</v>
      </c>
      <c r="FO110" s="133">
        <f>IF(SeilBeregnet=0,FO96,(SeilBeregnet^0.5/Lwl*FO$7)^FO$3)</f>
        <v>0.61941381110510851</v>
      </c>
      <c r="FP110" s="133">
        <f>IF(SeilBeregnet=0,FP96,((Loa)/Bredde)^FP$3*FP$7)</f>
        <v>1.8282411639126435</v>
      </c>
      <c r="FQ110" s="107">
        <f>IF(SeilBeregnet=0,FQ96,(Lwl)^FQ$3)</f>
        <v>1.800102871839254</v>
      </c>
      <c r="FR110" s="107" t="str">
        <f t="shared" si="955"/>
        <v>-</v>
      </c>
      <c r="FS110" s="141" t="str">
        <f t="shared" ref="FS110:FS113" si="971">IF($DY110=0,"-",(FR110-$DW110)*100)</f>
        <v>-</v>
      </c>
      <c r="FT110" s="107">
        <f t="shared" si="944"/>
        <v>4.6805427068084766</v>
      </c>
      <c r="FU110" s="133">
        <f>IF(SeilBeregnet=0,FU96,(SeilBeregnet^0.5/(Depl^0.3333))^FU$3)</f>
        <v>2.5601341875442647</v>
      </c>
      <c r="FV110" s="133">
        <f>IF(SeilBeregnet=0,FV96,(Loa/Bredde)^FV$3)</f>
        <v>1.8282411639126435</v>
      </c>
      <c r="FW110" s="107">
        <f>IF(SeilBeregnet=0,FW96,Lwl^FW$3)</f>
        <v>1.800102871839254</v>
      </c>
      <c r="FY110">
        <v>0.95</v>
      </c>
      <c r="FZ110" s="62" t="str">
        <f t="shared" si="711"/>
        <v>-</v>
      </c>
      <c r="GA110" s="62">
        <f t="shared" si="712"/>
        <v>1.9050019050028575</v>
      </c>
      <c r="GB110" s="107" t="str">
        <f t="shared" si="798"/>
        <v>-</v>
      </c>
      <c r="GC110" s="441" t="s">
        <v>535</v>
      </c>
      <c r="GD110" s="57" t="s">
        <v>534</v>
      </c>
      <c r="GE110" s="436" t="s">
        <v>536</v>
      </c>
      <c r="GF110" s="466" t="s">
        <v>537</v>
      </c>
      <c r="GG110" s="57" t="s">
        <v>538</v>
      </c>
      <c r="GH110" s="57" t="s">
        <v>539</v>
      </c>
      <c r="GI110" s="57" t="s">
        <v>416</v>
      </c>
      <c r="GJ110" s="57"/>
      <c r="GL110" s="57" t="s">
        <v>478</v>
      </c>
      <c r="GM110" s="436" t="s">
        <v>478</v>
      </c>
      <c r="GN110" s="58" t="s">
        <v>478</v>
      </c>
      <c r="GO110" s="58" t="s">
        <v>478</v>
      </c>
      <c r="GP110" s="58" t="s">
        <v>478</v>
      </c>
      <c r="GQ110" s="58" t="s">
        <v>478</v>
      </c>
      <c r="GS110" s="57" t="s">
        <v>470</v>
      </c>
      <c r="GT110" s="57" t="s">
        <v>504</v>
      </c>
      <c r="GU110" s="57" t="s">
        <v>593</v>
      </c>
      <c r="GV110" s="599" t="s">
        <v>540</v>
      </c>
      <c r="GW110" s="57">
        <v>1981</v>
      </c>
      <c r="GX110" s="57" t="s">
        <v>431</v>
      </c>
      <c r="GY110" s="57" t="s">
        <v>469</v>
      </c>
      <c r="GZ110" s="57" t="s">
        <v>556</v>
      </c>
    </row>
    <row r="111" spans="1:208" ht="15.6" x14ac:dyDescent="0.3">
      <c r="A111" s="60" t="s">
        <v>28</v>
      </c>
      <c r="B111" s="218"/>
      <c r="C111" s="61" t="str">
        <f>C110</f>
        <v>Gaffel</v>
      </c>
      <c r="D111" s="61"/>
      <c r="E111" s="61"/>
      <c r="F111" s="61"/>
      <c r="G111" s="54"/>
      <c r="H111" s="204">
        <f>TBFavrundet</f>
        <v>119</v>
      </c>
      <c r="I111" s="63">
        <f>COUNTA(O111:AG111)</f>
        <v>4</v>
      </c>
      <c r="J111" s="222">
        <f>SUM(O111:AG111)</f>
        <v>97.2</v>
      </c>
      <c r="K111" s="116">
        <f>Seilareal/Depl^0.667/K$7</f>
        <v>1.4173392202151787</v>
      </c>
      <c r="L111" s="116">
        <f>Seilareal/Lwl/Lwl/L$7</f>
        <v>1.4175647171620327</v>
      </c>
      <c r="M111" s="92">
        <f>RiggF</f>
        <v>0.77170781893004115</v>
      </c>
      <c r="N111" s="242">
        <f>StHfaktor</f>
        <v>1.012322859432051</v>
      </c>
      <c r="O111" s="143"/>
      <c r="P111" s="143"/>
      <c r="Q111" s="143"/>
      <c r="R111" s="143">
        <f t="shared" ref="R111:R112" si="972">R110</f>
        <v>27.8</v>
      </c>
      <c r="S111" s="143"/>
      <c r="T111" s="143"/>
      <c r="U111" s="143">
        <f t="shared" ref="U111:X113" si="973">U110</f>
        <v>16.5</v>
      </c>
      <c r="V111" s="143"/>
      <c r="W111" s="143"/>
      <c r="X111" s="143">
        <f t="shared" si="973"/>
        <v>44.5</v>
      </c>
      <c r="Y111" s="143"/>
      <c r="Z111" s="143"/>
      <c r="AA111" s="146">
        <f t="shared" ref="AA111" si="974">AA110</f>
        <v>8.4</v>
      </c>
      <c r="AB111" s="143"/>
      <c r="AC111" s="143"/>
      <c r="AD111" s="143"/>
      <c r="AE111" s="143"/>
      <c r="AF111" s="143"/>
      <c r="AG111" s="551"/>
      <c r="AH111" s="557"/>
      <c r="AI111" s="557">
        <f t="shared" ref="AI111:AI113" si="975">AI110</f>
        <v>11.25</v>
      </c>
      <c r="AJ111" s="337">
        <f t="shared" ref="AJ111:AL113" si="976" xml:space="preserve"> AJ110</f>
        <v>0</v>
      </c>
      <c r="AK111" s="339"/>
      <c r="AL111" s="337">
        <f t="shared" si="976"/>
        <v>0</v>
      </c>
      <c r="AM111" s="339"/>
      <c r="AN111" s="267" t="str">
        <f t="shared" ref="AN111:AN113" si="977" xml:space="preserve"> AN110</f>
        <v>Lystb</v>
      </c>
      <c r="AO111" s="45">
        <f>VLOOKUP(AN111,Skrogform!$1:$1048576,3,FALSE)</f>
        <v>0.98</v>
      </c>
      <c r="AP111" s="64">
        <f t="shared" ref="AP111:AZ111" si="978">AP110</f>
        <v>12.4</v>
      </c>
      <c r="AQ111" s="64">
        <f t="shared" si="978"/>
        <v>10.199999999999999</v>
      </c>
      <c r="AR111" s="64">
        <f t="shared" si="978"/>
        <v>3.6</v>
      </c>
      <c r="AS111" s="64">
        <f t="shared" si="978"/>
        <v>1.8</v>
      </c>
      <c r="AT111" s="64">
        <f t="shared" ref="AT111" si="979">AT110</f>
        <v>16</v>
      </c>
      <c r="AU111" s="64">
        <f t="shared" si="978"/>
        <v>16</v>
      </c>
      <c r="AV111" s="64">
        <f t="shared" si="978"/>
        <v>5</v>
      </c>
      <c r="AW111" s="64">
        <f t="shared" si="978"/>
        <v>1</v>
      </c>
      <c r="AX111" s="256">
        <f>AX110</f>
        <v>0</v>
      </c>
      <c r="AY111" s="256">
        <f t="shared" si="978"/>
        <v>65</v>
      </c>
      <c r="AZ111" s="256">
        <f t="shared" si="978"/>
        <v>455</v>
      </c>
      <c r="BA111" s="256">
        <f t="shared" ref="BA111:BB111" si="980">BA110</f>
        <v>0</v>
      </c>
      <c r="BB111" s="256">
        <f t="shared" si="980"/>
        <v>0</v>
      </c>
      <c r="BC111" s="256"/>
      <c r="BD111" s="66"/>
      <c r="BE111" s="66"/>
      <c r="BF111" s="261"/>
      <c r="BG111" s="66"/>
      <c r="BH111" s="175"/>
      <c r="BI111" s="66"/>
      <c r="BJ111" s="66"/>
      <c r="BK111" s="65" t="str">
        <f t="shared" ref="BK111:BM111" si="981" xml:space="preserve"> BK110</f>
        <v>Fast</v>
      </c>
      <c r="BL111" s="267">
        <f t="shared" si="981"/>
        <v>3</v>
      </c>
      <c r="BM111" s="267">
        <f t="shared" si="981"/>
        <v>40</v>
      </c>
      <c r="BN111" s="45">
        <f t="shared" si="788"/>
        <v>0.98861021875730792</v>
      </c>
      <c r="BO111" s="59"/>
      <c r="BP111" s="59"/>
      <c r="BR111" s="49">
        <f t="shared" ref="BR111:BW113" si="982">IF(O111=0,0,O111*BR$9)</f>
        <v>0</v>
      </c>
      <c r="BS111" s="49">
        <f t="shared" si="982"/>
        <v>0</v>
      </c>
      <c r="BT111" s="49">
        <f t="shared" si="982"/>
        <v>0</v>
      </c>
      <c r="BU111" s="49">
        <f t="shared" si="982"/>
        <v>27.8</v>
      </c>
      <c r="BV111" s="49">
        <f t="shared" si="982"/>
        <v>0</v>
      </c>
      <c r="BW111" s="49">
        <f t="shared" si="982"/>
        <v>0</v>
      </c>
      <c r="BX111" s="49">
        <f>IF(U111=0,0,U111*BX$9)</f>
        <v>16.5</v>
      </c>
      <c r="BY111" s="549">
        <f>IF(COUNT(Q111:U111)&gt;1,MINA(Q111:U111)*BY$9,0)</f>
        <v>-8.25</v>
      </c>
      <c r="BZ111" s="85">
        <f t="shared" ref="BZ111:CD113" si="983">IF(V111=0,0,V111*BZ$9)</f>
        <v>0</v>
      </c>
      <c r="CA111" s="85">
        <f t="shared" si="983"/>
        <v>0</v>
      </c>
      <c r="CB111" s="85">
        <f t="shared" si="983"/>
        <v>35.6</v>
      </c>
      <c r="CC111" s="85">
        <f t="shared" si="983"/>
        <v>0</v>
      </c>
      <c r="CD111" s="85">
        <f t="shared" si="983"/>
        <v>0</v>
      </c>
      <c r="CE111" s="85">
        <f>IF(AC111=0,0,AC111*CE$9)</f>
        <v>0</v>
      </c>
      <c r="CF111" s="85">
        <f t="shared" ref="CF111:CG113" si="984">IF(AA111=0,0,AA111*CF$9)</f>
        <v>3.3600000000000003</v>
      </c>
      <c r="CG111" s="85">
        <f t="shared" si="984"/>
        <v>0</v>
      </c>
      <c r="CH111" s="85">
        <f t="shared" ref="CH111:CK113" si="985">IF(AD111=0,0,AD111*CH$9)</f>
        <v>0</v>
      </c>
      <c r="CI111" s="85">
        <f t="shared" si="985"/>
        <v>0</v>
      </c>
      <c r="CJ111" s="85">
        <f t="shared" si="985"/>
        <v>0</v>
      </c>
      <c r="CK111" s="85">
        <f t="shared" si="985"/>
        <v>0</v>
      </c>
      <c r="CL111" s="100">
        <f>SUM(BR111:CK111)</f>
        <v>75.010000000000005</v>
      </c>
      <c r="CM111" s="50"/>
      <c r="CN111" s="104">
        <f>J111</f>
        <v>97.2</v>
      </c>
      <c r="CO111" s="101">
        <f>CL111/CN111</f>
        <v>0.77170781893004115</v>
      </c>
      <c r="CP111" s="51">
        <f>Seilareal/Lwl/Lwl</f>
        <v>0.93425605536332201</v>
      </c>
      <c r="CQ111" s="116">
        <f>Seilareal/Depl^0.667/K$7</f>
        <v>1.4173392202151787</v>
      </c>
      <c r="CR111" s="51">
        <f>Seilareal/Lwl/Lwl/SApRS1</f>
        <v>1.4175647171620327</v>
      </c>
      <c r="CS111" s="204"/>
      <c r="CT111" s="204">
        <f>(ROUND(TBF/CT$6,3)*CT$6)*CT$4</f>
        <v>119</v>
      </c>
      <c r="CU111" s="107">
        <f t="shared" si="36"/>
        <v>1.1923022714428091</v>
      </c>
      <c r="CV111" s="62">
        <f t="shared" si="789"/>
        <v>3.4650296489115395</v>
      </c>
      <c r="CW111" s="62">
        <f t="shared" si="14"/>
        <v>1.7716909687891083</v>
      </c>
      <c r="CX111" s="62">
        <f t="shared" si="790"/>
        <v>1.7871048890689831</v>
      </c>
      <c r="CY111" s="107">
        <f t="shared" si="16"/>
        <v>1.012322859432051</v>
      </c>
      <c r="CZ111" s="168" t="str">
        <f t="shared" si="693"/>
        <v>-</v>
      </c>
      <c r="DA111" s="159">
        <f>DA110</f>
        <v>0</v>
      </c>
      <c r="DB111" s="168">
        <f t="shared" si="694"/>
        <v>1.1064912280701755</v>
      </c>
      <c r="DC111" s="159">
        <f>DC110</f>
        <v>1.19</v>
      </c>
      <c r="DD111" s="190" t="s">
        <v>134</v>
      </c>
      <c r="DE111" s="62" t="s">
        <v>102</v>
      </c>
      <c r="DF111" s="62" t="s">
        <v>102</v>
      </c>
      <c r="DG111" s="62" t="s">
        <v>102</v>
      </c>
      <c r="DH111" s="150" t="s">
        <v>102</v>
      </c>
      <c r="DI111" s="62">
        <f t="shared" si="695"/>
        <v>2.0076789184200643</v>
      </c>
      <c r="DJ111" s="47">
        <f t="shared" si="696"/>
        <v>12.162162162162163</v>
      </c>
      <c r="DK111" s="48">
        <f t="shared" si="697"/>
        <v>0</v>
      </c>
      <c r="DM111" s="107">
        <f t="shared" si="950"/>
        <v>1.1596387049818826</v>
      </c>
      <c r="DN111" s="141" t="str">
        <f t="shared" si="966"/>
        <v>-</v>
      </c>
      <c r="DO111" s="107">
        <f t="shared" si="698"/>
        <v>5.2932923265867888</v>
      </c>
      <c r="DP111" s="133">
        <f t="shared" si="725"/>
        <v>3.4373708723101144</v>
      </c>
      <c r="DQ111" s="133">
        <f t="shared" si="726"/>
        <v>0</v>
      </c>
      <c r="DR111" s="133">
        <f t="shared" si="727"/>
        <v>0</v>
      </c>
      <c r="DS111" s="133">
        <f t="shared" si="728"/>
        <v>1.855921454276674</v>
      </c>
      <c r="DT111" s="107">
        <f t="shared" si="729"/>
        <v>1.7871048890689831</v>
      </c>
      <c r="DU111" s="133">
        <f t="shared" si="730"/>
        <v>1.9050019050028575</v>
      </c>
      <c r="DW111" s="107">
        <f t="shared" si="417"/>
        <v>1.216634970860009</v>
      </c>
      <c r="DX111" s="107">
        <f t="shared" si="699"/>
        <v>1.1947301320597854</v>
      </c>
      <c r="DZ111" s="107">
        <f t="shared" si="700"/>
        <v>1.1767266233337697</v>
      </c>
      <c r="EA111" s="122" t="str">
        <f t="shared" si="967"/>
        <v>-</v>
      </c>
      <c r="EB111" s="107">
        <f t="shared" si="701"/>
        <v>1.1866876235373425</v>
      </c>
      <c r="EC111" s="122" t="str">
        <f t="shared" si="968"/>
        <v>-</v>
      </c>
      <c r="ED111" s="107">
        <f t="shared" si="67"/>
        <v>3.4370849717291079</v>
      </c>
      <c r="EE111" s="107">
        <f t="shared" si="68"/>
        <v>2.1685350061166324</v>
      </c>
      <c r="EF111" s="107">
        <f t="shared" si="733"/>
        <v>1.582892730539718</v>
      </c>
      <c r="EH111" s="107">
        <f t="shared" si="702"/>
        <v>1.1799491620265503</v>
      </c>
      <c r="EJ111" s="107">
        <f t="shared" si="69"/>
        <v>3.4370849717291079</v>
      </c>
      <c r="EK111" s="107">
        <f t="shared" si="735"/>
        <v>2.1686860967520136</v>
      </c>
      <c r="EL111" s="107">
        <f t="shared" si="736"/>
        <v>1.8446276715143175</v>
      </c>
      <c r="EM111" s="107">
        <f t="shared" si="703"/>
        <v>1.1716800798174161</v>
      </c>
      <c r="EO111" s="107">
        <f t="shared" si="737"/>
        <v>5.4405368159973166</v>
      </c>
      <c r="EP111" s="107">
        <f t="shared" si="70"/>
        <v>3.4370849717291079</v>
      </c>
      <c r="EQ111" s="107">
        <f t="shared" si="739"/>
        <v>1.582892730539718</v>
      </c>
      <c r="ER111" s="107">
        <f t="shared" si="740"/>
        <v>1.7871048890689831</v>
      </c>
      <c r="ES111" s="107">
        <f t="shared" si="951"/>
        <v>1.1782431152482751</v>
      </c>
      <c r="EU111" s="107">
        <f>IF(SeilBeregnet=0,EU110,(EV:EV*EW:EW)^EU$3)</f>
        <v>1.8644552775487691</v>
      </c>
      <c r="EV111" s="107">
        <f t="shared" si="71"/>
        <v>3.4370849717291079</v>
      </c>
      <c r="EW111" s="107">
        <f t="shared" si="742"/>
        <v>1.011378394939906</v>
      </c>
      <c r="EX111" s="107">
        <f t="shared" si="743"/>
        <v>1.8153378227362575</v>
      </c>
      <c r="EY111" s="107">
        <f t="shared" si="952"/>
        <v>1.125166526652323</v>
      </c>
      <c r="FA111" s="107">
        <f t="shared" si="941"/>
        <v>1.864532819676336</v>
      </c>
      <c r="FB111" s="107">
        <f t="shared" si="72"/>
        <v>3.4373708723101144</v>
      </c>
      <c r="FC111" s="107">
        <f t="shared" si="745"/>
        <v>1.011378394939906</v>
      </c>
      <c r="FD111" s="107">
        <f t="shared" si="746"/>
        <v>1.8153378227362575</v>
      </c>
      <c r="FE111" s="107">
        <f t="shared" si="953"/>
        <v>1.1690395606913944</v>
      </c>
      <c r="FF111" s="141" t="str">
        <f t="shared" si="969"/>
        <v>-</v>
      </c>
      <c r="FG111" s="107">
        <f t="shared" si="942"/>
        <v>3.5160394280803415</v>
      </c>
      <c r="FH111" s="133">
        <f t="shared" si="747"/>
        <v>3.4373708723101144</v>
      </c>
      <c r="FI111" s="133">
        <f t="shared" si="748"/>
        <v>1.0228862577512206</v>
      </c>
      <c r="FJ111" s="107">
        <f t="shared" si="749"/>
        <v>1.0208394769056701</v>
      </c>
      <c r="FK111" s="107">
        <f t="shared" si="954"/>
        <v>1.1862752391447537</v>
      </c>
      <c r="FL111" s="141" t="str">
        <f t="shared" si="970"/>
        <v>-</v>
      </c>
      <c r="FM111" s="107">
        <f t="shared" si="943"/>
        <v>5.6423934411818717</v>
      </c>
      <c r="FN111" s="133">
        <f t="shared" si="750"/>
        <v>3.4373708723101144</v>
      </c>
      <c r="FO111" s="133">
        <f t="shared" si="751"/>
        <v>0.84910111459508342</v>
      </c>
      <c r="FP111" s="133">
        <f t="shared" si="752"/>
        <v>1.855921454276674</v>
      </c>
      <c r="FQ111" s="107">
        <f t="shared" si="753"/>
        <v>1.7871048890689831</v>
      </c>
      <c r="FR111" s="107">
        <f t="shared" si="955"/>
        <v>1.1736298358348842</v>
      </c>
      <c r="FS111" s="141" t="str">
        <f t="shared" si="971"/>
        <v>-</v>
      </c>
      <c r="FT111" s="107">
        <f t="shared" si="944"/>
        <v>6.3794903482260672</v>
      </c>
      <c r="FU111" s="133">
        <f t="shared" si="754"/>
        <v>3.4373708723101144</v>
      </c>
      <c r="FV111" s="133">
        <f t="shared" si="755"/>
        <v>1.855921454276674</v>
      </c>
      <c r="FW111" s="107">
        <f t="shared" si="756"/>
        <v>1.7871048890689831</v>
      </c>
      <c r="FY111">
        <v>0.95</v>
      </c>
      <c r="FZ111" s="62">
        <f t="shared" si="711"/>
        <v>1.1429795596601606</v>
      </c>
      <c r="GA111" s="62">
        <f t="shared" si="712"/>
        <v>1.9050019050028575</v>
      </c>
      <c r="GB111" s="107">
        <f t="shared" si="798"/>
        <v>1.2733005066600476</v>
      </c>
      <c r="GC111" s="440"/>
      <c r="GD111" s="17"/>
      <c r="GE111" s="442"/>
      <c r="GF111" s="462"/>
      <c r="GG111" s="17"/>
      <c r="GH111" s="17"/>
      <c r="GI111" s="17"/>
      <c r="GJ111" s="17"/>
      <c r="GL111" s="17"/>
      <c r="GM111" s="442"/>
      <c r="GN111" s="8"/>
      <c r="GO111" s="8"/>
      <c r="GP111" s="8"/>
      <c r="GQ111" s="8"/>
      <c r="GS111" s="17"/>
      <c r="GT111" s="17"/>
      <c r="GU111" s="17"/>
      <c r="GV111" s="629"/>
      <c r="GW111" s="17"/>
      <c r="GX111" s="17"/>
      <c r="GY111" s="17"/>
      <c r="GZ111" s="17"/>
    </row>
    <row r="112" spans="1:208" ht="15.6" x14ac:dyDescent="0.3">
      <c r="A112" s="60" t="s">
        <v>29</v>
      </c>
      <c r="B112" s="218"/>
      <c r="C112" s="61" t="str">
        <f t="shared" ref="C112:C113" si="986">C111</f>
        <v>Gaffel</v>
      </c>
      <c r="D112" s="61"/>
      <c r="E112" s="61"/>
      <c r="F112" s="61"/>
      <c r="G112" s="54"/>
      <c r="H112" s="204">
        <f>TBFavrundet</f>
        <v>117.49999999999999</v>
      </c>
      <c r="I112" s="63">
        <f>COUNTA(O112:AG112)</f>
        <v>3</v>
      </c>
      <c r="J112" s="222">
        <f>SUM(O112:AG112)</f>
        <v>88.8</v>
      </c>
      <c r="K112" s="116">
        <f>Seilareal/Depl^0.667/K$7</f>
        <v>1.2948531147644842</v>
      </c>
      <c r="L112" s="116">
        <f>Seilareal/Lwl/Lwl/L$7</f>
        <v>1.2950591243208693</v>
      </c>
      <c r="M112" s="92">
        <f>RiggF</f>
        <v>0.80686936936936948</v>
      </c>
      <c r="N112" s="242">
        <f>StHfaktor</f>
        <v>1.012322859432051</v>
      </c>
      <c r="O112" s="143"/>
      <c r="P112" s="143"/>
      <c r="Q112" s="143"/>
      <c r="R112" s="143">
        <f t="shared" si="972"/>
        <v>27.8</v>
      </c>
      <c r="S112" s="143"/>
      <c r="T112" s="143"/>
      <c r="U112" s="143">
        <f t="shared" si="973"/>
        <v>16.5</v>
      </c>
      <c r="V112" s="143"/>
      <c r="W112" s="143"/>
      <c r="X112" s="143">
        <f t="shared" si="973"/>
        <v>44.5</v>
      </c>
      <c r="Y112" s="143"/>
      <c r="Z112" s="143"/>
      <c r="AA112" s="143"/>
      <c r="AB112" s="143"/>
      <c r="AC112" s="143"/>
      <c r="AD112" s="143"/>
      <c r="AE112" s="143"/>
      <c r="AF112" s="143"/>
      <c r="AG112" s="551"/>
      <c r="AH112" s="557"/>
      <c r="AI112" s="557">
        <f t="shared" si="975"/>
        <v>11.25</v>
      </c>
      <c r="AJ112" s="337">
        <f t="shared" si="976"/>
        <v>0</v>
      </c>
      <c r="AK112" s="339"/>
      <c r="AL112" s="337">
        <f t="shared" si="976"/>
        <v>0</v>
      </c>
      <c r="AM112" s="339"/>
      <c r="AN112" s="267" t="str">
        <f t="shared" si="977"/>
        <v>Lystb</v>
      </c>
      <c r="AO112" s="45">
        <f>VLOOKUP(AN112,Skrogform!$1:$1048576,3,FALSE)</f>
        <v>0.98</v>
      </c>
      <c r="AP112" s="64">
        <f t="shared" ref="AP112:AZ112" si="987">AP111</f>
        <v>12.4</v>
      </c>
      <c r="AQ112" s="64">
        <f t="shared" si="987"/>
        <v>10.199999999999999</v>
      </c>
      <c r="AR112" s="64">
        <f t="shared" si="987"/>
        <v>3.6</v>
      </c>
      <c r="AS112" s="64">
        <f t="shared" si="987"/>
        <v>1.8</v>
      </c>
      <c r="AT112" s="64">
        <f t="shared" ref="AT112" si="988">AT111</f>
        <v>16</v>
      </c>
      <c r="AU112" s="64">
        <f t="shared" si="987"/>
        <v>16</v>
      </c>
      <c r="AV112" s="64">
        <f t="shared" si="987"/>
        <v>5</v>
      </c>
      <c r="AW112" s="64">
        <f t="shared" si="987"/>
        <v>1</v>
      </c>
      <c r="AX112" s="256">
        <f>AX111</f>
        <v>0</v>
      </c>
      <c r="AY112" s="256">
        <f t="shared" si="987"/>
        <v>65</v>
      </c>
      <c r="AZ112" s="256">
        <f t="shared" si="987"/>
        <v>455</v>
      </c>
      <c r="BA112" s="256">
        <f t="shared" ref="BA112:BB112" si="989">BA111</f>
        <v>0</v>
      </c>
      <c r="BB112" s="256">
        <f t="shared" si="989"/>
        <v>0</v>
      </c>
      <c r="BC112" s="256"/>
      <c r="BD112" s="66"/>
      <c r="BE112" s="66"/>
      <c r="BF112" s="261"/>
      <c r="BG112" s="66"/>
      <c r="BH112" s="175"/>
      <c r="BI112" s="66"/>
      <c r="BJ112" s="66"/>
      <c r="BK112" s="65" t="str">
        <f t="shared" ref="BK112:BM112" si="990" xml:space="preserve"> BK111</f>
        <v>Fast</v>
      </c>
      <c r="BL112" s="267">
        <f t="shared" si="990"/>
        <v>3</v>
      </c>
      <c r="BM112" s="267">
        <f t="shared" si="990"/>
        <v>40</v>
      </c>
      <c r="BN112" s="45">
        <f t="shared" ref="BN112:BN131" si="991">IF((BK112="Fast"),(1.006248-(0.06415*((BM112/100*SQRT(BL112))/POWER(AU112,(1/3))))),1)</f>
        <v>0.98861021875730792</v>
      </c>
      <c r="BO112" s="59"/>
      <c r="BP112" s="59"/>
      <c r="BR112" s="49">
        <f t="shared" si="982"/>
        <v>0</v>
      </c>
      <c r="BS112" s="49">
        <f t="shared" si="982"/>
        <v>0</v>
      </c>
      <c r="BT112" s="49">
        <f t="shared" si="982"/>
        <v>0</v>
      </c>
      <c r="BU112" s="49">
        <f t="shared" si="982"/>
        <v>27.8</v>
      </c>
      <c r="BV112" s="49">
        <f t="shared" si="982"/>
        <v>0</v>
      </c>
      <c r="BW112" s="49">
        <f t="shared" si="982"/>
        <v>0</v>
      </c>
      <c r="BX112" s="49">
        <f>IF(U112=0,0,U112*BX$9)</f>
        <v>16.5</v>
      </c>
      <c r="BY112" s="549">
        <f>IF(COUNT(Q112:U112)&gt;1,MINA(Q112:U112)*BY$9,0)</f>
        <v>-8.25</v>
      </c>
      <c r="BZ112" s="85">
        <f t="shared" si="983"/>
        <v>0</v>
      </c>
      <c r="CA112" s="85">
        <f t="shared" si="983"/>
        <v>0</v>
      </c>
      <c r="CB112" s="85">
        <f t="shared" si="983"/>
        <v>35.6</v>
      </c>
      <c r="CC112" s="85">
        <f t="shared" si="983"/>
        <v>0</v>
      </c>
      <c r="CD112" s="85">
        <f t="shared" si="983"/>
        <v>0</v>
      </c>
      <c r="CE112" s="85">
        <f>IF(AC112=0,0,AC112*CE$9)</f>
        <v>0</v>
      </c>
      <c r="CF112" s="85">
        <f t="shared" si="984"/>
        <v>0</v>
      </c>
      <c r="CG112" s="85">
        <f t="shared" si="984"/>
        <v>0</v>
      </c>
      <c r="CH112" s="85">
        <f t="shared" si="985"/>
        <v>0</v>
      </c>
      <c r="CI112" s="85">
        <f t="shared" si="985"/>
        <v>0</v>
      </c>
      <c r="CJ112" s="85">
        <f t="shared" si="985"/>
        <v>0</v>
      </c>
      <c r="CK112" s="85">
        <f t="shared" si="985"/>
        <v>0</v>
      </c>
      <c r="CL112" s="100">
        <f>SUM(BR112:CK112)</f>
        <v>71.650000000000006</v>
      </c>
      <c r="CM112" s="50"/>
      <c r="CN112" s="104">
        <f>J112</f>
        <v>88.8</v>
      </c>
      <c r="CO112" s="101">
        <f>CL112/CN112</f>
        <v>0.80686936936936948</v>
      </c>
      <c r="CP112" s="51">
        <f>Seilareal/Lwl/Lwl</f>
        <v>0.85351787773933119</v>
      </c>
      <c r="CQ112" s="116">
        <f>Seilareal/Depl^0.667/K$7</f>
        <v>1.2948531147644842</v>
      </c>
      <c r="CR112" s="51">
        <f>Seilareal/Lwl/Lwl/SApRS1</f>
        <v>1.2950591243208693</v>
      </c>
      <c r="CS112" s="204"/>
      <c r="CT112" s="204">
        <f>(ROUND(TBF/CT$6,3)*CT$6)*CT$4</f>
        <v>117.49999999999999</v>
      </c>
      <c r="CU112" s="107">
        <f t="shared" si="36"/>
        <v>1.1744303487332042</v>
      </c>
      <c r="CV112" s="62">
        <f t="shared" si="789"/>
        <v>3.386534230113011</v>
      </c>
      <c r="CW112" s="62">
        <f t="shared" si="14"/>
        <v>1.7716909687891083</v>
      </c>
      <c r="CX112" s="62">
        <f t="shared" si="790"/>
        <v>1.7871048890689831</v>
      </c>
      <c r="CY112" s="107">
        <f t="shared" si="16"/>
        <v>1.012322859432051</v>
      </c>
      <c r="CZ112" s="168" t="str">
        <f t="shared" si="693"/>
        <v>-</v>
      </c>
      <c r="DA112" s="158"/>
      <c r="DB112" s="168" t="str">
        <f t="shared" si="694"/>
        <v>-</v>
      </c>
      <c r="DC112" s="160"/>
      <c r="DD112" s="190" t="s">
        <v>134</v>
      </c>
      <c r="DE112" s="62" t="s">
        <v>102</v>
      </c>
      <c r="DF112" s="62" t="s">
        <v>102</v>
      </c>
      <c r="DG112" s="62" t="s">
        <v>102</v>
      </c>
      <c r="DH112" s="150" t="s">
        <v>102</v>
      </c>
      <c r="DI112" s="62">
        <f t="shared" si="695"/>
        <v>2.0076789184200643</v>
      </c>
      <c r="DJ112" s="47">
        <f t="shared" si="696"/>
        <v>12.162162162162163</v>
      </c>
      <c r="DK112" s="48">
        <f t="shared" si="697"/>
        <v>0</v>
      </c>
      <c r="DM112" s="107">
        <f t="shared" si="950"/>
        <v>1.1425794299231058</v>
      </c>
      <c r="DN112" s="141" t="str">
        <f t="shared" si="966"/>
        <v>-</v>
      </c>
      <c r="DO112" s="107">
        <f t="shared" si="698"/>
        <v>5.2154234788346185</v>
      </c>
      <c r="DP112" s="133">
        <f t="shared" si="725"/>
        <v>3.3595020245579446</v>
      </c>
      <c r="DQ112" s="133">
        <f t="shared" si="726"/>
        <v>0</v>
      </c>
      <c r="DR112" s="133">
        <f t="shared" si="727"/>
        <v>0</v>
      </c>
      <c r="DS112" s="133">
        <f t="shared" si="728"/>
        <v>1.855921454276674</v>
      </c>
      <c r="DT112" s="107">
        <f t="shared" si="729"/>
        <v>1.7871048890689831</v>
      </c>
      <c r="DU112" s="133">
        <f t="shared" si="730"/>
        <v>1.9050019050028575</v>
      </c>
      <c r="DW112" s="107">
        <f t="shared" si="417"/>
        <v>1.1983983150338819</v>
      </c>
      <c r="DX112" s="107">
        <f t="shared" si="699"/>
        <v>1.1731986169360153</v>
      </c>
      <c r="DZ112" s="107">
        <f t="shared" si="700"/>
        <v>1.1594375455931512</v>
      </c>
      <c r="EA112" s="122" t="str">
        <f t="shared" si="967"/>
        <v>-</v>
      </c>
      <c r="EB112" s="107">
        <f t="shared" si="701"/>
        <v>1.1661452998847714</v>
      </c>
      <c r="EC112" s="122" t="str">
        <f t="shared" si="968"/>
        <v>-</v>
      </c>
      <c r="ED112" s="107">
        <f t="shared" si="67"/>
        <v>3.3592226006562496</v>
      </c>
      <c r="EE112" s="107">
        <f t="shared" si="68"/>
        <v>2.1685350061166324</v>
      </c>
      <c r="EF112" s="107">
        <f t="shared" si="733"/>
        <v>1.582892730539718</v>
      </c>
      <c r="EH112" s="107">
        <f t="shared" si="702"/>
        <v>1.1614045947859748</v>
      </c>
      <c r="EJ112" s="107">
        <f t="shared" si="69"/>
        <v>3.3592226006562496</v>
      </c>
      <c r="EK112" s="107">
        <f t="shared" si="735"/>
        <v>2.1686860967520136</v>
      </c>
      <c r="EL112" s="107">
        <f t="shared" si="736"/>
        <v>1.8446276715143175</v>
      </c>
      <c r="EM112" s="107">
        <f t="shared" si="703"/>
        <v>1.1522719411802762</v>
      </c>
      <c r="EO112" s="107">
        <f t="shared" si="737"/>
        <v>5.3172890348435038</v>
      </c>
      <c r="EP112" s="107">
        <f t="shared" si="70"/>
        <v>3.3592226006562496</v>
      </c>
      <c r="EQ112" s="107">
        <f t="shared" si="739"/>
        <v>1.582892730539718</v>
      </c>
      <c r="ER112" s="107">
        <f t="shared" si="740"/>
        <v>1.7871048890689831</v>
      </c>
      <c r="ES112" s="107">
        <f t="shared" si="951"/>
        <v>1.1599024247823397</v>
      </c>
      <c r="EU112" s="107">
        <f>IF(SeilBeregnet=0,EU111,(EV:EV*EW:EW)^EU$3)</f>
        <v>1.8432159835726183</v>
      </c>
      <c r="EV112" s="107">
        <f t="shared" si="71"/>
        <v>3.3592226006562496</v>
      </c>
      <c r="EW112" s="107">
        <f t="shared" si="742"/>
        <v>1.011378394939906</v>
      </c>
      <c r="EX112" s="107">
        <f t="shared" si="743"/>
        <v>1.8153378227362575</v>
      </c>
      <c r="EY112" s="107">
        <f t="shared" si="952"/>
        <v>1.1123489799299835</v>
      </c>
      <c r="FA112" s="107">
        <f t="shared" si="941"/>
        <v>1.8432926423644127</v>
      </c>
      <c r="FB112" s="107">
        <f t="shared" si="72"/>
        <v>3.3595020245579446</v>
      </c>
      <c r="FC112" s="107">
        <f t="shared" si="745"/>
        <v>1.011378394939906</v>
      </c>
      <c r="FD112" s="107">
        <f t="shared" si="746"/>
        <v>1.8153378227362575</v>
      </c>
      <c r="FE112" s="107">
        <f t="shared" si="953"/>
        <v>1.1521587640280702</v>
      </c>
      <c r="FF112" s="141" t="str">
        <f t="shared" si="969"/>
        <v>-</v>
      </c>
      <c r="FG112" s="107">
        <f t="shared" si="942"/>
        <v>3.4363884538077247</v>
      </c>
      <c r="FH112" s="133">
        <f t="shared" si="747"/>
        <v>3.3595020245579446</v>
      </c>
      <c r="FI112" s="133">
        <f t="shared" si="748"/>
        <v>1.0228862577512206</v>
      </c>
      <c r="FJ112" s="107">
        <f t="shared" si="749"/>
        <v>1.0208394769056701</v>
      </c>
      <c r="FK112" s="107">
        <f t="shared" si="954"/>
        <v>1.1658597661986865</v>
      </c>
      <c r="FL112" s="141" t="str">
        <f t="shared" si="970"/>
        <v>-</v>
      </c>
      <c r="FM112" s="107">
        <f t="shared" si="943"/>
        <v>5.5452893907487155</v>
      </c>
      <c r="FN112" s="133">
        <f t="shared" si="750"/>
        <v>3.3595020245579446</v>
      </c>
      <c r="FO112" s="133">
        <f t="shared" si="751"/>
        <v>0.82986591191409753</v>
      </c>
      <c r="FP112" s="133">
        <f t="shared" si="752"/>
        <v>1.855921454276674</v>
      </c>
      <c r="FQ112" s="107">
        <f t="shared" si="753"/>
        <v>1.7871048890689831</v>
      </c>
      <c r="FR112" s="107">
        <f t="shared" si="955"/>
        <v>1.1572888425053403</v>
      </c>
      <c r="FS112" s="141" t="str">
        <f t="shared" si="971"/>
        <v>-</v>
      </c>
      <c r="FT112" s="107">
        <f t="shared" si="944"/>
        <v>6.234971883063011</v>
      </c>
      <c r="FU112" s="133">
        <f t="shared" si="754"/>
        <v>3.3595020245579446</v>
      </c>
      <c r="FV112" s="133">
        <f t="shared" si="755"/>
        <v>1.855921454276674</v>
      </c>
      <c r="FW112" s="107">
        <f t="shared" si="756"/>
        <v>1.7871048890689831</v>
      </c>
      <c r="FY112">
        <v>0.95</v>
      </c>
      <c r="FZ112" s="62">
        <f t="shared" si="711"/>
        <v>1.1306157689052818</v>
      </c>
      <c r="GA112" s="62">
        <f t="shared" si="712"/>
        <v>1.9050019050028575</v>
      </c>
      <c r="GB112" s="107">
        <f t="shared" si="798"/>
        <v>1.2636120248258405</v>
      </c>
      <c r="GC112" s="440"/>
      <c r="GD112" s="17"/>
      <c r="GE112" s="442"/>
      <c r="GF112" s="462"/>
      <c r="GG112" s="17"/>
      <c r="GH112" s="17"/>
      <c r="GI112" s="17"/>
      <c r="GJ112" s="17"/>
      <c r="GL112" s="17"/>
      <c r="GM112" s="442"/>
      <c r="GN112" s="8"/>
      <c r="GO112" s="8"/>
      <c r="GP112" s="8"/>
      <c r="GQ112" s="8"/>
      <c r="GS112" s="17"/>
      <c r="GT112" s="17"/>
      <c r="GU112" s="17"/>
      <c r="GV112" s="629"/>
      <c r="GW112" s="17"/>
      <c r="GX112" s="17"/>
      <c r="GY112" s="17"/>
      <c r="GZ112" s="17"/>
    </row>
    <row r="113" spans="1:208" ht="15.6" x14ac:dyDescent="0.3">
      <c r="A113" s="60" t="s">
        <v>30</v>
      </c>
      <c r="B113" s="218"/>
      <c r="C113" s="61" t="str">
        <f t="shared" si="986"/>
        <v>Gaffel</v>
      </c>
      <c r="D113" s="61"/>
      <c r="E113" s="61"/>
      <c r="F113" s="61"/>
      <c r="G113" s="54"/>
      <c r="H113" s="204">
        <f>TBFavrundet</f>
        <v>110.5</v>
      </c>
      <c r="I113" s="63">
        <f>COUNTA(O113:AG113)</f>
        <v>3</v>
      </c>
      <c r="J113" s="222">
        <f>SUM(O113:AG113)</f>
        <v>76</v>
      </c>
      <c r="K113" s="116">
        <f>Seilareal/Depl^0.667/K$7</f>
        <v>1.1082076207443783</v>
      </c>
      <c r="L113" s="116">
        <f>Seilareal/Lwl/Lwl/L$7</f>
        <v>1.1083839352295728</v>
      </c>
      <c r="M113" s="92">
        <f>RiggF</f>
        <v>0.78421052631578947</v>
      </c>
      <c r="N113" s="242">
        <f>StHfaktor</f>
        <v>1.012322859432051</v>
      </c>
      <c r="O113" s="143"/>
      <c r="P113" s="143"/>
      <c r="Q113" s="143"/>
      <c r="R113" s="143"/>
      <c r="S113" s="177">
        <v>15</v>
      </c>
      <c r="T113" s="143"/>
      <c r="U113" s="143">
        <f t="shared" si="973"/>
        <v>16.5</v>
      </c>
      <c r="V113" s="143"/>
      <c r="W113" s="143"/>
      <c r="X113" s="143">
        <f t="shared" si="973"/>
        <v>44.5</v>
      </c>
      <c r="Y113" s="143"/>
      <c r="Z113" s="143"/>
      <c r="AA113" s="143"/>
      <c r="AB113" s="143"/>
      <c r="AC113" s="143"/>
      <c r="AD113" s="143"/>
      <c r="AE113" s="143"/>
      <c r="AF113" s="143"/>
      <c r="AG113" s="551"/>
      <c r="AH113" s="557"/>
      <c r="AI113" s="557">
        <f t="shared" si="975"/>
        <v>11.25</v>
      </c>
      <c r="AJ113" s="337">
        <f t="shared" si="976"/>
        <v>0</v>
      </c>
      <c r="AK113" s="339"/>
      <c r="AL113" s="337">
        <f t="shared" si="976"/>
        <v>0</v>
      </c>
      <c r="AM113" s="339"/>
      <c r="AN113" s="267" t="str">
        <f t="shared" si="977"/>
        <v>Lystb</v>
      </c>
      <c r="AO113" s="45">
        <f>VLOOKUP(AN113,Skrogform!$1:$1048576,3,FALSE)</f>
        <v>0.98</v>
      </c>
      <c r="AP113" s="64">
        <f t="shared" ref="AP113:AZ113" si="992">AP112</f>
        <v>12.4</v>
      </c>
      <c r="AQ113" s="64">
        <f t="shared" si="992"/>
        <v>10.199999999999999</v>
      </c>
      <c r="AR113" s="64">
        <f t="shared" si="992"/>
        <v>3.6</v>
      </c>
      <c r="AS113" s="64">
        <f t="shared" si="992"/>
        <v>1.8</v>
      </c>
      <c r="AT113" s="64">
        <f t="shared" ref="AT113" si="993">AT112</f>
        <v>16</v>
      </c>
      <c r="AU113" s="64">
        <f t="shared" si="992"/>
        <v>16</v>
      </c>
      <c r="AV113" s="64">
        <f t="shared" si="992"/>
        <v>5</v>
      </c>
      <c r="AW113" s="64">
        <f t="shared" si="992"/>
        <v>1</v>
      </c>
      <c r="AX113" s="256">
        <f>AX112</f>
        <v>0</v>
      </c>
      <c r="AY113" s="256">
        <f t="shared" si="992"/>
        <v>65</v>
      </c>
      <c r="AZ113" s="256">
        <f t="shared" si="992"/>
        <v>455</v>
      </c>
      <c r="BA113" s="256">
        <f t="shared" ref="BA113:BB113" si="994">BA112</f>
        <v>0</v>
      </c>
      <c r="BB113" s="256">
        <f t="shared" si="994"/>
        <v>0</v>
      </c>
      <c r="BC113" s="256"/>
      <c r="BD113" s="66"/>
      <c r="BE113" s="66"/>
      <c r="BF113" s="261"/>
      <c r="BG113" s="66"/>
      <c r="BH113" s="175"/>
      <c r="BI113" s="66"/>
      <c r="BJ113" s="66"/>
      <c r="BK113" s="65" t="str">
        <f t="shared" ref="BK113:BM113" si="995" xml:space="preserve"> BK112</f>
        <v>Fast</v>
      </c>
      <c r="BL113" s="267">
        <f t="shared" si="995"/>
        <v>3</v>
      </c>
      <c r="BM113" s="267">
        <f t="shared" si="995"/>
        <v>40</v>
      </c>
      <c r="BN113" s="45">
        <f t="shared" si="991"/>
        <v>0.98861021875730792</v>
      </c>
      <c r="BO113" s="59"/>
      <c r="BP113" s="59"/>
      <c r="BR113" s="49">
        <f t="shared" si="982"/>
        <v>0</v>
      </c>
      <c r="BS113" s="49">
        <f t="shared" si="982"/>
        <v>0</v>
      </c>
      <c r="BT113" s="49">
        <f t="shared" si="982"/>
        <v>0</v>
      </c>
      <c r="BU113" s="49">
        <f t="shared" si="982"/>
        <v>0</v>
      </c>
      <c r="BV113" s="49">
        <f t="shared" si="982"/>
        <v>15</v>
      </c>
      <c r="BW113" s="49">
        <f t="shared" si="982"/>
        <v>0</v>
      </c>
      <c r="BX113" s="49">
        <f>IF(U113=0,0,U113*BX$9)</f>
        <v>16.5</v>
      </c>
      <c r="BY113" s="549">
        <f>IF(COUNT(Q113:U113)&gt;1,MINA(Q113:U113)*BY$9,0)</f>
        <v>-7.5</v>
      </c>
      <c r="BZ113" s="85">
        <f t="shared" si="983"/>
        <v>0</v>
      </c>
      <c r="CA113" s="85">
        <f t="shared" si="983"/>
        <v>0</v>
      </c>
      <c r="CB113" s="85">
        <f t="shared" si="983"/>
        <v>35.6</v>
      </c>
      <c r="CC113" s="85">
        <f t="shared" si="983"/>
        <v>0</v>
      </c>
      <c r="CD113" s="85">
        <f t="shared" si="983"/>
        <v>0</v>
      </c>
      <c r="CE113" s="85">
        <f>IF(AC113=0,0,AC113*CE$9)</f>
        <v>0</v>
      </c>
      <c r="CF113" s="85">
        <f t="shared" si="984"/>
        <v>0</v>
      </c>
      <c r="CG113" s="85">
        <f t="shared" si="984"/>
        <v>0</v>
      </c>
      <c r="CH113" s="85">
        <f t="shared" si="985"/>
        <v>0</v>
      </c>
      <c r="CI113" s="85">
        <f t="shared" si="985"/>
        <v>0</v>
      </c>
      <c r="CJ113" s="85">
        <f t="shared" si="985"/>
        <v>0</v>
      </c>
      <c r="CK113" s="85">
        <f t="shared" si="985"/>
        <v>0</v>
      </c>
      <c r="CL113" s="100">
        <f>SUM(BR113:CK113)</f>
        <v>59.6</v>
      </c>
      <c r="CM113" s="50"/>
      <c r="CN113" s="104">
        <f>J113</f>
        <v>76</v>
      </c>
      <c r="CO113" s="101">
        <f>CL113/CN113</f>
        <v>0.78421052631578947</v>
      </c>
      <c r="CP113" s="51">
        <f>Seilareal/Lwl/Lwl</f>
        <v>0.730488273740869</v>
      </c>
      <c r="CQ113" s="116">
        <f>Seilareal/Depl^0.667/K$7</f>
        <v>1.1082076207443783</v>
      </c>
      <c r="CR113" s="51">
        <f>Seilareal/Lwl/Lwl/SApRS1</f>
        <v>1.1083839352295728</v>
      </c>
      <c r="CS113" s="204"/>
      <c r="CT113" s="204">
        <f>(ROUND(TBF/CT$6,3)*CT$6)*CT$4</f>
        <v>110.5</v>
      </c>
      <c r="CU113" s="107">
        <f t="shared" si="36"/>
        <v>1.1066106637591016</v>
      </c>
      <c r="CV113" s="62">
        <f t="shared" si="789"/>
        <v>3.0886628336590949</v>
      </c>
      <c r="CW113" s="62">
        <f t="shared" si="14"/>
        <v>1.7716909687891083</v>
      </c>
      <c r="CX113" s="62">
        <f t="shared" si="790"/>
        <v>1.7871048890689831</v>
      </c>
      <c r="CY113" s="107">
        <f t="shared" si="16"/>
        <v>1.012322859432051</v>
      </c>
      <c r="CZ113" s="168" t="str">
        <f t="shared" si="693"/>
        <v>-</v>
      </c>
      <c r="DA113" s="158"/>
      <c r="DB113" s="168" t="str">
        <f t="shared" si="694"/>
        <v>-</v>
      </c>
      <c r="DC113" s="160"/>
      <c r="DD113" s="190" t="s">
        <v>134</v>
      </c>
      <c r="DE113" s="62" t="s">
        <v>102</v>
      </c>
      <c r="DF113" s="62" t="s">
        <v>102</v>
      </c>
      <c r="DG113" s="62" t="s">
        <v>102</v>
      </c>
      <c r="DH113" s="150" t="s">
        <v>102</v>
      </c>
      <c r="DI113" s="62">
        <f t="shared" si="695"/>
        <v>2.0076789184200643</v>
      </c>
      <c r="DJ113" s="47">
        <f t="shared" si="696"/>
        <v>12.162162162162163</v>
      </c>
      <c r="DK113" s="48">
        <f t="shared" si="697"/>
        <v>0</v>
      </c>
      <c r="DM113" s="107">
        <f t="shared" si="950"/>
        <v>1.077843549001293</v>
      </c>
      <c r="DN113" s="141" t="str">
        <f t="shared" si="966"/>
        <v>-</v>
      </c>
      <c r="DO113" s="107">
        <f t="shared" si="698"/>
        <v>4.9199297700905493</v>
      </c>
      <c r="DP113" s="133">
        <f t="shared" si="725"/>
        <v>3.0640083158138758</v>
      </c>
      <c r="DQ113" s="133">
        <f t="shared" si="726"/>
        <v>0</v>
      </c>
      <c r="DR113" s="133">
        <f t="shared" si="727"/>
        <v>0</v>
      </c>
      <c r="DS113" s="133">
        <f t="shared" si="728"/>
        <v>1.855921454276674</v>
      </c>
      <c r="DT113" s="107">
        <f t="shared" si="729"/>
        <v>1.7871048890689831</v>
      </c>
      <c r="DU113" s="133">
        <f t="shared" si="730"/>
        <v>1.9050019050028575</v>
      </c>
      <c r="DW113" s="107">
        <f t="shared" si="417"/>
        <v>1.1291945548562259</v>
      </c>
      <c r="DX113" s="107">
        <f t="shared" si="699"/>
        <v>1.0914916514104505</v>
      </c>
      <c r="DZ113" s="107">
        <f t="shared" si="700"/>
        <v>1.0938296182921132</v>
      </c>
      <c r="EA113" s="122" t="str">
        <f t="shared" si="967"/>
        <v>-</v>
      </c>
      <c r="EB113" s="107">
        <f t="shared" si="701"/>
        <v>1.0881920801114617</v>
      </c>
      <c r="EC113" s="122" t="str">
        <f t="shared" si="968"/>
        <v>-</v>
      </c>
      <c r="ED113" s="107">
        <f t="shared" si="67"/>
        <v>3.0637534693657495</v>
      </c>
      <c r="EE113" s="107">
        <f t="shared" si="68"/>
        <v>2.1685350061166324</v>
      </c>
      <c r="EF113" s="107">
        <f t="shared" si="733"/>
        <v>1.582892730539718</v>
      </c>
      <c r="EH113" s="107">
        <f t="shared" si="702"/>
        <v>1.0910323842145295</v>
      </c>
      <c r="EJ113" s="107">
        <f t="shared" si="69"/>
        <v>3.0637534693657495</v>
      </c>
      <c r="EK113" s="107">
        <f t="shared" si="735"/>
        <v>2.1686860967520136</v>
      </c>
      <c r="EL113" s="107">
        <f t="shared" si="736"/>
        <v>1.8446276715143175</v>
      </c>
      <c r="EM113" s="107">
        <f t="shared" si="703"/>
        <v>1.0786226830846632</v>
      </c>
      <c r="EO113" s="107">
        <f t="shared" si="737"/>
        <v>4.8495930948248853</v>
      </c>
      <c r="EP113" s="107">
        <f t="shared" si="70"/>
        <v>3.0637534693657495</v>
      </c>
      <c r="EQ113" s="107">
        <f t="shared" si="739"/>
        <v>1.582892730539718</v>
      </c>
      <c r="ER113" s="107">
        <f t="shared" si="740"/>
        <v>1.7871048890689831</v>
      </c>
      <c r="ES113" s="107">
        <f t="shared" si="951"/>
        <v>1.0882919788048562</v>
      </c>
      <c r="EU113" s="107">
        <f>IF(SeilBeregnet=0,EU112,(EV:EV*EW:EW)^EU$3)</f>
        <v>1.760288063454019</v>
      </c>
      <c r="EV113" s="107">
        <f t="shared" si="71"/>
        <v>3.0637534693657495</v>
      </c>
      <c r="EW113" s="107">
        <f t="shared" si="742"/>
        <v>1.011378394939906</v>
      </c>
      <c r="EX113" s="107">
        <f t="shared" si="743"/>
        <v>1.8153378227362575</v>
      </c>
      <c r="EY113" s="107">
        <f t="shared" si="952"/>
        <v>1.0623034138250038</v>
      </c>
      <c r="FA113" s="107">
        <f t="shared" si="941"/>
        <v>1.7603612732988541</v>
      </c>
      <c r="FB113" s="107">
        <f t="shared" si="72"/>
        <v>3.0640083158138758</v>
      </c>
      <c r="FC113" s="107">
        <f t="shared" si="745"/>
        <v>1.011378394939906</v>
      </c>
      <c r="FD113" s="107">
        <f t="shared" si="746"/>
        <v>1.8153378227362575</v>
      </c>
      <c r="FE113" s="107">
        <f t="shared" si="953"/>
        <v>1.0881001660573428</v>
      </c>
      <c r="FF113" s="141" t="str">
        <f t="shared" si="969"/>
        <v>-</v>
      </c>
      <c r="FG113" s="107">
        <f t="shared" si="942"/>
        <v>3.1341319998814754</v>
      </c>
      <c r="FH113" s="133">
        <f t="shared" si="747"/>
        <v>3.0640083158138758</v>
      </c>
      <c r="FI113" s="133">
        <f t="shared" si="748"/>
        <v>1.0228862577512206</v>
      </c>
      <c r="FJ113" s="107">
        <f t="shared" si="749"/>
        <v>1.0208394769056701</v>
      </c>
      <c r="FK113" s="107">
        <f t="shared" si="954"/>
        <v>1.0883879146079518</v>
      </c>
      <c r="FL113" s="141" t="str">
        <f t="shared" si="970"/>
        <v>-</v>
      </c>
      <c r="FM113" s="107">
        <f t="shared" si="943"/>
        <v>5.1768026746246196</v>
      </c>
      <c r="FN113" s="133">
        <f t="shared" si="750"/>
        <v>3.0640083158138758</v>
      </c>
      <c r="FO113" s="133">
        <f t="shared" si="751"/>
        <v>0.75687290453406997</v>
      </c>
      <c r="FP113" s="133">
        <f t="shared" si="752"/>
        <v>1.855921454276674</v>
      </c>
      <c r="FQ113" s="107">
        <f t="shared" si="753"/>
        <v>1.7871048890689831</v>
      </c>
      <c r="FR113" s="107">
        <f t="shared" si="955"/>
        <v>1.0952786694657057</v>
      </c>
      <c r="FS113" s="141" t="str">
        <f t="shared" si="971"/>
        <v>-</v>
      </c>
      <c r="FT113" s="107">
        <f t="shared" si="944"/>
        <v>5.6865587694011106</v>
      </c>
      <c r="FU113" s="133">
        <f t="shared" si="754"/>
        <v>3.0640083158138758</v>
      </c>
      <c r="FV113" s="133">
        <f t="shared" si="755"/>
        <v>1.855921454276674</v>
      </c>
      <c r="FW113" s="107">
        <f t="shared" si="756"/>
        <v>1.7871048890689831</v>
      </c>
      <c r="FY113">
        <v>0.95</v>
      </c>
      <c r="FZ113" s="62">
        <f t="shared" si="711"/>
        <v>1.0836981312394161</v>
      </c>
      <c r="GA113" s="62">
        <f t="shared" si="712"/>
        <v>1.9050019050028575</v>
      </c>
      <c r="GB113" s="107">
        <f t="shared" si="798"/>
        <v>1.2254213077023111</v>
      </c>
      <c r="GC113" s="440"/>
      <c r="GD113" s="17"/>
      <c r="GE113" s="442"/>
      <c r="GF113" s="462"/>
      <c r="GG113" s="17"/>
      <c r="GH113" s="17"/>
      <c r="GI113" s="17"/>
      <c r="GJ113" s="17"/>
      <c r="GL113" s="17"/>
      <c r="GM113" s="442"/>
      <c r="GN113" s="8"/>
      <c r="GO113" s="8"/>
      <c r="GP113" s="8"/>
      <c r="GQ113" s="8"/>
      <c r="GS113" s="17"/>
      <c r="GT113" s="17"/>
      <c r="GU113" s="17"/>
      <c r="GV113" s="629"/>
      <c r="GW113" s="17"/>
      <c r="GX113" s="17"/>
      <c r="GY113" s="17"/>
      <c r="GZ113" s="17"/>
    </row>
    <row r="114" spans="1:208" ht="15.6" x14ac:dyDescent="0.3">
      <c r="A114" s="52" t="s">
        <v>31</v>
      </c>
      <c r="B114" s="218">
        <f t="shared" ref="B114" si="996">Loa/0.3048</f>
        <v>24.278215223097114</v>
      </c>
      <c r="C114" s="14" t="s">
        <v>19</v>
      </c>
      <c r="G114" s="54" t="s">
        <v>32</v>
      </c>
      <c r="H114" s="112">
        <f>J115</f>
        <v>42.4</v>
      </c>
      <c r="I114" s="601">
        <f>H115/100</f>
        <v>1.1600000000000001</v>
      </c>
      <c r="J114" s="651">
        <f>IF(DC115=0,"-",DC115)</f>
        <v>1.17</v>
      </c>
      <c r="K114" s="123" t="str">
        <f>A114</f>
        <v>Kathleen II</v>
      </c>
      <c r="L114" s="116"/>
      <c r="M114" s="116"/>
      <c r="N114" s="92"/>
      <c r="O114" s="165"/>
      <c r="P114" s="165"/>
      <c r="Q114" s="165"/>
      <c r="R114" s="165">
        <v>7.5</v>
      </c>
      <c r="S114" s="165">
        <v>4.5</v>
      </c>
      <c r="T114" s="165"/>
      <c r="U114" s="165">
        <v>7</v>
      </c>
      <c r="V114" s="559"/>
      <c r="W114" s="559"/>
      <c r="X114" s="165">
        <v>22.4</v>
      </c>
      <c r="Y114" s="177">
        <f>StorS-StorS/6</f>
        <v>18.666666666666664</v>
      </c>
      <c r="Z114" s="177">
        <f>StorS-StorS/6*1.9</f>
        <v>15.306666666666667</v>
      </c>
      <c r="AA114" s="165">
        <v>5.5</v>
      </c>
      <c r="AB114" s="165"/>
      <c r="AC114" s="165"/>
      <c r="AD114" s="165"/>
      <c r="AE114" s="165"/>
      <c r="AF114" s="165"/>
      <c r="AG114" s="552"/>
      <c r="AH114" s="244"/>
      <c r="AI114" s="241">
        <v>7</v>
      </c>
      <c r="AJ114" s="554"/>
      <c r="AK114" s="339"/>
      <c r="AL114" s="268"/>
      <c r="AM114" s="339"/>
      <c r="AN114" s="268" t="s">
        <v>203</v>
      </c>
      <c r="AO114" s="45">
        <f>VLOOKUP(AN114,Skrogform!$1:$1048576,3,FALSE)</f>
        <v>0.97</v>
      </c>
      <c r="AP114" s="55">
        <v>7.4</v>
      </c>
      <c r="AQ114" s="55">
        <v>6.4</v>
      </c>
      <c r="AR114" s="55">
        <v>2.2000000000000002</v>
      </c>
      <c r="AS114" s="55">
        <v>0.95</v>
      </c>
      <c r="AT114" s="637">
        <v>2.5</v>
      </c>
      <c r="AU114" s="55">
        <v>2.7</v>
      </c>
      <c r="AV114" s="55">
        <v>1</v>
      </c>
      <c r="AW114" s="55">
        <v>0.3</v>
      </c>
      <c r="AX114" s="253"/>
      <c r="AY114" s="253"/>
      <c r="AZ114" s="254">
        <f>AY114*7</f>
        <v>0</v>
      </c>
      <c r="BA114" s="253"/>
      <c r="BB114" s="253"/>
      <c r="BC114" s="244">
        <f>Depl+Diesel/1000*0.84+Vann/1000</f>
        <v>2.7</v>
      </c>
      <c r="BD114" s="95">
        <f>Bredde/(Loa+Lwl)*2</f>
        <v>0.31884057971014496</v>
      </c>
      <c r="BE114" s="95">
        <f>(Kjøl+Ballast)/Depl</f>
        <v>0.48148148148148145</v>
      </c>
      <c r="BF114" s="260">
        <f>BF$7*((Depl-Kjøl-Ballast-VektMotor/1000-VektAnnet/1000)/Lwl/Lwl/Bredde)</f>
        <v>0.58630693427666081</v>
      </c>
      <c r="BG114" s="95">
        <f>BG$7*(Depl/Loa/Lwl/Lwl)</f>
        <v>0.65552058105468725</v>
      </c>
      <c r="BH114" s="174">
        <f>BH$7*(Depl/Loa/Lwl/Bredde)</f>
        <v>0.70488121448863628</v>
      </c>
      <c r="BI114" s="95">
        <f>BI$7*Bredde/(Loa+Lwl)*2</f>
        <v>0.90955275050646722</v>
      </c>
      <c r="BJ114" s="95">
        <f>BJ$7*(Dypg/Lwl)</f>
        <v>0.81188858695652155</v>
      </c>
      <c r="BK114" s="56"/>
      <c r="BL114" s="268"/>
      <c r="BM114" s="268"/>
      <c r="BN114" s="45">
        <f t="shared" ref="BN114:BN121" si="997">IF((BK114="Fast"),(1.006248-(0.06415*((BM114/100*SQRT(BL114))/POWER(AU114,(1/3))))),1)</f>
        <v>1</v>
      </c>
      <c r="BO114" s="59"/>
      <c r="BP114" s="59"/>
      <c r="BR114" s="209"/>
      <c r="BS114" s="209"/>
      <c r="BT114" s="209" t="str">
        <f>$A114</f>
        <v>Kathleen II</v>
      </c>
      <c r="BU114" s="10"/>
      <c r="BV114" s="10"/>
      <c r="BW114" s="10"/>
      <c r="BX114" s="10"/>
      <c r="BY114" s="549"/>
      <c r="BZ114" s="10"/>
      <c r="CA114" s="10"/>
      <c r="CB114" s="209" t="str">
        <f>$A114</f>
        <v>Kathleen II</v>
      </c>
      <c r="CC114" s="10"/>
      <c r="CD114" s="10"/>
      <c r="CE114" s="10"/>
      <c r="CF114" s="10"/>
      <c r="CG114" s="10"/>
      <c r="CH114" s="10"/>
      <c r="CI114" s="10"/>
      <c r="CJ114" s="10"/>
      <c r="CK114" s="10"/>
      <c r="CL114" s="209"/>
      <c r="CM114" s="10"/>
      <c r="CN114" s="209" t="str">
        <f>$A114</f>
        <v>Kathleen II</v>
      </c>
      <c r="CO114" s="207"/>
      <c r="CP114" s="207"/>
      <c r="CQ114" s="116"/>
      <c r="CR114" s="207"/>
      <c r="CS114" s="203"/>
      <c r="CT114" s="203" t="s">
        <v>23</v>
      </c>
      <c r="CU114" s="107" t="str">
        <f t="shared" si="83"/>
        <v>-</v>
      </c>
      <c r="CV114" s="62" t="str">
        <f t="shared" si="523"/>
        <v>-</v>
      </c>
      <c r="CW114" s="62" t="str">
        <f t="shared" ref="CW114:CW257" si="998">IF(SeilBeregnet=0,"-",((Loa+Lwl)/2/Bredde)^(1/CW$7))</f>
        <v>-</v>
      </c>
      <c r="CX114" s="62" t="str">
        <f t="shared" si="524"/>
        <v>-</v>
      </c>
      <c r="CY114" s="107" t="str">
        <f t="shared" ref="CY114:CY257" si="999">IF(SeilBeregnet=0,"-",(StH/Lwl)^(1/CY$7))</f>
        <v>-</v>
      </c>
      <c r="CZ114" s="168">
        <f t="shared" ref="CZ114:CZ121" si="1000">IF(DA114=0,"-",IF(CP114="TBF","-",CZ$7*DA114))</f>
        <v>1.1348235294117648</v>
      </c>
      <c r="DA114" s="158">
        <v>0.91</v>
      </c>
      <c r="DB114" s="168" t="str">
        <f t="shared" ref="DB114:DB121" si="1001">IF(DC114=0,"-",IF(CT114="TBF","-",DB$7*DC114))</f>
        <v>-</v>
      </c>
      <c r="DC114" s="160">
        <v>1.17</v>
      </c>
      <c r="DD114" s="190" t="s">
        <v>134</v>
      </c>
      <c r="DE114" s="29" t="s">
        <v>23</v>
      </c>
      <c r="DF114" s="29" t="s">
        <v>23</v>
      </c>
      <c r="DG114" s="29" t="s">
        <v>23</v>
      </c>
      <c r="DH114" s="149">
        <v>2022</v>
      </c>
      <c r="DI114" s="62" t="str">
        <f t="shared" si="542"/>
        <v>-</v>
      </c>
      <c r="DJ114" s="47">
        <f t="shared" si="543"/>
        <v>9.8958333333333321</v>
      </c>
      <c r="DK114" s="48">
        <f t="shared" ref="DK114:DK121" si="1002">DJ$7*IF(DJ114&lt;DJ$5,-0.04,IF(DJ114&lt;DJ$5*1.1,-0.03,IF(DJ114&lt;DJ$5*1.2,-0.02,IF(DJ114&lt;DJ$5*1.3,-0.01,0))))</f>
        <v>0</v>
      </c>
      <c r="DM114" s="107" t="str">
        <f t="shared" si="950"/>
        <v>-</v>
      </c>
      <c r="DN114" s="141" t="str">
        <f t="shared" ref="DN114:DN121" si="1003">IF($DY114=0,"-",(DM114-$DW114)*100)</f>
        <v>-</v>
      </c>
      <c r="DO114" s="107">
        <f t="shared" ref="DO114:DO121" si="1004">SUM(DP114:DS114)^DO$3+DO$7</f>
        <v>4.3883753514569079</v>
      </c>
      <c r="DP114" s="133">
        <f>IF(SeilBeregnet=0,DP96,(SeilBeregnet^0.5/(Depl^0.3333))^DP$3*DP$7)</f>
        <v>2.5601341875442647</v>
      </c>
      <c r="DQ114" s="133">
        <f>IF(SeilBeregnet=0,DQ96,(SeilBeregnet^0.5/Lwl)^DQ$3*DQ$7)</f>
        <v>0</v>
      </c>
      <c r="DR114" s="133">
        <f>IF(SeilBeregnet=0,DR96,(0.1*Loa/Depl^0.3333)^DR$3*DR$7)</f>
        <v>0</v>
      </c>
      <c r="DS114" s="133">
        <f>IF(SeilBeregnet=0,DS96,((Loa)/Bredde)^DS$3*DS$7)</f>
        <v>1.8282411639126435</v>
      </c>
      <c r="DT114" s="107">
        <f>IF(SeilBeregnet=0,DT96,(Lwl)^DT$3)</f>
        <v>1.800102871839254</v>
      </c>
      <c r="DU114" s="133">
        <f>IF(SeilBeregnet=0,DU96,(Dypg/Loa)^DU$3*5*DU$7)</f>
        <v>1.9470448393802795</v>
      </c>
      <c r="DW114" s="107" t="str">
        <f t="shared" si="512"/>
        <v>-</v>
      </c>
      <c r="DX114" s="107" t="str">
        <f t="shared" si="544"/>
        <v>-</v>
      </c>
      <c r="DZ114" s="107" t="str">
        <f t="shared" si="545"/>
        <v>-</v>
      </c>
      <c r="EA114" s="122" t="str">
        <f t="shared" ref="EA114:EA121" si="1005">IF($DY114=0,"-",DZ114-$DW114)</f>
        <v>-</v>
      </c>
      <c r="EB114" s="107" t="str">
        <f t="shared" ref="EB114:EB121" si="1006">IF(SeilBeregnet=0,"-",EB$7*(EB$4*ED114*EE114*EF114*PropF+EB$6)+ErfaringsF+Dyp_F)</f>
        <v>-</v>
      </c>
      <c r="EC114" s="122" t="str">
        <f t="shared" ref="EC114:EC121" si="1007">IF($DY114=0,"-",EB114-$DW114)</f>
        <v>-</v>
      </c>
      <c r="ED114" s="107">
        <f>IF(SeilBeregnet=0,ED96,SeilBeregnet^0.5/Depl^0.33333)</f>
        <v>2.5599193540913108</v>
      </c>
      <c r="EE114" s="107">
        <f>IF(SeilBeregnet=0,EE96,Lwl^0.3333)</f>
        <v>2.1895879451208748</v>
      </c>
      <c r="EF114" s="107">
        <f>IF(SeilBeregnet=0,EF96,((Loa+Lwl)/Bredde)^EF$3)</f>
        <v>1.579185865474966</v>
      </c>
      <c r="EH114" s="107" t="str">
        <f t="shared" ref="EH114:EH121" si="1008">IF(SeilBeregnet=0,"-",EH$7*(EH$4*EJ114*EK114*EL114*PropF+EH$6)+ErfaringsF+Dyp_F)</f>
        <v>-</v>
      </c>
      <c r="EJ114" s="107">
        <f>IF(SeilBeregnet=0,EJ96,SeilBeregnet^0.5/Depl^0.33333)</f>
        <v>2.5599193540913108</v>
      </c>
      <c r="EK114" s="107">
        <f>IF(SeilBeregnet=0,EK96,Lwl^EK$3)</f>
        <v>2.1897424068563001</v>
      </c>
      <c r="EL114" s="107">
        <f>IF(SeilBeregnet=0,EL96,((Loa+Lwl)/Bredde)^EL$3)</f>
        <v>1.8388707573234102</v>
      </c>
      <c r="EM114" s="107" t="str">
        <f t="shared" ref="EM114:EM121" si="1009">IF(SeilBeregnet=0,"-",EM$7*(EM$4*EO114+EM$6)*ER114*PropF+ErfaringsF+Dyp_F)</f>
        <v>-</v>
      </c>
      <c r="EO114" s="107">
        <f>IF(SeilBeregnet=0,EO96,(EP114*EQ114)^EO$3)</f>
        <v>4.0425884607368028</v>
      </c>
      <c r="EP114" s="107">
        <f>IF(SeilBeregnet=0,EP96,SeilBeregnet^0.5/Depl^0.33333)</f>
        <v>2.5599193540913108</v>
      </c>
      <c r="EQ114" s="107">
        <f>IF(SeilBeregnet=0,EQ96,((Loa+Lwl)/Bredde)^EQ$3)</f>
        <v>1.579185865474966</v>
      </c>
      <c r="ER114" s="107">
        <f>IF(SeilBeregnet=0,ER96,Lwl^ER$3)</f>
        <v>1.800102871839254</v>
      </c>
      <c r="ES114" s="107" t="str">
        <f t="shared" si="951"/>
        <v>-</v>
      </c>
      <c r="EU114" s="107">
        <f>IF(SeilBeregnet=0,EU96,(EV:EV*EW:EW)^EU$3)</f>
        <v>1.6071664569338588</v>
      </c>
      <c r="EV114" s="107">
        <f>IF(SeilBeregnet=0,EV96,SeilBeregnet^0.5/Depl^0.33333)</f>
        <v>2.5599193540913108</v>
      </c>
      <c r="EW114" s="107">
        <f>IF(SeilBeregnet=0,EW96,((Loa+Lwl)/Bredde/6)^EW$3)</f>
        <v>1.0090099190684112</v>
      </c>
      <c r="EX114" s="107">
        <f>IF(SeilBeregnet=0,EX96,(Lwl*0.7+Loa*0.3)^EX$3)</f>
        <v>1.8215740458755476</v>
      </c>
      <c r="EY114" s="107" t="str">
        <f t="shared" si="952"/>
        <v>-</v>
      </c>
      <c r="FA114" s="107">
        <f t="shared" si="941"/>
        <v>1.6072338937996271</v>
      </c>
      <c r="FB114" s="107">
        <f>IF(SeilBeregnet=0,FB96,SeilBeregnet^0.5/Depl^0.3333)</f>
        <v>2.5601341875442647</v>
      </c>
      <c r="FC114" s="107">
        <f>IF(SeilBeregnet=0,FC96,((Loa+Lwl)/Bredde/6)^FC$3)</f>
        <v>1.0090099190684112</v>
      </c>
      <c r="FD114" s="107">
        <f>IF(SeilBeregnet=0,FD96,(Lwl*0.7+Loa*0.3)^FD$3)</f>
        <v>1.8215740458755476</v>
      </c>
      <c r="FE114" s="107" t="str">
        <f t="shared" si="953"/>
        <v>-</v>
      </c>
      <c r="FF114" s="141" t="str">
        <f t="shared" ref="FF114:FF121" si="1010">IF($DY114=0,"-",(FE114-$DW114)*100)</f>
        <v>-</v>
      </c>
      <c r="FG114" s="107">
        <f t="shared" si="942"/>
        <v>2.6064752194280656</v>
      </c>
      <c r="FH114" s="133">
        <f>IF(SeilBeregnet=0,FH96,(SeilBeregnet^0.5/(Depl^0.3333))^FH$3)</f>
        <v>2.5601341875442647</v>
      </c>
      <c r="FI114" s="133">
        <f>IF(SeilBeregnet=0,FI96,((Loa+Lwl)/Bredde/6)^FI$3)</f>
        <v>1.0181010167784417</v>
      </c>
      <c r="FJ114" s="107">
        <f>IF(SeilBeregnet=0,FJ96,(Lwl*0.07+Loa*0.03)^FJ$3)</f>
        <v>1.0243463628900011</v>
      </c>
      <c r="FK114" s="107" t="str">
        <f t="shared" si="954"/>
        <v>-</v>
      </c>
      <c r="FL114" s="141" t="str">
        <f t="shared" ref="FL114:FL121" si="1011">IF($DY114=0,"-",(FK114-$DW114)*100)</f>
        <v>-</v>
      </c>
      <c r="FM114" s="107">
        <f t="shared" si="943"/>
        <v>4.507789162562017</v>
      </c>
      <c r="FN114" s="133">
        <f>IF(SeilBeregnet=0,FN96,(SeilBeregnet^0.5/(Depl^0.3333))^FN$3)</f>
        <v>2.5601341875442647</v>
      </c>
      <c r="FO114" s="133">
        <f>IF(SeilBeregnet=0,FO96,(SeilBeregnet^0.5/Lwl*FO$7)^FO$3)</f>
        <v>0.61941381110510851</v>
      </c>
      <c r="FP114" s="133">
        <f>IF(SeilBeregnet=0,FP96,((Loa)/Bredde)^FP$3*FP$7)</f>
        <v>1.8282411639126435</v>
      </c>
      <c r="FQ114" s="107">
        <f>IF(SeilBeregnet=0,FQ96,(Lwl)^FQ$3)</f>
        <v>1.800102871839254</v>
      </c>
      <c r="FR114" s="107" t="str">
        <f t="shared" si="955"/>
        <v>-</v>
      </c>
      <c r="FS114" s="141" t="str">
        <f t="shared" ref="FS114:FS121" si="1012">IF($DY114=0,"-",(FR114-$DW114)*100)</f>
        <v>-</v>
      </c>
      <c r="FT114" s="107">
        <f t="shared" si="944"/>
        <v>4.6805427068084766</v>
      </c>
      <c r="FU114" s="133">
        <f>IF(SeilBeregnet=0,FU96,(SeilBeregnet^0.5/(Depl^0.3333))^FU$3)</f>
        <v>2.5601341875442647</v>
      </c>
      <c r="FV114" s="133">
        <f>IF(SeilBeregnet=0,FV96,(Loa/Bredde)^FV$3)</f>
        <v>1.8282411639126435</v>
      </c>
      <c r="FW114" s="107">
        <f>IF(SeilBeregnet=0,FW96,Lwl^FW$3)</f>
        <v>1.800102871839254</v>
      </c>
      <c r="FY114">
        <v>0.95</v>
      </c>
      <c r="FZ114" s="62" t="str">
        <f t="shared" si="711"/>
        <v>-</v>
      </c>
      <c r="GA114" s="62">
        <f t="shared" si="712"/>
        <v>1.7914964302111964</v>
      </c>
      <c r="GB114" s="107" t="str">
        <f t="shared" si="525"/>
        <v>-</v>
      </c>
      <c r="GC114" s="441" t="s">
        <v>761</v>
      </c>
      <c r="GD114" s="57"/>
      <c r="GE114" s="436"/>
      <c r="GF114" s="75"/>
      <c r="GG114" s="57"/>
      <c r="GH114" s="57"/>
      <c r="GI114" s="57"/>
      <c r="GJ114" s="57"/>
      <c r="GL114" s="57" t="s">
        <v>478</v>
      </c>
      <c r="GM114" s="436" t="s">
        <v>478</v>
      </c>
      <c r="GN114" s="58" t="s">
        <v>478</v>
      </c>
      <c r="GO114" s="58" t="s">
        <v>478</v>
      </c>
      <c r="GP114" s="58" t="s">
        <v>478</v>
      </c>
      <c r="GQ114" s="58" t="s">
        <v>478</v>
      </c>
      <c r="GS114" s="57" t="s">
        <v>470</v>
      </c>
      <c r="GT114" s="57" t="s">
        <v>564</v>
      </c>
      <c r="GU114" s="57" t="s">
        <v>465</v>
      </c>
      <c r="GV114" s="632"/>
      <c r="GW114" s="57"/>
      <c r="GX114" s="57"/>
      <c r="GY114" s="57"/>
      <c r="GZ114" s="57"/>
    </row>
    <row r="115" spans="1:208" ht="15.6" x14ac:dyDescent="0.3">
      <c r="A115" s="60" t="s">
        <v>28</v>
      </c>
      <c r="B115" s="218"/>
      <c r="C115" s="61" t="str">
        <f>C114</f>
        <v>Gaffel</v>
      </c>
      <c r="D115" s="61"/>
      <c r="E115" s="61"/>
      <c r="F115" s="61"/>
      <c r="G115" s="54"/>
      <c r="H115" s="204">
        <f t="shared" ref="H115:H121" si="1013">TBFavrundet</f>
        <v>116.00000000000001</v>
      </c>
      <c r="I115" s="63">
        <f t="shared" ref="I115:I121" si="1014">COUNTA(O115:AG115)</f>
        <v>4</v>
      </c>
      <c r="J115" s="222">
        <f t="shared" ref="J115:J121" si="1015">SUM(O115:AG115)</f>
        <v>42.4</v>
      </c>
      <c r="K115" s="116">
        <f t="shared" ref="K115:K121" si="1016">Seilareal/Depl^0.667/K$7</f>
        <v>2.0258243845624366</v>
      </c>
      <c r="L115" s="116">
        <f t="shared" ref="L115:L121" si="1017">Seilareal/Lwl/Lwl/L$7</f>
        <v>1.5706625269654837</v>
      </c>
      <c r="M115" s="92">
        <f t="shared" ref="M115:M121" si="1018">RiggF</f>
        <v>0.73396226415094334</v>
      </c>
      <c r="N115" s="242">
        <f t="shared" ref="N115:N121" si="1019">StHfaktor</f>
        <v>1.0112644917669966</v>
      </c>
      <c r="O115" s="143"/>
      <c r="P115" s="143"/>
      <c r="Q115" s="143"/>
      <c r="R115" s="165">
        <v>7.5</v>
      </c>
      <c r="S115" s="143"/>
      <c r="T115" s="143"/>
      <c r="U115" s="165">
        <v>7</v>
      </c>
      <c r="V115" s="559"/>
      <c r="W115" s="559"/>
      <c r="X115" s="165">
        <v>22.4</v>
      </c>
      <c r="Y115" s="143"/>
      <c r="Z115" s="143"/>
      <c r="AA115" s="165">
        <v>5.5</v>
      </c>
      <c r="AB115" s="143"/>
      <c r="AC115" s="143"/>
      <c r="AD115" s="143"/>
      <c r="AE115" s="143"/>
      <c r="AF115" s="143"/>
      <c r="AG115" s="551"/>
      <c r="AH115" s="557"/>
      <c r="AI115" s="557">
        <f t="shared" ref="AI115" si="1020">AI114</f>
        <v>7</v>
      </c>
      <c r="AJ115" s="337">
        <f t="shared" ref="AJ115:AL121" si="1021" xml:space="preserve"> AJ114</f>
        <v>0</v>
      </c>
      <c r="AK115" s="339"/>
      <c r="AL115" s="337">
        <f t="shared" si="1021"/>
        <v>0</v>
      </c>
      <c r="AM115" s="339"/>
      <c r="AN115" s="267" t="str">
        <f t="shared" ref="AN115" si="1022" xml:space="preserve"> AN114</f>
        <v>Los</v>
      </c>
      <c r="AO115" s="45">
        <f>VLOOKUP(AN115,Skrogform!$1:$1048576,3,FALSE)</f>
        <v>0.97</v>
      </c>
      <c r="AP115" s="64">
        <f t="shared" ref="AP115:AZ115" si="1023">AP114</f>
        <v>7.4</v>
      </c>
      <c r="AQ115" s="64">
        <f t="shared" si="1023"/>
        <v>6.4</v>
      </c>
      <c r="AR115" s="64">
        <f t="shared" si="1023"/>
        <v>2.2000000000000002</v>
      </c>
      <c r="AS115" s="64">
        <f t="shared" si="1023"/>
        <v>0.95</v>
      </c>
      <c r="AT115" s="64">
        <f t="shared" ref="AT115" si="1024">AT114</f>
        <v>2.5</v>
      </c>
      <c r="AU115" s="64">
        <f t="shared" si="1023"/>
        <v>2.7</v>
      </c>
      <c r="AV115" s="64">
        <f t="shared" si="1023"/>
        <v>1</v>
      </c>
      <c r="AW115" s="64">
        <f t="shared" si="1023"/>
        <v>0.3</v>
      </c>
      <c r="AX115" s="256">
        <f t="shared" ref="AX115:AX121" si="1025">AX114</f>
        <v>0</v>
      </c>
      <c r="AY115" s="256">
        <f t="shared" si="1023"/>
        <v>0</v>
      </c>
      <c r="AZ115" s="256">
        <f t="shared" si="1023"/>
        <v>0</v>
      </c>
      <c r="BA115" s="256">
        <f t="shared" ref="BA115:BB115" si="1026">BA114</f>
        <v>0</v>
      </c>
      <c r="BB115" s="256">
        <f t="shared" si="1026"/>
        <v>0</v>
      </c>
      <c r="BC115" s="256"/>
      <c r="BD115" s="66"/>
      <c r="BE115" s="66"/>
      <c r="BF115" s="261"/>
      <c r="BG115" s="66"/>
      <c r="BH115" s="175"/>
      <c r="BI115" s="66"/>
      <c r="BJ115" s="66"/>
      <c r="BK115" s="65">
        <f t="shared" ref="BK115:BM115" si="1027" xml:space="preserve"> BK114</f>
        <v>0</v>
      </c>
      <c r="BL115" s="267">
        <f t="shared" si="1027"/>
        <v>0</v>
      </c>
      <c r="BM115" s="267">
        <f t="shared" si="1027"/>
        <v>0</v>
      </c>
      <c r="BN115" s="45">
        <f t="shared" si="997"/>
        <v>1</v>
      </c>
      <c r="BO115" s="59"/>
      <c r="BP115" s="59"/>
      <c r="BR115" s="49">
        <f t="shared" ref="BR115:BX121" si="1028">IF(O115=0,0,O115*BR$9)</f>
        <v>0</v>
      </c>
      <c r="BS115" s="49">
        <f t="shared" si="1028"/>
        <v>0</v>
      </c>
      <c r="BT115" s="49">
        <f t="shared" si="1028"/>
        <v>0</v>
      </c>
      <c r="BU115" s="49">
        <f t="shared" si="1028"/>
        <v>7.5</v>
      </c>
      <c r="BV115" s="49">
        <f t="shared" si="1028"/>
        <v>0</v>
      </c>
      <c r="BW115" s="49">
        <f t="shared" si="1028"/>
        <v>0</v>
      </c>
      <c r="BX115" s="49">
        <f t="shared" si="1028"/>
        <v>7</v>
      </c>
      <c r="BY115" s="549">
        <f t="shared" ref="BY115:BY121" si="1029">IF(COUNT(Q115:U115)&gt;1,MINA(Q115:U115)*BY$9,0)</f>
        <v>-3.5</v>
      </c>
      <c r="BZ115" s="85">
        <f t="shared" ref="BZ115:CD121" si="1030">IF(V115=0,0,V115*BZ$9)</f>
        <v>0</v>
      </c>
      <c r="CA115" s="85">
        <f t="shared" si="1030"/>
        <v>0</v>
      </c>
      <c r="CB115" s="85">
        <f t="shared" si="1030"/>
        <v>17.919999999999998</v>
      </c>
      <c r="CC115" s="85">
        <f t="shared" si="1030"/>
        <v>0</v>
      </c>
      <c r="CD115" s="85">
        <f t="shared" si="1030"/>
        <v>0</v>
      </c>
      <c r="CE115" s="85">
        <f t="shared" ref="CE115:CE121" si="1031">IF(AC115=0,0,AC115*CE$9)</f>
        <v>0</v>
      </c>
      <c r="CF115" s="85">
        <f t="shared" ref="CF115:CG121" si="1032">IF(AA115=0,0,AA115*CF$9)</f>
        <v>2.2000000000000002</v>
      </c>
      <c r="CG115" s="85">
        <f t="shared" si="1032"/>
        <v>0</v>
      </c>
      <c r="CH115" s="85">
        <f t="shared" ref="CH115:CK121" si="1033">IF(AD115=0,0,AD115*CH$9)</f>
        <v>0</v>
      </c>
      <c r="CI115" s="85">
        <f t="shared" si="1033"/>
        <v>0</v>
      </c>
      <c r="CJ115" s="85">
        <f t="shared" si="1033"/>
        <v>0</v>
      </c>
      <c r="CK115" s="85">
        <f t="shared" si="1033"/>
        <v>0</v>
      </c>
      <c r="CL115" s="100">
        <f t="shared" ref="CL115:CL121" si="1034">SUM(BR115:CK115)</f>
        <v>31.119999999999997</v>
      </c>
      <c r="CM115" s="50"/>
      <c r="CN115" s="104">
        <f t="shared" ref="CN115:CN121" si="1035">J115</f>
        <v>42.4</v>
      </c>
      <c r="CO115" s="101">
        <f t="shared" ref="CO115:CO121" si="1036">CL115/CN115</f>
        <v>0.73396226415094334</v>
      </c>
      <c r="CP115" s="51">
        <f t="shared" ref="CP115:CP121" si="1037">Seilareal/Lwl/Lwl</f>
        <v>1.0351562499999998</v>
      </c>
      <c r="CQ115" s="116">
        <f t="shared" ref="CQ115:CQ121" si="1038">Seilareal/Depl^0.667/K$7</f>
        <v>2.0258243845624366</v>
      </c>
      <c r="CR115" s="51">
        <f t="shared" ref="CR115:CR121" si="1039">Seilareal/Lwl/Lwl/SApRS1</f>
        <v>1.5706625269654837</v>
      </c>
      <c r="CS115" s="204"/>
      <c r="CT115" s="204">
        <f t="shared" ref="CT115:CT121" si="1040">(ROUND(TBF/CT$6,3)*CT$6)*CT$4</f>
        <v>116.00000000000001</v>
      </c>
      <c r="CU115" s="107">
        <f t="shared" ref="CU115:CU259" si="1041">IF(SeilBeregnet=0,"-",CU$7*(SaDeplf+LBf)*Lf*Skrogfaktor*PropF*(Mast+1)+ErfaringsF)</f>
        <v>1.1618898837224141</v>
      </c>
      <c r="CV115" s="62">
        <f t="shared" si="523"/>
        <v>3.9559599525598959</v>
      </c>
      <c r="CW115" s="62">
        <f t="shared" si="998"/>
        <v>1.7709781580707415</v>
      </c>
      <c r="CX115" s="62">
        <f t="shared" si="524"/>
        <v>1.5905414575341013</v>
      </c>
      <c r="CY115" s="107">
        <f t="shared" si="999"/>
        <v>1.0112644917669966</v>
      </c>
      <c r="CZ115" s="168">
        <f t="shared" si="1000"/>
        <v>1.1348235294117648</v>
      </c>
      <c r="DA115" s="159">
        <f>DA114</f>
        <v>0.91</v>
      </c>
      <c r="DB115" s="168">
        <f t="shared" si="1001"/>
        <v>1.0878947368421052</v>
      </c>
      <c r="DC115" s="159">
        <f>DC114</f>
        <v>1.17</v>
      </c>
      <c r="DD115" s="190" t="s">
        <v>134</v>
      </c>
      <c r="DE115" s="62">
        <v>0.83</v>
      </c>
      <c r="DF115" s="62">
        <v>0.83</v>
      </c>
      <c r="DG115" s="62">
        <v>0.91</v>
      </c>
      <c r="DH115" s="150">
        <v>0.94</v>
      </c>
      <c r="DI115" s="62">
        <f t="shared" si="542"/>
        <v>1.8381378657961083</v>
      </c>
      <c r="DJ115" s="47">
        <f t="shared" si="543"/>
        <v>9.8958333333333321</v>
      </c>
      <c r="DK115" s="48">
        <f t="shared" si="1002"/>
        <v>0</v>
      </c>
      <c r="DM115" s="107">
        <f t="shared" si="950"/>
        <v>1.1518750572813565</v>
      </c>
      <c r="DN115" s="142">
        <f t="shared" si="1003"/>
        <v>-4.5949565112884505</v>
      </c>
      <c r="DO115" s="107">
        <f t="shared" si="1004"/>
        <v>5.8403475961432418</v>
      </c>
      <c r="DP115" s="133">
        <f t="shared" ref="DP115:DP121" si="1042">IF(SeilBeregnet=0,DP114,(SeilBeregnet^0.5/(Depl^0.3333))^DP$3*DP$7)</f>
        <v>4.0063256868857859</v>
      </c>
      <c r="DQ115" s="133">
        <f t="shared" ref="DQ115:DQ121" si="1043">IF(SeilBeregnet=0,DQ114,(SeilBeregnet^0.5/Lwl)^DQ$3*DQ$7)</f>
        <v>0</v>
      </c>
      <c r="DR115" s="133">
        <f t="shared" ref="DR115:DR121" si="1044">IF(SeilBeregnet=0,DR114,(0.1*Loa/Depl^0.3333)^DR$3*DR$7)</f>
        <v>0</v>
      </c>
      <c r="DS115" s="133">
        <f t="shared" ref="DS115:DS121" si="1045">IF(SeilBeregnet=0,DS114,((Loa)/Bredde)^DS$3*DS$7)</f>
        <v>1.8340219092574557</v>
      </c>
      <c r="DT115" s="107">
        <f t="shared" ref="DT115:DT121" si="1046">IF(SeilBeregnet=0,DT114,(Lwl)^DT$3)</f>
        <v>1.5905414575341013</v>
      </c>
      <c r="DU115" s="133">
        <f t="shared" ref="DU115:DU121" si="1047">IF(SeilBeregnet=0,DU114,(Dypg/Loa)^DU$3*5*DU$7)</f>
        <v>1.7914964302111964</v>
      </c>
      <c r="DW115" s="107">
        <f t="shared" si="512"/>
        <v>1.197824622394241</v>
      </c>
      <c r="DX115" s="107">
        <f t="shared" si="544"/>
        <v>1.1299050031166782</v>
      </c>
      <c r="DY115" s="122">
        <f>DX115-DW115</f>
        <v>-6.7919619277562848E-2</v>
      </c>
      <c r="DZ115" s="107">
        <f t="shared" si="545"/>
        <v>1.1274060477474588</v>
      </c>
      <c r="EA115" s="122">
        <f t="shared" si="1005"/>
        <v>-7.041857464678225E-2</v>
      </c>
      <c r="EB115" s="107">
        <f t="shared" si="1006"/>
        <v>1.1950021075252817</v>
      </c>
      <c r="EC115" s="122">
        <f t="shared" si="1007"/>
        <v>-2.8225148689593471E-3</v>
      </c>
      <c r="ED115" s="107">
        <f t="shared" ref="ED115:ED121" si="1048">IF(SeilBeregnet=0,ED114,SeilBeregnet^0.5/Depl^0.33333)</f>
        <v>4.0062063099616116</v>
      </c>
      <c r="EE115" s="107">
        <f t="shared" ref="EE115:EE121" si="1049">IF(SeilBeregnet=0,EE114,Lwl^0.3333)</f>
        <v>1.8565206547056485</v>
      </c>
      <c r="EF115" s="107">
        <f t="shared" ref="EF115:EF121" si="1050">IF(SeilBeregnet=0,EF114,((Loa+Lwl)/Bredde)^EF$3)</f>
        <v>1.5825742730785703</v>
      </c>
      <c r="EH115" s="107">
        <f t="shared" si="1008"/>
        <v>1.1873881225605942</v>
      </c>
      <c r="EJ115" s="107">
        <f t="shared" ref="EJ115:EJ121" si="1051">IF(SeilBeregnet=0,EJ114,SeilBeregnet^0.5/Depl^0.33333)</f>
        <v>4.0062063099616116</v>
      </c>
      <c r="EK115" s="107">
        <f t="shared" ref="EK115:EK121" si="1052">IF(SeilBeregnet=0,EK114,Lwl^EK$3)</f>
        <v>1.856624045251289</v>
      </c>
      <c r="EL115" s="107">
        <f t="shared" ref="EL115:EL121" si="1053">IF(SeilBeregnet=0,EL114,((Loa+Lwl)/Bredde)^EL$3)</f>
        <v>1.8441329174043459</v>
      </c>
      <c r="EM115" s="107">
        <f t="shared" si="1009"/>
        <v>1.1823522472610344</v>
      </c>
      <c r="EO115" s="107">
        <f t="shared" ref="EO115:EO121" si="1054">IF(SeilBeregnet=0,EO114,(EP115*EQ115)^EO$3)</f>
        <v>6.340119038790279</v>
      </c>
      <c r="EP115" s="107">
        <f t="shared" ref="EP115:EP121" si="1055">IF(SeilBeregnet=0,EP114,SeilBeregnet^0.5/Depl^0.33333)</f>
        <v>4.0062063099616116</v>
      </c>
      <c r="EQ115" s="107">
        <f t="shared" ref="EQ115:EQ121" si="1056">IF(SeilBeregnet=0,EQ114,((Loa+Lwl)/Bredde)^EQ$3)</f>
        <v>1.5825742730785703</v>
      </c>
      <c r="ER115" s="107">
        <f t="shared" ref="ER115:ER121" si="1057">IF(SeilBeregnet=0,ER114,Lwl^ER$3)</f>
        <v>1.5905414575341013</v>
      </c>
      <c r="ES115" s="107">
        <f t="shared" si="951"/>
        <v>1.1710233728454194</v>
      </c>
      <c r="EU115" s="107">
        <f t="shared" ref="EU115:EU121" si="1058">IF(SeilBeregnet=0,EU114,(EV:EV*EW:EW)^EU$3)</f>
        <v>2.0127034903173282</v>
      </c>
      <c r="EV115" s="107">
        <f t="shared" ref="EV115:EV121" si="1059">IF(SeilBeregnet=0,EV114,SeilBeregnet^0.5/Depl^0.33333)</f>
        <v>4.0062063099616116</v>
      </c>
      <c r="EW115" s="107">
        <f t="shared" ref="EW115:EW121" si="1060">IF(SeilBeregnet=0,EW114,((Loa+Lwl)/Bredde/6)^EW$3)</f>
        <v>1.0111749187411099</v>
      </c>
      <c r="EX115" s="107">
        <f t="shared" ref="EX115:EX121" si="1061">IF(SeilBeregnet=0,EX114,(Lwl*0.7+Loa*0.3)^EX$3)</f>
        <v>1.6088616538127065</v>
      </c>
      <c r="EY115" s="107">
        <f t="shared" si="952"/>
        <v>1.0888528460520268</v>
      </c>
      <c r="FA115" s="107">
        <f t="shared" si="941"/>
        <v>2.0127334773603671</v>
      </c>
      <c r="FB115" s="107">
        <f t="shared" ref="FB115:FB121" si="1062">IF(SeilBeregnet=0,FB114,SeilBeregnet^0.5/Depl^0.3333)</f>
        <v>4.0063256868857859</v>
      </c>
      <c r="FC115" s="107">
        <f t="shared" ref="FC115:FC121" si="1063">IF(SeilBeregnet=0,FC114,((Loa+Lwl)/Bredde/6)^FC$3)</f>
        <v>1.0111749187411099</v>
      </c>
      <c r="FD115" s="107">
        <f t="shared" ref="FD115:FD121" si="1064">IF(SeilBeregnet=0,FD114,(Lwl*0.7+Loa*0.3)^FD$3)</f>
        <v>1.6088616538127065</v>
      </c>
      <c r="FE115" s="107">
        <f t="shared" si="953"/>
        <v>1.1582680559122285</v>
      </c>
      <c r="FF115" s="141">
        <f t="shared" si="1010"/>
        <v>-3.9556566482012556</v>
      </c>
      <c r="FG115" s="107">
        <f t="shared" si="942"/>
        <v>4.096366720068251</v>
      </c>
      <c r="FH115" s="133">
        <f t="shared" ref="FH115:FH121" si="1065">IF(SeilBeregnet=0,FH114,(SeilBeregnet^0.5/(Depl^0.3333))^FH$3)</f>
        <v>4.0063256868857859</v>
      </c>
      <c r="FI115" s="133">
        <f t="shared" ref="FI115:FI121" si="1066">IF(SeilBeregnet=0,FI114,((Loa+Lwl)/Bredde/6)^FI$3)</f>
        <v>1.0224747162910901</v>
      </c>
      <c r="FJ115" s="107">
        <f t="shared" ref="FJ115:FJ121" si="1067">IF(SeilBeregnet=0,FJ114,(Lwl*0.07+Loa*0.03)^FJ$3)</f>
        <v>0.90472939445297396</v>
      </c>
      <c r="FK115" s="107">
        <f t="shared" si="954"/>
        <v>1.1757714464132583</v>
      </c>
      <c r="FL115" s="141">
        <f t="shared" si="1011"/>
        <v>-2.2053175980982775</v>
      </c>
      <c r="FM115" s="107">
        <f t="shared" si="943"/>
        <v>6.211992951204576</v>
      </c>
      <c r="FN115" s="133">
        <f t="shared" ref="FN115:FN121" si="1068">IF(SeilBeregnet=0,FN114,(SeilBeregnet^0.5/(Depl^0.3333))^FN$3)</f>
        <v>4.0063256868857859</v>
      </c>
      <c r="FO115" s="133">
        <f t="shared" ref="FO115:FO121" si="1069">IF(SeilBeregnet=0,FO114,(SeilBeregnet^0.5/Lwl*FO$7)^FO$3)</f>
        <v>0.87164535506133456</v>
      </c>
      <c r="FP115" s="133">
        <f t="shared" ref="FP115:FP121" si="1070">IF(SeilBeregnet=0,FP114,((Loa)/Bredde)^FP$3*FP$7)</f>
        <v>1.8340219092574557</v>
      </c>
      <c r="FQ115" s="107">
        <f t="shared" ref="FQ115:FQ121" si="1071">IF(SeilBeregnet=0,FQ114,(Lwl)^FQ$3)</f>
        <v>1.5905414575341013</v>
      </c>
      <c r="FR115" s="107">
        <f t="shared" si="955"/>
        <v>1.1551340759991904</v>
      </c>
      <c r="FS115" s="141">
        <f t="shared" si="1012"/>
        <v>-4.2690546395050655</v>
      </c>
      <c r="FT115" s="107">
        <f t="shared" si="944"/>
        <v>7.3476890853694563</v>
      </c>
      <c r="FU115" s="133">
        <f t="shared" ref="FU115:FU121" si="1072">IF(SeilBeregnet=0,FU114,(SeilBeregnet^0.5/(Depl^0.3333))^FU$3)</f>
        <v>4.0063256868857859</v>
      </c>
      <c r="FV115" s="133">
        <f t="shared" ref="FV115:FV121" si="1073">IF(SeilBeregnet=0,FV114,(Loa/Bredde)^FV$3)</f>
        <v>1.8340219092574557</v>
      </c>
      <c r="FW115" s="107">
        <f t="shared" ref="FW115:FW121" si="1074">IF(SeilBeregnet=0,FW114,Lwl^FW$3)</f>
        <v>1.5905414575341013</v>
      </c>
      <c r="FY115">
        <v>0.95</v>
      </c>
      <c r="FZ115" s="62">
        <f t="shared" si="711"/>
        <v>1.0785615251591878</v>
      </c>
      <c r="GA115" s="62">
        <f t="shared" si="712"/>
        <v>1.7914964302111964</v>
      </c>
      <c r="GB115" s="107">
        <f t="shared" si="525"/>
        <v>1.6693607369027799</v>
      </c>
      <c r="GC115" s="440"/>
      <c r="GD115" s="17"/>
      <c r="GE115" s="442"/>
      <c r="GF115" s="462"/>
      <c r="GG115" s="17"/>
      <c r="GH115" s="17"/>
      <c r="GI115" s="17"/>
      <c r="GJ115" s="17"/>
      <c r="GL115" s="17"/>
      <c r="GM115" s="442"/>
      <c r="GN115" s="8"/>
      <c r="GO115" s="8"/>
      <c r="GP115" s="8"/>
      <c r="GQ115" s="8"/>
      <c r="GS115" s="17"/>
      <c r="GT115" s="17"/>
      <c r="GU115" s="17"/>
      <c r="GV115" s="629"/>
      <c r="GW115" s="17"/>
      <c r="GX115" s="17"/>
      <c r="GY115" s="17"/>
      <c r="GZ115" s="17"/>
    </row>
    <row r="116" spans="1:208" ht="15.6" x14ac:dyDescent="0.3">
      <c r="A116" s="60" t="s">
        <v>29</v>
      </c>
      <c r="B116" s="218"/>
      <c r="C116" s="14" t="str">
        <f>C114</f>
        <v>Gaffel</v>
      </c>
      <c r="G116" s="54"/>
      <c r="H116" s="204">
        <f t="shared" si="1013"/>
        <v>113.5</v>
      </c>
      <c r="I116" s="63">
        <f t="shared" si="1014"/>
        <v>3</v>
      </c>
      <c r="J116" s="222">
        <f t="shared" si="1015"/>
        <v>36.9</v>
      </c>
      <c r="K116" s="116">
        <f t="shared" si="1016"/>
        <v>1.7630405610932525</v>
      </c>
      <c r="L116" s="116">
        <f t="shared" si="1017"/>
        <v>1.3669209255902439</v>
      </c>
      <c r="M116" s="92">
        <f t="shared" si="1018"/>
        <v>0.78373983739837394</v>
      </c>
      <c r="N116" s="242">
        <f t="shared" si="1019"/>
        <v>1.0112644917669966</v>
      </c>
      <c r="O116" s="143"/>
      <c r="P116" s="143"/>
      <c r="Q116" s="143"/>
      <c r="R116" s="165">
        <v>7.5</v>
      </c>
      <c r="S116" s="143"/>
      <c r="T116" s="143"/>
      <c r="U116" s="165">
        <v>7</v>
      </c>
      <c r="V116" s="559"/>
      <c r="W116" s="559"/>
      <c r="X116" s="165">
        <v>22.4</v>
      </c>
      <c r="Y116" s="143"/>
      <c r="Z116" s="143"/>
      <c r="AA116" s="143"/>
      <c r="AB116" s="143"/>
      <c r="AC116" s="143"/>
      <c r="AD116" s="143"/>
      <c r="AE116" s="143"/>
      <c r="AF116" s="143"/>
      <c r="AG116" s="551"/>
      <c r="AH116" s="557"/>
      <c r="AI116" s="557">
        <f t="shared" ref="AI116" si="1075">AI115</f>
        <v>7</v>
      </c>
      <c r="AJ116" s="337">
        <f t="shared" si="1021"/>
        <v>0</v>
      </c>
      <c r="AK116" s="339"/>
      <c r="AL116" s="337">
        <f t="shared" si="1021"/>
        <v>0</v>
      </c>
      <c r="AM116" s="339"/>
      <c r="AN116" s="267" t="str">
        <f t="shared" ref="AN116" si="1076" xml:space="preserve"> AN115</f>
        <v>Los</v>
      </c>
      <c r="AO116" s="45">
        <f>VLOOKUP(AN116,Skrogform!$1:$1048576,3,FALSE)</f>
        <v>0.97</v>
      </c>
      <c r="AP116" s="64">
        <f t="shared" ref="AP116:AZ116" si="1077">AP115</f>
        <v>7.4</v>
      </c>
      <c r="AQ116" s="64">
        <f t="shared" si="1077"/>
        <v>6.4</v>
      </c>
      <c r="AR116" s="64">
        <f t="shared" si="1077"/>
        <v>2.2000000000000002</v>
      </c>
      <c r="AS116" s="64">
        <f t="shared" si="1077"/>
        <v>0.95</v>
      </c>
      <c r="AT116" s="64">
        <f t="shared" ref="AT116" si="1078">AT115</f>
        <v>2.5</v>
      </c>
      <c r="AU116" s="64">
        <f t="shared" si="1077"/>
        <v>2.7</v>
      </c>
      <c r="AV116" s="64">
        <f t="shared" si="1077"/>
        <v>1</v>
      </c>
      <c r="AW116" s="64">
        <f t="shared" si="1077"/>
        <v>0.3</v>
      </c>
      <c r="AX116" s="256">
        <f t="shared" si="1025"/>
        <v>0</v>
      </c>
      <c r="AY116" s="256">
        <f t="shared" si="1077"/>
        <v>0</v>
      </c>
      <c r="AZ116" s="256">
        <f t="shared" si="1077"/>
        <v>0</v>
      </c>
      <c r="BA116" s="256">
        <f t="shared" ref="BA116:BB116" si="1079">BA115</f>
        <v>0</v>
      </c>
      <c r="BB116" s="256">
        <f t="shared" si="1079"/>
        <v>0</v>
      </c>
      <c r="BC116" s="256"/>
      <c r="BD116" s="66"/>
      <c r="BE116" s="66"/>
      <c r="BF116" s="261"/>
      <c r="BG116" s="66"/>
      <c r="BH116" s="175"/>
      <c r="BI116" s="66"/>
      <c r="BJ116" s="66"/>
      <c r="BK116" s="65">
        <f t="shared" ref="BK116:BM116" si="1080" xml:space="preserve"> BK115</f>
        <v>0</v>
      </c>
      <c r="BL116" s="267">
        <f t="shared" si="1080"/>
        <v>0</v>
      </c>
      <c r="BM116" s="267">
        <f t="shared" si="1080"/>
        <v>0</v>
      </c>
      <c r="BN116" s="45">
        <f t="shared" si="997"/>
        <v>1</v>
      </c>
      <c r="BO116" s="59"/>
      <c r="BP116" s="59"/>
      <c r="BR116" s="49">
        <f t="shared" si="1028"/>
        <v>0</v>
      </c>
      <c r="BS116" s="49">
        <f t="shared" si="1028"/>
        <v>0</v>
      </c>
      <c r="BT116" s="49">
        <f t="shared" si="1028"/>
        <v>0</v>
      </c>
      <c r="BU116" s="49">
        <f t="shared" si="1028"/>
        <v>7.5</v>
      </c>
      <c r="BV116" s="49">
        <f t="shared" si="1028"/>
        <v>0</v>
      </c>
      <c r="BW116" s="49">
        <f t="shared" si="1028"/>
        <v>0</v>
      </c>
      <c r="BX116" s="49">
        <f t="shared" si="1028"/>
        <v>7</v>
      </c>
      <c r="BY116" s="549">
        <f t="shared" si="1029"/>
        <v>-3.5</v>
      </c>
      <c r="BZ116" s="85">
        <f t="shared" si="1030"/>
        <v>0</v>
      </c>
      <c r="CA116" s="85">
        <f t="shared" si="1030"/>
        <v>0</v>
      </c>
      <c r="CB116" s="85">
        <f t="shared" si="1030"/>
        <v>17.919999999999998</v>
      </c>
      <c r="CC116" s="85">
        <f t="shared" si="1030"/>
        <v>0</v>
      </c>
      <c r="CD116" s="85">
        <f t="shared" si="1030"/>
        <v>0</v>
      </c>
      <c r="CE116" s="85">
        <f t="shared" si="1031"/>
        <v>0</v>
      </c>
      <c r="CF116" s="85">
        <f t="shared" si="1032"/>
        <v>0</v>
      </c>
      <c r="CG116" s="85">
        <f t="shared" si="1032"/>
        <v>0</v>
      </c>
      <c r="CH116" s="85">
        <f t="shared" si="1033"/>
        <v>0</v>
      </c>
      <c r="CI116" s="85">
        <f t="shared" si="1033"/>
        <v>0</v>
      </c>
      <c r="CJ116" s="85">
        <f t="shared" si="1033"/>
        <v>0</v>
      </c>
      <c r="CK116" s="85">
        <f t="shared" si="1033"/>
        <v>0</v>
      </c>
      <c r="CL116" s="100">
        <f t="shared" si="1034"/>
        <v>28.919999999999998</v>
      </c>
      <c r="CM116" s="50"/>
      <c r="CN116" s="104">
        <f t="shared" si="1035"/>
        <v>36.9</v>
      </c>
      <c r="CO116" s="101">
        <f t="shared" si="1036"/>
        <v>0.78373983739837394</v>
      </c>
      <c r="CP116" s="51">
        <f t="shared" si="1037"/>
        <v>0.90087890624999978</v>
      </c>
      <c r="CQ116" s="116">
        <f t="shared" si="1038"/>
        <v>1.7630405610932525</v>
      </c>
      <c r="CR116" s="51">
        <f t="shared" si="1039"/>
        <v>1.3669209255902439</v>
      </c>
      <c r="CS116" s="204"/>
      <c r="CT116" s="204">
        <f t="shared" si="1040"/>
        <v>113.5</v>
      </c>
      <c r="CU116" s="107">
        <f t="shared" si="1041"/>
        <v>1.1330007287120003</v>
      </c>
      <c r="CV116" s="62">
        <f t="shared" si="523"/>
        <v>3.8135657333392219</v>
      </c>
      <c r="CW116" s="62">
        <f t="shared" si="998"/>
        <v>1.7709781580707415</v>
      </c>
      <c r="CX116" s="62">
        <f t="shared" si="524"/>
        <v>1.5905414575341013</v>
      </c>
      <c r="CY116" s="107">
        <f t="shared" si="999"/>
        <v>1.0112644917669966</v>
      </c>
      <c r="CZ116" s="168" t="str">
        <f t="shared" si="1000"/>
        <v>-</v>
      </c>
      <c r="DA116" s="158"/>
      <c r="DB116" s="168" t="str">
        <f t="shared" si="1001"/>
        <v>-</v>
      </c>
      <c r="DC116" s="160"/>
      <c r="DD116" s="190" t="s">
        <v>134</v>
      </c>
      <c r="DE116" s="62">
        <v>0.8</v>
      </c>
      <c r="DF116" s="62">
        <v>0.82</v>
      </c>
      <c r="DG116" s="62">
        <v>0.88</v>
      </c>
      <c r="DH116" s="150">
        <v>0.91</v>
      </c>
      <c r="DI116" s="62">
        <f t="shared" si="542"/>
        <v>1.8381378657961083</v>
      </c>
      <c r="DJ116" s="47">
        <f t="shared" si="543"/>
        <v>9.8958333333333321</v>
      </c>
      <c r="DK116" s="48">
        <f t="shared" si="1002"/>
        <v>0</v>
      </c>
      <c r="DM116" s="107">
        <f t="shared" si="950"/>
        <v>1.1234334980073761</v>
      </c>
      <c r="DN116" s="141" t="str">
        <f t="shared" si="1003"/>
        <v>-</v>
      </c>
      <c r="DO116" s="107">
        <f t="shared" si="1004"/>
        <v>5.6961404694359361</v>
      </c>
      <c r="DP116" s="133">
        <f t="shared" si="1042"/>
        <v>3.8621185601784802</v>
      </c>
      <c r="DQ116" s="133">
        <f t="shared" si="1043"/>
        <v>0</v>
      </c>
      <c r="DR116" s="133">
        <f t="shared" si="1044"/>
        <v>0</v>
      </c>
      <c r="DS116" s="133">
        <f t="shared" si="1045"/>
        <v>1.8340219092574557</v>
      </c>
      <c r="DT116" s="107">
        <f t="shared" si="1046"/>
        <v>1.5905414575341013</v>
      </c>
      <c r="DU116" s="133">
        <f t="shared" si="1047"/>
        <v>1.7914964302111964</v>
      </c>
      <c r="DW116" s="107">
        <f t="shared" si="512"/>
        <v>1.168041988362887</v>
      </c>
      <c r="DX116" s="107">
        <f t="shared" si="544"/>
        <v>1.0980264340102439</v>
      </c>
      <c r="DZ116" s="107">
        <f t="shared" si="545"/>
        <v>1.1017103048778145</v>
      </c>
      <c r="EA116" s="122" t="str">
        <f t="shared" si="1005"/>
        <v>-</v>
      </c>
      <c r="EB116" s="107">
        <f t="shared" si="1006"/>
        <v>1.1620626384294854</v>
      </c>
      <c r="EC116" s="122" t="str">
        <f t="shared" si="1007"/>
        <v>-</v>
      </c>
      <c r="ED116" s="107">
        <f t="shared" si="1048"/>
        <v>3.8620034802098151</v>
      </c>
      <c r="EE116" s="107">
        <f t="shared" si="1049"/>
        <v>1.8565206547056485</v>
      </c>
      <c r="EF116" s="107">
        <f t="shared" si="1050"/>
        <v>1.5825742730785703</v>
      </c>
      <c r="EH116" s="107">
        <f t="shared" si="1008"/>
        <v>1.1576544508539741</v>
      </c>
      <c r="EJ116" s="107">
        <f t="shared" si="1051"/>
        <v>3.8620034802098151</v>
      </c>
      <c r="EK116" s="107">
        <f t="shared" si="1052"/>
        <v>1.856624045251289</v>
      </c>
      <c r="EL116" s="107">
        <f t="shared" si="1053"/>
        <v>1.8441329174043459</v>
      </c>
      <c r="EM116" s="107">
        <f t="shared" si="1009"/>
        <v>1.1499993993629234</v>
      </c>
      <c r="EO116" s="107">
        <f t="shared" si="1054"/>
        <v>6.1119073503199566</v>
      </c>
      <c r="EP116" s="107">
        <f t="shared" si="1055"/>
        <v>3.8620034802098151</v>
      </c>
      <c r="EQ116" s="107">
        <f t="shared" si="1056"/>
        <v>1.5825742730785703</v>
      </c>
      <c r="ER116" s="107">
        <f t="shared" si="1057"/>
        <v>1.5905414575341013</v>
      </c>
      <c r="ES116" s="107">
        <f t="shared" si="951"/>
        <v>1.1427248377136812</v>
      </c>
      <c r="EU116" s="107">
        <f t="shared" si="1058"/>
        <v>1.9761480347582878</v>
      </c>
      <c r="EV116" s="107">
        <f t="shared" si="1059"/>
        <v>3.8620034802098151</v>
      </c>
      <c r="EW116" s="107">
        <f t="shared" si="1060"/>
        <v>1.0111749187411099</v>
      </c>
      <c r="EX116" s="107">
        <f t="shared" si="1061"/>
        <v>1.6088616538127065</v>
      </c>
      <c r="EY116" s="107">
        <f t="shared" si="952"/>
        <v>1.069076703159805</v>
      </c>
      <c r="FA116" s="107">
        <f t="shared" si="941"/>
        <v>1.9761774771657041</v>
      </c>
      <c r="FB116" s="107">
        <f t="shared" si="1062"/>
        <v>3.8621185601784802</v>
      </c>
      <c r="FC116" s="107">
        <f t="shared" si="1063"/>
        <v>1.0111749187411099</v>
      </c>
      <c r="FD116" s="107">
        <f t="shared" si="1064"/>
        <v>1.6088616538127065</v>
      </c>
      <c r="FE116" s="107">
        <f t="shared" si="953"/>
        <v>1.1302539157812281</v>
      </c>
      <c r="FF116" s="141" t="str">
        <f t="shared" si="1010"/>
        <v>-</v>
      </c>
      <c r="FG116" s="107">
        <f t="shared" si="942"/>
        <v>3.9489185791010448</v>
      </c>
      <c r="FH116" s="133">
        <f t="shared" si="1065"/>
        <v>3.8621185601784802</v>
      </c>
      <c r="FI116" s="133">
        <f t="shared" si="1066"/>
        <v>1.0224747162910901</v>
      </c>
      <c r="FJ116" s="107">
        <f t="shared" si="1067"/>
        <v>0.90472939445297396</v>
      </c>
      <c r="FK116" s="107">
        <f t="shared" si="954"/>
        <v>1.1425382859248252</v>
      </c>
      <c r="FL116" s="141" t="str">
        <f t="shared" si="1011"/>
        <v>-</v>
      </c>
      <c r="FM116" s="107">
        <f t="shared" si="943"/>
        <v>6.0364110731702327</v>
      </c>
      <c r="FN116" s="133">
        <f t="shared" si="1068"/>
        <v>3.8621185601784802</v>
      </c>
      <c r="FO116" s="133">
        <f t="shared" si="1069"/>
        <v>0.84027060373429696</v>
      </c>
      <c r="FP116" s="133">
        <f t="shared" si="1070"/>
        <v>1.8340219092574557</v>
      </c>
      <c r="FQ116" s="107">
        <f t="shared" si="1071"/>
        <v>1.5905414575341013</v>
      </c>
      <c r="FR116" s="107">
        <f t="shared" si="955"/>
        <v>1.1282115248549711</v>
      </c>
      <c r="FS116" s="141" t="str">
        <f t="shared" si="1012"/>
        <v>-</v>
      </c>
      <c r="FT116" s="107">
        <f t="shared" si="944"/>
        <v>7.083210055517192</v>
      </c>
      <c r="FU116" s="133">
        <f t="shared" si="1072"/>
        <v>3.8621185601784802</v>
      </c>
      <c r="FV116" s="133">
        <f t="shared" si="1073"/>
        <v>1.8340219092574557</v>
      </c>
      <c r="FW116" s="107">
        <f t="shared" si="1074"/>
        <v>1.5905414575341013</v>
      </c>
      <c r="FY116">
        <v>0.95</v>
      </c>
      <c r="FZ116" s="62">
        <f t="shared" si="711"/>
        <v>1.058181940398611</v>
      </c>
      <c r="GA116" s="62">
        <f t="shared" si="712"/>
        <v>1.7914964302111964</v>
      </c>
      <c r="GB116" s="107">
        <f t="shared" si="525"/>
        <v>1.6490860255561632</v>
      </c>
      <c r="GC116" s="440"/>
      <c r="GD116" s="17"/>
      <c r="GE116" s="442"/>
      <c r="GF116" s="462"/>
      <c r="GG116" s="17"/>
      <c r="GH116" s="17"/>
      <c r="GI116" s="17"/>
      <c r="GJ116" s="17"/>
      <c r="GL116" s="17"/>
      <c r="GM116" s="442"/>
      <c r="GN116" s="8"/>
      <c r="GO116" s="8"/>
      <c r="GP116" s="8"/>
      <c r="GQ116" s="8"/>
      <c r="GS116" s="17"/>
      <c r="GT116" s="17"/>
      <c r="GU116" s="17"/>
      <c r="GV116" s="629"/>
      <c r="GW116" s="17"/>
      <c r="GX116" s="17"/>
      <c r="GY116" s="17"/>
      <c r="GZ116" s="17"/>
    </row>
    <row r="117" spans="1:208" ht="15.6" x14ac:dyDescent="0.3">
      <c r="A117" s="60" t="s">
        <v>30</v>
      </c>
      <c r="B117" s="218"/>
      <c r="C117" s="14" t="str">
        <f>C115</f>
        <v>Gaffel</v>
      </c>
      <c r="G117" s="54"/>
      <c r="H117" s="204">
        <f t="shared" si="1013"/>
        <v>111.00000000000001</v>
      </c>
      <c r="I117" s="63">
        <f t="shared" si="1014"/>
        <v>3</v>
      </c>
      <c r="J117" s="222">
        <f t="shared" si="1015"/>
        <v>33.9</v>
      </c>
      <c r="K117" s="116">
        <f t="shared" si="1016"/>
        <v>1.6197039301100613</v>
      </c>
      <c r="L117" s="116">
        <f t="shared" si="1017"/>
        <v>1.2557891430219315</v>
      </c>
      <c r="M117" s="92">
        <f t="shared" si="1018"/>
        <v>0.80147492625368733</v>
      </c>
      <c r="N117" s="242">
        <f t="shared" si="1019"/>
        <v>1.0112644917669966</v>
      </c>
      <c r="O117" s="143"/>
      <c r="P117" s="143"/>
      <c r="Q117" s="143"/>
      <c r="R117" s="143"/>
      <c r="S117" s="165">
        <v>4.5</v>
      </c>
      <c r="T117" s="143"/>
      <c r="U117" s="165">
        <v>7</v>
      </c>
      <c r="V117" s="559"/>
      <c r="W117" s="559"/>
      <c r="X117" s="165">
        <v>22.4</v>
      </c>
      <c r="Y117" s="143"/>
      <c r="Z117" s="143"/>
      <c r="AA117" s="143"/>
      <c r="AB117" s="143"/>
      <c r="AC117" s="143"/>
      <c r="AD117" s="143"/>
      <c r="AE117" s="143"/>
      <c r="AF117" s="143"/>
      <c r="AG117" s="551"/>
      <c r="AH117" s="557"/>
      <c r="AI117" s="557">
        <f t="shared" ref="AI117" si="1081">AI116</f>
        <v>7</v>
      </c>
      <c r="AJ117" s="337">
        <f t="shared" si="1021"/>
        <v>0</v>
      </c>
      <c r="AK117" s="339"/>
      <c r="AL117" s="337">
        <f t="shared" si="1021"/>
        <v>0</v>
      </c>
      <c r="AM117" s="339"/>
      <c r="AN117" s="267" t="str">
        <f t="shared" ref="AN117" si="1082" xml:space="preserve"> AN116</f>
        <v>Los</v>
      </c>
      <c r="AO117" s="45">
        <f>VLOOKUP(AN117,Skrogform!$1:$1048576,3,FALSE)</f>
        <v>0.97</v>
      </c>
      <c r="AP117" s="64">
        <f t="shared" ref="AP117:AZ117" si="1083">AP116</f>
        <v>7.4</v>
      </c>
      <c r="AQ117" s="64">
        <f t="shared" si="1083"/>
        <v>6.4</v>
      </c>
      <c r="AR117" s="64">
        <f t="shared" si="1083"/>
        <v>2.2000000000000002</v>
      </c>
      <c r="AS117" s="64">
        <f t="shared" si="1083"/>
        <v>0.95</v>
      </c>
      <c r="AT117" s="64">
        <f t="shared" ref="AT117" si="1084">AT116</f>
        <v>2.5</v>
      </c>
      <c r="AU117" s="64">
        <f t="shared" si="1083"/>
        <v>2.7</v>
      </c>
      <c r="AV117" s="64">
        <f t="shared" si="1083"/>
        <v>1</v>
      </c>
      <c r="AW117" s="64">
        <f t="shared" si="1083"/>
        <v>0.3</v>
      </c>
      <c r="AX117" s="256">
        <f t="shared" si="1025"/>
        <v>0</v>
      </c>
      <c r="AY117" s="256">
        <f t="shared" si="1083"/>
        <v>0</v>
      </c>
      <c r="AZ117" s="256">
        <f t="shared" si="1083"/>
        <v>0</v>
      </c>
      <c r="BA117" s="256">
        <f t="shared" ref="BA117:BB117" si="1085">BA116</f>
        <v>0</v>
      </c>
      <c r="BB117" s="256">
        <f t="shared" si="1085"/>
        <v>0</v>
      </c>
      <c r="BC117" s="256"/>
      <c r="BD117" s="66"/>
      <c r="BE117" s="66"/>
      <c r="BF117" s="261"/>
      <c r="BG117" s="66"/>
      <c r="BH117" s="175"/>
      <c r="BI117" s="66"/>
      <c r="BJ117" s="66"/>
      <c r="BK117" s="65">
        <f t="shared" ref="BK117:BM117" si="1086" xml:space="preserve"> BK116</f>
        <v>0</v>
      </c>
      <c r="BL117" s="267">
        <f t="shared" si="1086"/>
        <v>0</v>
      </c>
      <c r="BM117" s="267">
        <f t="shared" si="1086"/>
        <v>0</v>
      </c>
      <c r="BN117" s="45">
        <f t="shared" si="997"/>
        <v>1</v>
      </c>
      <c r="BO117" s="59"/>
      <c r="BP117" s="59"/>
      <c r="BR117" s="49">
        <f t="shared" si="1028"/>
        <v>0</v>
      </c>
      <c r="BS117" s="49">
        <f t="shared" si="1028"/>
        <v>0</v>
      </c>
      <c r="BT117" s="49">
        <f t="shared" si="1028"/>
        <v>0</v>
      </c>
      <c r="BU117" s="49">
        <f t="shared" si="1028"/>
        <v>0</v>
      </c>
      <c r="BV117" s="49">
        <f t="shared" si="1028"/>
        <v>4.5</v>
      </c>
      <c r="BW117" s="49">
        <f t="shared" si="1028"/>
        <v>0</v>
      </c>
      <c r="BX117" s="49">
        <f t="shared" si="1028"/>
        <v>7</v>
      </c>
      <c r="BY117" s="549">
        <f t="shared" si="1029"/>
        <v>-2.25</v>
      </c>
      <c r="BZ117" s="85">
        <f t="shared" si="1030"/>
        <v>0</v>
      </c>
      <c r="CA117" s="85">
        <f t="shared" si="1030"/>
        <v>0</v>
      </c>
      <c r="CB117" s="85">
        <f t="shared" si="1030"/>
        <v>17.919999999999998</v>
      </c>
      <c r="CC117" s="85">
        <f t="shared" si="1030"/>
        <v>0</v>
      </c>
      <c r="CD117" s="85">
        <f t="shared" si="1030"/>
        <v>0</v>
      </c>
      <c r="CE117" s="85">
        <f t="shared" si="1031"/>
        <v>0</v>
      </c>
      <c r="CF117" s="85">
        <f t="shared" si="1032"/>
        <v>0</v>
      </c>
      <c r="CG117" s="85">
        <f t="shared" si="1032"/>
        <v>0</v>
      </c>
      <c r="CH117" s="85">
        <f t="shared" si="1033"/>
        <v>0</v>
      </c>
      <c r="CI117" s="85">
        <f t="shared" si="1033"/>
        <v>0</v>
      </c>
      <c r="CJ117" s="85">
        <f t="shared" si="1033"/>
        <v>0</v>
      </c>
      <c r="CK117" s="85">
        <f t="shared" si="1033"/>
        <v>0</v>
      </c>
      <c r="CL117" s="100">
        <f t="shared" si="1034"/>
        <v>27.169999999999998</v>
      </c>
      <c r="CM117" s="50"/>
      <c r="CN117" s="104">
        <f t="shared" si="1035"/>
        <v>33.9</v>
      </c>
      <c r="CO117" s="101">
        <f t="shared" si="1036"/>
        <v>0.80147492625368733</v>
      </c>
      <c r="CP117" s="51">
        <f t="shared" si="1037"/>
        <v>0.82763671874999978</v>
      </c>
      <c r="CQ117" s="116">
        <f t="shared" si="1038"/>
        <v>1.6197039301100613</v>
      </c>
      <c r="CR117" s="51">
        <f t="shared" si="1039"/>
        <v>1.2557891430219315</v>
      </c>
      <c r="CS117" s="204"/>
      <c r="CT117" s="204">
        <f t="shared" si="1040"/>
        <v>111.00000000000001</v>
      </c>
      <c r="CU117" s="107">
        <f t="shared" si="1041"/>
        <v>1.1092264271314547</v>
      </c>
      <c r="CV117" s="62">
        <f t="shared" si="523"/>
        <v>3.6963825512815132</v>
      </c>
      <c r="CW117" s="62">
        <f t="shared" si="998"/>
        <v>1.7709781580707415</v>
      </c>
      <c r="CX117" s="62">
        <f t="shared" si="524"/>
        <v>1.5905414575341013</v>
      </c>
      <c r="CY117" s="107">
        <f t="shared" si="999"/>
        <v>1.0112644917669966</v>
      </c>
      <c r="CZ117" s="168" t="str">
        <f t="shared" si="1000"/>
        <v>-</v>
      </c>
      <c r="DA117" s="158"/>
      <c r="DB117" s="168" t="str">
        <f t="shared" si="1001"/>
        <v>-</v>
      </c>
      <c r="DC117" s="160"/>
      <c r="DD117" s="190" t="s">
        <v>134</v>
      </c>
      <c r="DE117" s="62">
        <v>0.77</v>
      </c>
      <c r="DF117" s="62">
        <v>0.8</v>
      </c>
      <c r="DG117" s="62">
        <v>0.85</v>
      </c>
      <c r="DH117" s="150">
        <v>0.88</v>
      </c>
      <c r="DI117" s="62">
        <f t="shared" si="542"/>
        <v>1.8381378657961083</v>
      </c>
      <c r="DJ117" s="47">
        <f t="shared" si="543"/>
        <v>9.8958333333333321</v>
      </c>
      <c r="DK117" s="48">
        <f t="shared" si="1002"/>
        <v>0</v>
      </c>
      <c r="DM117" s="107">
        <f t="shared" si="950"/>
        <v>1.1000275448960148</v>
      </c>
      <c r="DN117" s="141">
        <f t="shared" si="1003"/>
        <v>-4.3504854208577637</v>
      </c>
      <c r="DO117" s="107">
        <f t="shared" si="1004"/>
        <v>5.5774653569528034</v>
      </c>
      <c r="DP117" s="133">
        <f t="shared" si="1042"/>
        <v>3.743443447695348</v>
      </c>
      <c r="DQ117" s="133">
        <f t="shared" si="1043"/>
        <v>0</v>
      </c>
      <c r="DR117" s="133">
        <f t="shared" si="1044"/>
        <v>0</v>
      </c>
      <c r="DS117" s="133">
        <f t="shared" si="1045"/>
        <v>1.8340219092574557</v>
      </c>
      <c r="DT117" s="107">
        <f t="shared" si="1046"/>
        <v>1.5905414575341013</v>
      </c>
      <c r="DU117" s="133">
        <f t="shared" si="1047"/>
        <v>1.7914964302111964</v>
      </c>
      <c r="DW117" s="107">
        <f t="shared" si="512"/>
        <v>1.1435323991045925</v>
      </c>
      <c r="DX117" s="107">
        <f t="shared" si="544"/>
        <v>1.0717919970521728</v>
      </c>
      <c r="DY117" s="122">
        <f>DX117-DW117</f>
        <v>-7.1740402052419716E-2</v>
      </c>
      <c r="DZ117" s="107">
        <f t="shared" si="545"/>
        <v>1.0805640186642205</v>
      </c>
      <c r="EA117" s="122">
        <f t="shared" si="1005"/>
        <v>-6.2968380440372007E-2</v>
      </c>
      <c r="EB117" s="107">
        <f t="shared" si="1006"/>
        <v>1.1349551348730731</v>
      </c>
      <c r="EC117" s="122">
        <f t="shared" si="1007"/>
        <v>-8.5772642315193881E-3</v>
      </c>
      <c r="ED117" s="107">
        <f t="shared" si="1048"/>
        <v>3.7433319039019741</v>
      </c>
      <c r="EE117" s="107">
        <f t="shared" si="1049"/>
        <v>1.8565206547056485</v>
      </c>
      <c r="EF117" s="107">
        <f t="shared" si="1050"/>
        <v>1.5825742730785703</v>
      </c>
      <c r="EH117" s="107">
        <f t="shared" si="1008"/>
        <v>1.1331851550924565</v>
      </c>
      <c r="EJ117" s="107">
        <f t="shared" si="1051"/>
        <v>3.7433319039019741</v>
      </c>
      <c r="EK117" s="107">
        <f t="shared" si="1052"/>
        <v>1.856624045251289</v>
      </c>
      <c r="EL117" s="107">
        <f t="shared" si="1053"/>
        <v>1.8441329174043459</v>
      </c>
      <c r="EM117" s="107">
        <f t="shared" si="1009"/>
        <v>1.123374655141711</v>
      </c>
      <c r="EO117" s="107">
        <f t="shared" si="1054"/>
        <v>5.9241007667094872</v>
      </c>
      <c r="EP117" s="107">
        <f t="shared" si="1055"/>
        <v>3.7433319039019741</v>
      </c>
      <c r="EQ117" s="107">
        <f t="shared" si="1056"/>
        <v>1.5825742730785703</v>
      </c>
      <c r="ER117" s="107">
        <f t="shared" si="1057"/>
        <v>1.5905414575341013</v>
      </c>
      <c r="ES117" s="107">
        <f t="shared" si="951"/>
        <v>1.1190378057778925</v>
      </c>
      <c r="EU117" s="107">
        <f t="shared" si="1058"/>
        <v>1.9455496225357716</v>
      </c>
      <c r="EV117" s="107">
        <f t="shared" si="1059"/>
        <v>3.7433319039019741</v>
      </c>
      <c r="EW117" s="107">
        <f t="shared" si="1060"/>
        <v>1.0111749187411099</v>
      </c>
      <c r="EX117" s="107">
        <f t="shared" si="1061"/>
        <v>1.6088616538127065</v>
      </c>
      <c r="EY117" s="107">
        <f t="shared" si="952"/>
        <v>1.0525232622811851</v>
      </c>
      <c r="FA117" s="107">
        <f t="shared" si="941"/>
        <v>1.945578609060884</v>
      </c>
      <c r="FB117" s="107">
        <f t="shared" si="1062"/>
        <v>3.743443447695348</v>
      </c>
      <c r="FC117" s="107">
        <f t="shared" si="1063"/>
        <v>1.0111749187411099</v>
      </c>
      <c r="FD117" s="107">
        <f t="shared" si="1064"/>
        <v>1.6088616538127065</v>
      </c>
      <c r="FE117" s="107">
        <f t="shared" si="953"/>
        <v>1.1071997068313992</v>
      </c>
      <c r="FF117" s="141">
        <f t="shared" si="1010"/>
        <v>-3.6332692273193246</v>
      </c>
      <c r="FG117" s="107">
        <f t="shared" si="942"/>
        <v>3.8275762771340411</v>
      </c>
      <c r="FH117" s="133">
        <f t="shared" si="1065"/>
        <v>3.743443447695348</v>
      </c>
      <c r="FI117" s="133">
        <f t="shared" si="1066"/>
        <v>1.0224747162910901</v>
      </c>
      <c r="FJ117" s="107">
        <f t="shared" si="1067"/>
        <v>0.90472939445297396</v>
      </c>
      <c r="FK117" s="107">
        <f t="shared" si="954"/>
        <v>1.1151890893269365</v>
      </c>
      <c r="FL117" s="141">
        <f t="shared" si="1011"/>
        <v>-2.8343309777655978</v>
      </c>
      <c r="FM117" s="107">
        <f t="shared" si="943"/>
        <v>5.8919161400729383</v>
      </c>
      <c r="FN117" s="133">
        <f t="shared" si="1068"/>
        <v>3.743443447695348</v>
      </c>
      <c r="FO117" s="133">
        <f t="shared" si="1069"/>
        <v>0.81445078312013419</v>
      </c>
      <c r="FP117" s="133">
        <f t="shared" si="1070"/>
        <v>1.8340219092574557</v>
      </c>
      <c r="FQ117" s="107">
        <f t="shared" si="1071"/>
        <v>1.5905414575341013</v>
      </c>
      <c r="FR117" s="107">
        <f t="shared" si="955"/>
        <v>1.1060556379835962</v>
      </c>
      <c r="FS117" s="141">
        <f t="shared" si="1012"/>
        <v>-3.7476761120996294</v>
      </c>
      <c r="FT117" s="107">
        <f t="shared" si="944"/>
        <v>6.8655572991395344</v>
      </c>
      <c r="FU117" s="133">
        <f t="shared" si="1072"/>
        <v>3.743443447695348</v>
      </c>
      <c r="FV117" s="133">
        <f t="shared" si="1073"/>
        <v>1.8340219092574557</v>
      </c>
      <c r="FW117" s="107">
        <f t="shared" si="1074"/>
        <v>1.5905414575341013</v>
      </c>
      <c r="FY117">
        <v>0.95</v>
      </c>
      <c r="FZ117" s="62">
        <f t="shared" si="711"/>
        <v>1.0414105812498369</v>
      </c>
      <c r="GA117" s="62">
        <f t="shared" si="712"/>
        <v>1.7914964302111964</v>
      </c>
      <c r="GB117" s="107">
        <f t="shared" si="525"/>
        <v>1.6320189721385259</v>
      </c>
      <c r="GC117" s="440"/>
      <c r="GD117" s="17"/>
      <c r="GE117" s="442"/>
      <c r="GF117" s="462"/>
      <c r="GG117" s="17"/>
      <c r="GH117" s="17"/>
      <c r="GI117" s="17"/>
      <c r="GJ117" s="17"/>
      <c r="GL117" s="17"/>
      <c r="GM117" s="442"/>
      <c r="GN117" s="8"/>
      <c r="GO117" s="8"/>
      <c r="GP117" s="8"/>
      <c r="GQ117" s="8"/>
      <c r="GS117" s="17"/>
      <c r="GT117" s="17"/>
      <c r="GU117" s="17"/>
      <c r="GV117" s="629"/>
      <c r="GW117" s="17"/>
      <c r="GX117" s="17"/>
      <c r="GY117" s="17"/>
      <c r="GZ117" s="17"/>
    </row>
    <row r="118" spans="1:208" ht="15.6" x14ac:dyDescent="0.3">
      <c r="A118" s="60" t="s">
        <v>33</v>
      </c>
      <c r="B118" s="218"/>
      <c r="C118" s="14" t="str">
        <f>C114</f>
        <v>Gaffel</v>
      </c>
      <c r="G118" s="54"/>
      <c r="H118" s="204">
        <f t="shared" si="1013"/>
        <v>108</v>
      </c>
      <c r="I118" s="63">
        <f t="shared" si="1014"/>
        <v>2</v>
      </c>
      <c r="J118" s="222">
        <f t="shared" si="1015"/>
        <v>29.4</v>
      </c>
      <c r="K118" s="116">
        <f t="shared" si="1016"/>
        <v>1.4046989836352743</v>
      </c>
      <c r="L118" s="116">
        <f t="shared" si="1017"/>
        <v>1.0890914691694626</v>
      </c>
      <c r="M118" s="92">
        <f t="shared" si="1018"/>
        <v>0.84761904761904761</v>
      </c>
      <c r="N118" s="242">
        <f t="shared" si="1019"/>
        <v>1.0112644917669966</v>
      </c>
      <c r="O118" s="143"/>
      <c r="P118" s="143"/>
      <c r="Q118" s="143"/>
      <c r="R118" s="143"/>
      <c r="S118" s="143"/>
      <c r="T118" s="143"/>
      <c r="U118" s="165">
        <v>7</v>
      </c>
      <c r="V118" s="559"/>
      <c r="W118" s="559"/>
      <c r="X118" s="165">
        <v>22.4</v>
      </c>
      <c r="Y118" s="143"/>
      <c r="Z118" s="143"/>
      <c r="AA118" s="143"/>
      <c r="AB118" s="143"/>
      <c r="AC118" s="143"/>
      <c r="AD118" s="143"/>
      <c r="AE118" s="143"/>
      <c r="AF118" s="143"/>
      <c r="AG118" s="551"/>
      <c r="AH118" s="557"/>
      <c r="AI118" s="557">
        <f t="shared" ref="AI118" si="1087">AI117</f>
        <v>7</v>
      </c>
      <c r="AJ118" s="337">
        <f t="shared" si="1021"/>
        <v>0</v>
      </c>
      <c r="AK118" s="339"/>
      <c r="AL118" s="337">
        <f t="shared" si="1021"/>
        <v>0</v>
      </c>
      <c r="AM118" s="339"/>
      <c r="AN118" s="267" t="str">
        <f t="shared" ref="AN118" si="1088" xml:space="preserve"> AN117</f>
        <v>Los</v>
      </c>
      <c r="AO118" s="45">
        <f>VLOOKUP(AN118,Skrogform!$1:$1048576,3,FALSE)</f>
        <v>0.97</v>
      </c>
      <c r="AP118" s="64">
        <f t="shared" ref="AP118:AZ118" si="1089">AP117</f>
        <v>7.4</v>
      </c>
      <c r="AQ118" s="64">
        <f t="shared" si="1089"/>
        <v>6.4</v>
      </c>
      <c r="AR118" s="64">
        <f t="shared" si="1089"/>
        <v>2.2000000000000002</v>
      </c>
      <c r="AS118" s="64">
        <f t="shared" si="1089"/>
        <v>0.95</v>
      </c>
      <c r="AT118" s="64">
        <f t="shared" ref="AT118" si="1090">AT117</f>
        <v>2.5</v>
      </c>
      <c r="AU118" s="64">
        <f t="shared" si="1089"/>
        <v>2.7</v>
      </c>
      <c r="AV118" s="64">
        <f t="shared" si="1089"/>
        <v>1</v>
      </c>
      <c r="AW118" s="64">
        <f t="shared" si="1089"/>
        <v>0.3</v>
      </c>
      <c r="AX118" s="256">
        <f t="shared" si="1025"/>
        <v>0</v>
      </c>
      <c r="AY118" s="256">
        <f t="shared" si="1089"/>
        <v>0</v>
      </c>
      <c r="AZ118" s="256">
        <f t="shared" si="1089"/>
        <v>0</v>
      </c>
      <c r="BA118" s="256">
        <f t="shared" ref="BA118:BB118" si="1091">BA117</f>
        <v>0</v>
      </c>
      <c r="BB118" s="256">
        <f t="shared" si="1091"/>
        <v>0</v>
      </c>
      <c r="BC118" s="256"/>
      <c r="BD118" s="66"/>
      <c r="BE118" s="66"/>
      <c r="BF118" s="261"/>
      <c r="BG118" s="66"/>
      <c r="BH118" s="175"/>
      <c r="BI118" s="66"/>
      <c r="BJ118" s="66"/>
      <c r="BK118" s="65">
        <f t="shared" ref="BK118:BM118" si="1092" xml:space="preserve"> BK117</f>
        <v>0</v>
      </c>
      <c r="BL118" s="267">
        <f t="shared" si="1092"/>
        <v>0</v>
      </c>
      <c r="BM118" s="267">
        <f t="shared" si="1092"/>
        <v>0</v>
      </c>
      <c r="BN118" s="45">
        <f t="shared" si="997"/>
        <v>1</v>
      </c>
      <c r="BO118" s="59"/>
      <c r="BP118" s="59"/>
      <c r="BR118" s="49">
        <f t="shared" si="1028"/>
        <v>0</v>
      </c>
      <c r="BS118" s="49">
        <f t="shared" si="1028"/>
        <v>0</v>
      </c>
      <c r="BT118" s="49">
        <f t="shared" si="1028"/>
        <v>0</v>
      </c>
      <c r="BU118" s="49">
        <f t="shared" si="1028"/>
        <v>0</v>
      </c>
      <c r="BV118" s="49">
        <f t="shared" si="1028"/>
        <v>0</v>
      </c>
      <c r="BW118" s="49">
        <f t="shared" si="1028"/>
        <v>0</v>
      </c>
      <c r="BX118" s="49">
        <f t="shared" si="1028"/>
        <v>7</v>
      </c>
      <c r="BY118" s="549">
        <f t="shared" si="1029"/>
        <v>0</v>
      </c>
      <c r="BZ118" s="85">
        <f t="shared" si="1030"/>
        <v>0</v>
      </c>
      <c r="CA118" s="85">
        <f t="shared" si="1030"/>
        <v>0</v>
      </c>
      <c r="CB118" s="85">
        <f t="shared" si="1030"/>
        <v>17.919999999999998</v>
      </c>
      <c r="CC118" s="85">
        <f t="shared" si="1030"/>
        <v>0</v>
      </c>
      <c r="CD118" s="85">
        <f t="shared" si="1030"/>
        <v>0</v>
      </c>
      <c r="CE118" s="85">
        <f t="shared" si="1031"/>
        <v>0</v>
      </c>
      <c r="CF118" s="85">
        <f t="shared" si="1032"/>
        <v>0</v>
      </c>
      <c r="CG118" s="85">
        <f t="shared" si="1032"/>
        <v>0</v>
      </c>
      <c r="CH118" s="85">
        <f t="shared" si="1033"/>
        <v>0</v>
      </c>
      <c r="CI118" s="85">
        <f t="shared" si="1033"/>
        <v>0</v>
      </c>
      <c r="CJ118" s="85">
        <f t="shared" si="1033"/>
        <v>0</v>
      </c>
      <c r="CK118" s="85">
        <f t="shared" si="1033"/>
        <v>0</v>
      </c>
      <c r="CL118" s="100">
        <f t="shared" si="1034"/>
        <v>24.919999999999998</v>
      </c>
      <c r="CM118" s="50"/>
      <c r="CN118" s="104">
        <f t="shared" si="1035"/>
        <v>29.4</v>
      </c>
      <c r="CO118" s="101">
        <f t="shared" si="1036"/>
        <v>0.84761904761904761</v>
      </c>
      <c r="CP118" s="51">
        <f t="shared" si="1037"/>
        <v>0.71777343749999978</v>
      </c>
      <c r="CQ118" s="116">
        <f t="shared" si="1038"/>
        <v>1.4046989836352743</v>
      </c>
      <c r="CR118" s="51">
        <f t="shared" si="1039"/>
        <v>1.0890914691694626</v>
      </c>
      <c r="CS118" s="204"/>
      <c r="CT118" s="204">
        <f t="shared" si="1040"/>
        <v>108</v>
      </c>
      <c r="CU118" s="107">
        <f t="shared" si="1041"/>
        <v>1.0775040099915201</v>
      </c>
      <c r="CV118" s="62">
        <f t="shared" si="523"/>
        <v>3.5400232247866645</v>
      </c>
      <c r="CW118" s="62">
        <f t="shared" si="998"/>
        <v>1.7709781580707415</v>
      </c>
      <c r="CX118" s="62">
        <f t="shared" si="524"/>
        <v>1.5905414575341013</v>
      </c>
      <c r="CY118" s="107">
        <f t="shared" si="999"/>
        <v>1.0112644917669966</v>
      </c>
      <c r="CZ118" s="168" t="str">
        <f t="shared" si="1000"/>
        <v>-</v>
      </c>
      <c r="DA118" s="158"/>
      <c r="DB118" s="168" t="str">
        <f t="shared" si="1001"/>
        <v>-</v>
      </c>
      <c r="DC118" s="160"/>
      <c r="DD118" s="190" t="s">
        <v>134</v>
      </c>
      <c r="DE118" s="62">
        <v>0.73</v>
      </c>
      <c r="DF118" s="62">
        <v>0.78</v>
      </c>
      <c r="DG118" s="62">
        <v>0.82</v>
      </c>
      <c r="DH118" s="150">
        <v>0.85</v>
      </c>
      <c r="DI118" s="62">
        <f t="shared" si="542"/>
        <v>1.8381378657961083</v>
      </c>
      <c r="DJ118" s="47">
        <f t="shared" si="543"/>
        <v>9.8958333333333321</v>
      </c>
      <c r="DK118" s="48">
        <f t="shared" si="1002"/>
        <v>0</v>
      </c>
      <c r="DM118" s="107">
        <f t="shared" si="950"/>
        <v>1.0687966207975368</v>
      </c>
      <c r="DN118" s="141">
        <f t="shared" si="1003"/>
        <v>-4.2032255482380654</v>
      </c>
      <c r="DO118" s="107">
        <f t="shared" si="1004"/>
        <v>5.4191153246894297</v>
      </c>
      <c r="DP118" s="133">
        <f t="shared" si="1042"/>
        <v>3.5850934154319742</v>
      </c>
      <c r="DQ118" s="133">
        <f t="shared" si="1043"/>
        <v>0</v>
      </c>
      <c r="DR118" s="133">
        <f t="shared" si="1044"/>
        <v>0</v>
      </c>
      <c r="DS118" s="133">
        <f t="shared" si="1045"/>
        <v>1.8340219092574557</v>
      </c>
      <c r="DT118" s="107">
        <f t="shared" si="1046"/>
        <v>1.5905414575341013</v>
      </c>
      <c r="DU118" s="133">
        <f t="shared" si="1047"/>
        <v>1.7914964302111964</v>
      </c>
      <c r="DW118" s="107">
        <f t="shared" si="512"/>
        <v>1.1108288762799174</v>
      </c>
      <c r="DX118" s="107">
        <f t="shared" si="544"/>
        <v>1.0367869833487946</v>
      </c>
      <c r="DY118" s="122">
        <f>DX118-DW118</f>
        <v>-7.4041892931122844E-2</v>
      </c>
      <c r="DZ118" s="107">
        <f t="shared" si="545"/>
        <v>1.0523482029459159</v>
      </c>
      <c r="EA118" s="122">
        <f t="shared" si="1005"/>
        <v>-5.8480673334001532E-2</v>
      </c>
      <c r="EB118" s="107">
        <f t="shared" si="1006"/>
        <v>1.0987851749469975</v>
      </c>
      <c r="EC118" s="122">
        <f t="shared" si="1007"/>
        <v>-1.2043701332919987E-2</v>
      </c>
      <c r="ED118" s="107">
        <f t="shared" si="1048"/>
        <v>3.5849865900118116</v>
      </c>
      <c r="EE118" s="107">
        <f t="shared" si="1049"/>
        <v>1.8565206547056485</v>
      </c>
      <c r="EF118" s="107">
        <f t="shared" si="1050"/>
        <v>1.5825742730785703</v>
      </c>
      <c r="EH118" s="107">
        <f t="shared" si="1008"/>
        <v>1.1005353965017575</v>
      </c>
      <c r="EJ118" s="107">
        <f t="shared" si="1051"/>
        <v>3.5849865900118116</v>
      </c>
      <c r="EK118" s="107">
        <f t="shared" si="1052"/>
        <v>1.856624045251289</v>
      </c>
      <c r="EL118" s="107">
        <f t="shared" si="1053"/>
        <v>1.8441329174043459</v>
      </c>
      <c r="EM118" s="107">
        <f t="shared" si="1009"/>
        <v>1.0878488484395492</v>
      </c>
      <c r="EO118" s="107">
        <f t="shared" si="1054"/>
        <v>5.6735075466843652</v>
      </c>
      <c r="EP118" s="107">
        <f t="shared" si="1055"/>
        <v>3.5849865900118116</v>
      </c>
      <c r="EQ118" s="107">
        <f t="shared" si="1056"/>
        <v>1.5825742730785703</v>
      </c>
      <c r="ER118" s="107">
        <f t="shared" si="1057"/>
        <v>1.5905414575341013</v>
      </c>
      <c r="ES118" s="107">
        <f t="shared" si="951"/>
        <v>1.0868391087204319</v>
      </c>
      <c r="EU118" s="107">
        <f t="shared" si="1058"/>
        <v>1.9039560194088418</v>
      </c>
      <c r="EV118" s="107">
        <f t="shared" si="1059"/>
        <v>3.5849865900118116</v>
      </c>
      <c r="EW118" s="107">
        <f t="shared" si="1060"/>
        <v>1.0111749187411099</v>
      </c>
      <c r="EX118" s="107">
        <f t="shared" si="1061"/>
        <v>1.6088616538127065</v>
      </c>
      <c r="EY118" s="107">
        <f t="shared" si="952"/>
        <v>1.0300215309729257</v>
      </c>
      <c r="FA118" s="107">
        <f t="shared" si="941"/>
        <v>1.903984386235537</v>
      </c>
      <c r="FB118" s="107">
        <f t="shared" si="1062"/>
        <v>3.5850934154319742</v>
      </c>
      <c r="FC118" s="107">
        <f t="shared" si="1063"/>
        <v>1.0111749187411099</v>
      </c>
      <c r="FD118" s="107">
        <f t="shared" si="1064"/>
        <v>1.6088616538127065</v>
      </c>
      <c r="FE118" s="107">
        <f t="shared" si="953"/>
        <v>1.0764381203906801</v>
      </c>
      <c r="FF118" s="141">
        <f t="shared" si="1010"/>
        <v>-3.4390755889237345</v>
      </c>
      <c r="FG118" s="107">
        <f t="shared" si="942"/>
        <v>3.6656673728208631</v>
      </c>
      <c r="FH118" s="133">
        <f t="shared" si="1065"/>
        <v>3.5850934154319742</v>
      </c>
      <c r="FI118" s="133">
        <f t="shared" si="1066"/>
        <v>1.0224747162910901</v>
      </c>
      <c r="FJ118" s="107">
        <f t="shared" si="1067"/>
        <v>0.90472939445297396</v>
      </c>
      <c r="FK118" s="107">
        <f t="shared" si="954"/>
        <v>1.078696634649309</v>
      </c>
      <c r="FL118" s="141">
        <f t="shared" si="1011"/>
        <v>-3.213224163060846</v>
      </c>
      <c r="FM118" s="107">
        <f t="shared" si="943"/>
        <v>5.6991143230862233</v>
      </c>
      <c r="FN118" s="133">
        <f t="shared" si="1068"/>
        <v>3.5850934154319742</v>
      </c>
      <c r="FO118" s="133">
        <f t="shared" si="1069"/>
        <v>0.77999899839679276</v>
      </c>
      <c r="FP118" s="133">
        <f t="shared" si="1070"/>
        <v>1.8340219092574557</v>
      </c>
      <c r="FQ118" s="107">
        <f t="shared" si="1071"/>
        <v>1.5905414575341013</v>
      </c>
      <c r="FR118" s="107">
        <f t="shared" si="955"/>
        <v>1.0764926965420656</v>
      </c>
      <c r="FS118" s="141">
        <f t="shared" si="1012"/>
        <v>-3.4336179737851857</v>
      </c>
      <c r="FT118" s="107">
        <f t="shared" si="944"/>
        <v>6.5751398706368818</v>
      </c>
      <c r="FU118" s="133">
        <f t="shared" si="1072"/>
        <v>3.5850934154319742</v>
      </c>
      <c r="FV118" s="133">
        <f t="shared" si="1073"/>
        <v>1.8340219092574557</v>
      </c>
      <c r="FW118" s="107">
        <f t="shared" si="1074"/>
        <v>1.5905414575341013</v>
      </c>
      <c r="FY118">
        <v>0.95</v>
      </c>
      <c r="FZ118" s="62">
        <f t="shared" si="711"/>
        <v>1.0190322981646918</v>
      </c>
      <c r="GA118" s="62">
        <f t="shared" si="712"/>
        <v>1.7914964302111964</v>
      </c>
      <c r="GB118" s="107">
        <f t="shared" si="525"/>
        <v>1.6086748410273564</v>
      </c>
      <c r="GC118" s="440"/>
      <c r="GD118" s="17"/>
      <c r="GE118" s="442"/>
      <c r="GF118" s="462"/>
      <c r="GG118" s="17"/>
      <c r="GH118" s="17"/>
      <c r="GI118" s="17"/>
      <c r="GJ118" s="17"/>
      <c r="GL118" s="17"/>
      <c r="GM118" s="442"/>
      <c r="GN118" s="8"/>
      <c r="GO118" s="8"/>
      <c r="GP118" s="8"/>
      <c r="GQ118" s="8"/>
      <c r="GS118" s="17"/>
      <c r="GT118" s="17"/>
      <c r="GU118" s="17"/>
      <c r="GV118" s="629"/>
      <c r="GW118" s="17"/>
      <c r="GX118" s="17"/>
      <c r="GY118" s="17"/>
      <c r="GZ118" s="17"/>
    </row>
    <row r="119" spans="1:208" ht="15.6" x14ac:dyDescent="0.3">
      <c r="A119" s="60" t="s">
        <v>34</v>
      </c>
      <c r="B119" s="218"/>
      <c r="C119" s="14" t="str">
        <f>C115</f>
        <v>Gaffel</v>
      </c>
      <c r="G119" s="54"/>
      <c r="H119" s="204">
        <f t="shared" si="1013"/>
        <v>106</v>
      </c>
      <c r="I119" s="63">
        <f t="shared" si="1014"/>
        <v>3</v>
      </c>
      <c r="J119" s="222">
        <f t="shared" si="1015"/>
        <v>30.166666666666664</v>
      </c>
      <c r="K119" s="116">
        <f t="shared" si="1016"/>
        <v>1.4413294559976453</v>
      </c>
      <c r="L119" s="116">
        <f t="shared" si="1017"/>
        <v>1.117491813603587</v>
      </c>
      <c r="M119" s="92">
        <f t="shared" si="1018"/>
        <v>0.78928176795580107</v>
      </c>
      <c r="N119" s="242">
        <f t="shared" si="1019"/>
        <v>1.0112644917669966</v>
      </c>
      <c r="O119" s="143"/>
      <c r="P119" s="143"/>
      <c r="Q119" s="143"/>
      <c r="R119" s="143"/>
      <c r="S119" s="165">
        <v>4.5</v>
      </c>
      <c r="T119" s="143"/>
      <c r="U119" s="165">
        <v>7</v>
      </c>
      <c r="V119" s="559"/>
      <c r="W119" s="559"/>
      <c r="X119" s="143"/>
      <c r="Y119" s="180">
        <f>Y$114</f>
        <v>18.666666666666664</v>
      </c>
      <c r="Z119" s="143"/>
      <c r="AA119" s="143"/>
      <c r="AB119" s="143"/>
      <c r="AC119" s="143"/>
      <c r="AD119" s="143"/>
      <c r="AE119" s="143"/>
      <c r="AF119" s="143"/>
      <c r="AG119" s="551"/>
      <c r="AH119" s="557"/>
      <c r="AI119" s="557">
        <f t="shared" ref="AI119" si="1093">AI118</f>
        <v>7</v>
      </c>
      <c r="AJ119" s="337">
        <f t="shared" si="1021"/>
        <v>0</v>
      </c>
      <c r="AK119" s="339"/>
      <c r="AL119" s="337">
        <f t="shared" si="1021"/>
        <v>0</v>
      </c>
      <c r="AM119" s="339"/>
      <c r="AN119" s="267" t="str">
        <f t="shared" ref="AN119" si="1094" xml:space="preserve"> AN118</f>
        <v>Los</v>
      </c>
      <c r="AO119" s="45">
        <f>VLOOKUP(AN119,Skrogform!$1:$1048576,3,FALSE)</f>
        <v>0.97</v>
      </c>
      <c r="AP119" s="64">
        <f t="shared" ref="AP119:AZ119" si="1095">AP118</f>
        <v>7.4</v>
      </c>
      <c r="AQ119" s="64">
        <f t="shared" si="1095"/>
        <v>6.4</v>
      </c>
      <c r="AR119" s="64">
        <f t="shared" si="1095"/>
        <v>2.2000000000000002</v>
      </c>
      <c r="AS119" s="64">
        <f t="shared" si="1095"/>
        <v>0.95</v>
      </c>
      <c r="AT119" s="64">
        <f t="shared" ref="AT119" si="1096">AT118</f>
        <v>2.5</v>
      </c>
      <c r="AU119" s="64">
        <f t="shared" si="1095"/>
        <v>2.7</v>
      </c>
      <c r="AV119" s="64">
        <f t="shared" si="1095"/>
        <v>1</v>
      </c>
      <c r="AW119" s="64">
        <f t="shared" si="1095"/>
        <v>0.3</v>
      </c>
      <c r="AX119" s="256">
        <f t="shared" si="1025"/>
        <v>0</v>
      </c>
      <c r="AY119" s="256">
        <f t="shared" si="1095"/>
        <v>0</v>
      </c>
      <c r="AZ119" s="256">
        <f t="shared" si="1095"/>
        <v>0</v>
      </c>
      <c r="BA119" s="256">
        <f t="shared" ref="BA119:BB119" si="1097">BA118</f>
        <v>0</v>
      </c>
      <c r="BB119" s="256">
        <f t="shared" si="1097"/>
        <v>0</v>
      </c>
      <c r="BC119" s="256"/>
      <c r="BD119" s="66"/>
      <c r="BE119" s="66"/>
      <c r="BF119" s="261"/>
      <c r="BG119" s="66"/>
      <c r="BH119" s="175"/>
      <c r="BI119" s="66"/>
      <c r="BJ119" s="66"/>
      <c r="BK119" s="65">
        <f t="shared" ref="BK119:BM119" si="1098" xml:space="preserve"> BK118</f>
        <v>0</v>
      </c>
      <c r="BL119" s="267">
        <f t="shared" si="1098"/>
        <v>0</v>
      </c>
      <c r="BM119" s="267">
        <f t="shared" si="1098"/>
        <v>0</v>
      </c>
      <c r="BN119" s="45">
        <f t="shared" si="997"/>
        <v>1</v>
      </c>
      <c r="BO119" s="59"/>
      <c r="BP119" s="59"/>
      <c r="BR119" s="49">
        <f t="shared" si="1028"/>
        <v>0</v>
      </c>
      <c r="BS119" s="49">
        <f t="shared" si="1028"/>
        <v>0</v>
      </c>
      <c r="BT119" s="49">
        <f t="shared" si="1028"/>
        <v>0</v>
      </c>
      <c r="BU119" s="49">
        <f t="shared" si="1028"/>
        <v>0</v>
      </c>
      <c r="BV119" s="49">
        <f t="shared" si="1028"/>
        <v>4.5</v>
      </c>
      <c r="BW119" s="49">
        <f t="shared" si="1028"/>
        <v>0</v>
      </c>
      <c r="BX119" s="49">
        <f t="shared" si="1028"/>
        <v>7</v>
      </c>
      <c r="BY119" s="549">
        <f t="shared" si="1029"/>
        <v>-2.25</v>
      </c>
      <c r="BZ119" s="85">
        <f t="shared" si="1030"/>
        <v>0</v>
      </c>
      <c r="CA119" s="85">
        <f t="shared" si="1030"/>
        <v>0</v>
      </c>
      <c r="CB119" s="85">
        <f t="shared" si="1030"/>
        <v>0</v>
      </c>
      <c r="CC119" s="85">
        <f t="shared" si="1030"/>
        <v>14.559999999999999</v>
      </c>
      <c r="CD119" s="85">
        <f t="shared" si="1030"/>
        <v>0</v>
      </c>
      <c r="CE119" s="85">
        <f t="shared" si="1031"/>
        <v>0</v>
      </c>
      <c r="CF119" s="85">
        <f t="shared" si="1032"/>
        <v>0</v>
      </c>
      <c r="CG119" s="85">
        <f t="shared" si="1032"/>
        <v>0</v>
      </c>
      <c r="CH119" s="85">
        <f t="shared" si="1033"/>
        <v>0</v>
      </c>
      <c r="CI119" s="85">
        <f t="shared" si="1033"/>
        <v>0</v>
      </c>
      <c r="CJ119" s="85">
        <f t="shared" si="1033"/>
        <v>0</v>
      </c>
      <c r="CK119" s="85">
        <f t="shared" si="1033"/>
        <v>0</v>
      </c>
      <c r="CL119" s="100">
        <f t="shared" si="1034"/>
        <v>23.81</v>
      </c>
      <c r="CM119" s="50"/>
      <c r="CN119" s="104">
        <f t="shared" si="1035"/>
        <v>30.166666666666664</v>
      </c>
      <c r="CO119" s="101">
        <f t="shared" si="1036"/>
        <v>0.78928176795580107</v>
      </c>
      <c r="CP119" s="51">
        <f t="shared" si="1037"/>
        <v>0.73649088541666652</v>
      </c>
      <c r="CQ119" s="116">
        <f t="shared" si="1038"/>
        <v>1.4413294559976453</v>
      </c>
      <c r="CR119" s="51">
        <f t="shared" si="1039"/>
        <v>1.117491813603587</v>
      </c>
      <c r="CS119" s="204"/>
      <c r="CT119" s="204">
        <f t="shared" si="1040"/>
        <v>106</v>
      </c>
      <c r="CU119" s="107">
        <f t="shared" si="1041"/>
        <v>1.0613264685480541</v>
      </c>
      <c r="CV119" s="62">
        <f t="shared" si="523"/>
        <v>3.4602843614685073</v>
      </c>
      <c r="CW119" s="62">
        <f t="shared" si="998"/>
        <v>1.7709781580707415</v>
      </c>
      <c r="CX119" s="62">
        <f t="shared" si="524"/>
        <v>1.5905414575341013</v>
      </c>
      <c r="CY119" s="107">
        <f t="shared" si="999"/>
        <v>1.0112644917669966</v>
      </c>
      <c r="CZ119" s="168" t="str">
        <f t="shared" si="1000"/>
        <v>-</v>
      </c>
      <c r="DA119" s="158"/>
      <c r="DB119" s="168" t="str">
        <f t="shared" si="1001"/>
        <v>-</v>
      </c>
      <c r="DC119" s="160"/>
      <c r="DD119" s="190" t="s">
        <v>134</v>
      </c>
      <c r="DE119" s="62">
        <v>0.73</v>
      </c>
      <c r="DF119" s="62">
        <v>0.78</v>
      </c>
      <c r="DG119" s="62">
        <v>0.82</v>
      </c>
      <c r="DH119" s="150">
        <v>0.85</v>
      </c>
      <c r="DI119" s="62">
        <f t="shared" si="542"/>
        <v>1.8381378657961083</v>
      </c>
      <c r="DJ119" s="47">
        <f t="shared" si="543"/>
        <v>9.8958333333333321</v>
      </c>
      <c r="DK119" s="48">
        <f t="shared" si="1002"/>
        <v>0</v>
      </c>
      <c r="DM119" s="107">
        <f t="shared" si="950"/>
        <v>1.0528697269958402</v>
      </c>
      <c r="DN119" s="141" t="str">
        <f t="shared" si="1003"/>
        <v>-</v>
      </c>
      <c r="DO119" s="107">
        <f t="shared" si="1004"/>
        <v>5.3383612573617549</v>
      </c>
      <c r="DP119" s="133">
        <f t="shared" si="1042"/>
        <v>3.504339348104299</v>
      </c>
      <c r="DQ119" s="133">
        <f t="shared" si="1043"/>
        <v>0</v>
      </c>
      <c r="DR119" s="133">
        <f t="shared" si="1044"/>
        <v>0</v>
      </c>
      <c r="DS119" s="133">
        <f t="shared" si="1045"/>
        <v>1.8340219092574557</v>
      </c>
      <c r="DT119" s="107">
        <f t="shared" si="1046"/>
        <v>1.5905414575341013</v>
      </c>
      <c r="DU119" s="133">
        <f t="shared" si="1047"/>
        <v>1.7914964302111964</v>
      </c>
      <c r="DW119" s="107">
        <f t="shared" si="512"/>
        <v>1.0941509985031488</v>
      </c>
      <c r="DX119" s="107">
        <f t="shared" si="544"/>
        <v>1.0189354098883789</v>
      </c>
      <c r="DZ119" s="107">
        <f t="shared" si="545"/>
        <v>1.0379589297032588</v>
      </c>
      <c r="EA119" s="122" t="str">
        <f t="shared" si="1005"/>
        <v>-</v>
      </c>
      <c r="EB119" s="107">
        <f t="shared" si="1006"/>
        <v>1.0803395116442485</v>
      </c>
      <c r="EC119" s="122" t="str">
        <f t="shared" si="1007"/>
        <v>-</v>
      </c>
      <c r="ED119" s="107">
        <f t="shared" si="1048"/>
        <v>3.5042349289219024</v>
      </c>
      <c r="EE119" s="107">
        <f t="shared" si="1049"/>
        <v>1.8565206547056485</v>
      </c>
      <c r="EF119" s="107">
        <f t="shared" si="1050"/>
        <v>1.5825742730785703</v>
      </c>
      <c r="EH119" s="107">
        <f t="shared" si="1008"/>
        <v>1.083884936973714</v>
      </c>
      <c r="EJ119" s="107">
        <f t="shared" si="1051"/>
        <v>3.5042349289219024</v>
      </c>
      <c r="EK119" s="107">
        <f t="shared" si="1052"/>
        <v>1.856624045251289</v>
      </c>
      <c r="EL119" s="107">
        <f t="shared" si="1053"/>
        <v>1.8441329174043459</v>
      </c>
      <c r="EM119" s="107">
        <f t="shared" si="1009"/>
        <v>1.0697316851823624</v>
      </c>
      <c r="EO119" s="107">
        <f t="shared" si="1054"/>
        <v>5.5457120453351152</v>
      </c>
      <c r="EP119" s="107">
        <f t="shared" si="1055"/>
        <v>3.5042349289219024</v>
      </c>
      <c r="EQ119" s="107">
        <f t="shared" si="1056"/>
        <v>1.5825742730785703</v>
      </c>
      <c r="ER119" s="107">
        <f t="shared" si="1057"/>
        <v>1.5905414575341013</v>
      </c>
      <c r="ES119" s="107">
        <f t="shared" si="951"/>
        <v>1.0701447732568583</v>
      </c>
      <c r="EU119" s="107">
        <f t="shared" si="1058"/>
        <v>1.8823906261725709</v>
      </c>
      <c r="EV119" s="107">
        <f t="shared" si="1059"/>
        <v>3.5042349289219024</v>
      </c>
      <c r="EW119" s="107">
        <f t="shared" si="1060"/>
        <v>1.0111749187411099</v>
      </c>
      <c r="EX119" s="107">
        <f t="shared" si="1061"/>
        <v>1.6088616538127065</v>
      </c>
      <c r="EY119" s="107">
        <f t="shared" si="952"/>
        <v>1.0183548647627716</v>
      </c>
      <c r="FA119" s="107">
        <f t="shared" si="941"/>
        <v>1.8824186716988967</v>
      </c>
      <c r="FB119" s="107">
        <f t="shared" si="1062"/>
        <v>3.504339348104299</v>
      </c>
      <c r="FC119" s="107">
        <f t="shared" si="1063"/>
        <v>1.0111749187411099</v>
      </c>
      <c r="FD119" s="107">
        <f t="shared" si="1064"/>
        <v>1.6088616538127065</v>
      </c>
      <c r="FE119" s="107">
        <f t="shared" si="953"/>
        <v>1.0607505756075615</v>
      </c>
      <c r="FF119" s="141" t="str">
        <f t="shared" si="1010"/>
        <v>-</v>
      </c>
      <c r="FG119" s="107">
        <f t="shared" si="942"/>
        <v>3.5830983807406467</v>
      </c>
      <c r="FH119" s="133">
        <f t="shared" si="1065"/>
        <v>3.504339348104299</v>
      </c>
      <c r="FI119" s="133">
        <f t="shared" si="1066"/>
        <v>1.0224747162910901</v>
      </c>
      <c r="FJ119" s="107">
        <f t="shared" si="1067"/>
        <v>0.90472939445297396</v>
      </c>
      <c r="FK119" s="107">
        <f t="shared" si="954"/>
        <v>1.0600865080843338</v>
      </c>
      <c r="FL119" s="141" t="str">
        <f t="shared" si="1011"/>
        <v>-</v>
      </c>
      <c r="FM119" s="107">
        <f t="shared" si="943"/>
        <v>5.6007908135339957</v>
      </c>
      <c r="FN119" s="133">
        <f t="shared" si="1068"/>
        <v>3.504339348104299</v>
      </c>
      <c r="FO119" s="133">
        <f t="shared" si="1069"/>
        <v>0.76242955617224073</v>
      </c>
      <c r="FP119" s="133">
        <f t="shared" si="1070"/>
        <v>1.8340219092574557</v>
      </c>
      <c r="FQ119" s="107">
        <f t="shared" si="1071"/>
        <v>1.5905414575341013</v>
      </c>
      <c r="FR119" s="107">
        <f t="shared" si="955"/>
        <v>1.0614164270304638</v>
      </c>
      <c r="FS119" s="141" t="str">
        <f t="shared" si="1012"/>
        <v>-</v>
      </c>
      <c r="FT119" s="107">
        <f t="shared" si="944"/>
        <v>6.4270351418962743</v>
      </c>
      <c r="FU119" s="133">
        <f t="shared" si="1072"/>
        <v>3.504339348104299</v>
      </c>
      <c r="FV119" s="133">
        <f t="shared" si="1073"/>
        <v>1.8340219092574557</v>
      </c>
      <c r="FW119" s="107">
        <f t="shared" si="1074"/>
        <v>1.5905414575341013</v>
      </c>
      <c r="FY119">
        <v>0.95</v>
      </c>
      <c r="FZ119" s="62">
        <f t="shared" si="711"/>
        <v>1.0076200025490527</v>
      </c>
      <c r="GA119" s="62">
        <f t="shared" si="712"/>
        <v>1.7914964302111964</v>
      </c>
      <c r="GB119" s="107">
        <f t="shared" si="525"/>
        <v>1.5965045573167784</v>
      </c>
      <c r="GC119" s="440"/>
      <c r="GD119" s="17"/>
      <c r="GE119" s="442"/>
      <c r="GF119" s="462"/>
      <c r="GG119" s="17"/>
      <c r="GH119" s="17"/>
      <c r="GI119" s="17"/>
      <c r="GJ119" s="17"/>
      <c r="GL119" s="17"/>
      <c r="GM119" s="442"/>
      <c r="GN119" s="8"/>
      <c r="GO119" s="8"/>
      <c r="GP119" s="8"/>
      <c r="GQ119" s="8"/>
      <c r="GS119" s="17"/>
      <c r="GT119" s="17"/>
      <c r="GU119" s="17"/>
      <c r="GV119" s="629"/>
      <c r="GW119" s="17"/>
      <c r="GX119" s="17"/>
      <c r="GY119" s="17"/>
      <c r="GZ119" s="17"/>
    </row>
    <row r="120" spans="1:208" ht="15.6" x14ac:dyDescent="0.3">
      <c r="A120" s="60" t="s">
        <v>35</v>
      </c>
      <c r="B120" s="218"/>
      <c r="C120" s="14" t="str">
        <f>C116</f>
        <v>Gaffel</v>
      </c>
      <c r="G120" s="54"/>
      <c r="H120" s="204">
        <f t="shared" si="1013"/>
        <v>102.49999999999999</v>
      </c>
      <c r="I120" s="63">
        <f t="shared" si="1014"/>
        <v>2</v>
      </c>
      <c r="J120" s="222">
        <f t="shared" si="1015"/>
        <v>25.666666666666664</v>
      </c>
      <c r="K120" s="116">
        <f t="shared" si="1016"/>
        <v>1.2263245095228583</v>
      </c>
      <c r="L120" s="116">
        <f t="shared" si="1017"/>
        <v>0.95079413975111826</v>
      </c>
      <c r="M120" s="92">
        <f t="shared" si="1018"/>
        <v>0.84000000000000008</v>
      </c>
      <c r="N120" s="242">
        <f t="shared" si="1019"/>
        <v>1.0112644917669966</v>
      </c>
      <c r="O120" s="143"/>
      <c r="P120" s="143"/>
      <c r="Q120" s="143"/>
      <c r="R120" s="143"/>
      <c r="S120" s="143"/>
      <c r="T120" s="143"/>
      <c r="U120" s="165">
        <v>7</v>
      </c>
      <c r="V120" s="559"/>
      <c r="W120" s="559"/>
      <c r="X120" s="143"/>
      <c r="Y120" s="180">
        <f>Y$114</f>
        <v>18.666666666666664</v>
      </c>
      <c r="Z120" s="143"/>
      <c r="AA120" s="143"/>
      <c r="AB120" s="143"/>
      <c r="AC120" s="143"/>
      <c r="AD120" s="143"/>
      <c r="AE120" s="143"/>
      <c r="AF120" s="143"/>
      <c r="AG120" s="551"/>
      <c r="AH120" s="557"/>
      <c r="AI120" s="557">
        <f t="shared" ref="AI120" si="1099">AI119</f>
        <v>7</v>
      </c>
      <c r="AJ120" s="337">
        <f t="shared" si="1021"/>
        <v>0</v>
      </c>
      <c r="AK120" s="339"/>
      <c r="AL120" s="337">
        <f t="shared" si="1021"/>
        <v>0</v>
      </c>
      <c r="AM120" s="339"/>
      <c r="AN120" s="267" t="str">
        <f t="shared" ref="AN120" si="1100" xml:space="preserve"> AN119</f>
        <v>Los</v>
      </c>
      <c r="AO120" s="45">
        <f>VLOOKUP(AN120,Skrogform!$1:$1048576,3,FALSE)</f>
        <v>0.97</v>
      </c>
      <c r="AP120" s="64">
        <f t="shared" ref="AP120:AZ120" si="1101">AP119</f>
        <v>7.4</v>
      </c>
      <c r="AQ120" s="64">
        <f t="shared" si="1101"/>
        <v>6.4</v>
      </c>
      <c r="AR120" s="64">
        <f t="shared" si="1101"/>
        <v>2.2000000000000002</v>
      </c>
      <c r="AS120" s="64">
        <f t="shared" si="1101"/>
        <v>0.95</v>
      </c>
      <c r="AT120" s="64">
        <f t="shared" ref="AT120" si="1102">AT119</f>
        <v>2.5</v>
      </c>
      <c r="AU120" s="64">
        <f t="shared" si="1101"/>
        <v>2.7</v>
      </c>
      <c r="AV120" s="64">
        <f t="shared" si="1101"/>
        <v>1</v>
      </c>
      <c r="AW120" s="64">
        <f t="shared" si="1101"/>
        <v>0.3</v>
      </c>
      <c r="AX120" s="256">
        <f t="shared" si="1025"/>
        <v>0</v>
      </c>
      <c r="AY120" s="256">
        <f t="shared" si="1101"/>
        <v>0</v>
      </c>
      <c r="AZ120" s="256">
        <f t="shared" si="1101"/>
        <v>0</v>
      </c>
      <c r="BA120" s="256">
        <f t="shared" ref="BA120:BB120" si="1103">BA119</f>
        <v>0</v>
      </c>
      <c r="BB120" s="256">
        <f t="shared" si="1103"/>
        <v>0</v>
      </c>
      <c r="BC120" s="256"/>
      <c r="BD120" s="66"/>
      <c r="BE120" s="66"/>
      <c r="BF120" s="261"/>
      <c r="BG120" s="66"/>
      <c r="BH120" s="175"/>
      <c r="BI120" s="66"/>
      <c r="BJ120" s="66"/>
      <c r="BK120" s="65">
        <f t="shared" ref="BK120:BM120" si="1104" xml:space="preserve"> BK119</f>
        <v>0</v>
      </c>
      <c r="BL120" s="267">
        <f t="shared" si="1104"/>
        <v>0</v>
      </c>
      <c r="BM120" s="267">
        <f t="shared" si="1104"/>
        <v>0</v>
      </c>
      <c r="BN120" s="45">
        <f t="shared" si="997"/>
        <v>1</v>
      </c>
      <c r="BO120" s="59"/>
      <c r="BP120" s="59"/>
      <c r="BR120" s="49">
        <f t="shared" si="1028"/>
        <v>0</v>
      </c>
      <c r="BS120" s="49">
        <f t="shared" si="1028"/>
        <v>0</v>
      </c>
      <c r="BT120" s="49">
        <f t="shared" si="1028"/>
        <v>0</v>
      </c>
      <c r="BU120" s="49">
        <f t="shared" si="1028"/>
        <v>0</v>
      </c>
      <c r="BV120" s="49">
        <f t="shared" si="1028"/>
        <v>0</v>
      </c>
      <c r="BW120" s="49">
        <f t="shared" si="1028"/>
        <v>0</v>
      </c>
      <c r="BX120" s="49">
        <f t="shared" si="1028"/>
        <v>7</v>
      </c>
      <c r="BY120" s="549">
        <f t="shared" si="1029"/>
        <v>0</v>
      </c>
      <c r="BZ120" s="85">
        <f t="shared" si="1030"/>
        <v>0</v>
      </c>
      <c r="CA120" s="85">
        <f t="shared" si="1030"/>
        <v>0</v>
      </c>
      <c r="CB120" s="85">
        <f t="shared" si="1030"/>
        <v>0</v>
      </c>
      <c r="CC120" s="85">
        <f t="shared" si="1030"/>
        <v>14.559999999999999</v>
      </c>
      <c r="CD120" s="85">
        <f t="shared" si="1030"/>
        <v>0</v>
      </c>
      <c r="CE120" s="85">
        <f t="shared" si="1031"/>
        <v>0</v>
      </c>
      <c r="CF120" s="85">
        <f t="shared" si="1032"/>
        <v>0</v>
      </c>
      <c r="CG120" s="85">
        <f t="shared" si="1032"/>
        <v>0</v>
      </c>
      <c r="CH120" s="85">
        <f t="shared" si="1033"/>
        <v>0</v>
      </c>
      <c r="CI120" s="85">
        <f t="shared" si="1033"/>
        <v>0</v>
      </c>
      <c r="CJ120" s="85">
        <f t="shared" si="1033"/>
        <v>0</v>
      </c>
      <c r="CK120" s="85">
        <f t="shared" si="1033"/>
        <v>0</v>
      </c>
      <c r="CL120" s="100">
        <f t="shared" si="1034"/>
        <v>21.56</v>
      </c>
      <c r="CM120" s="50"/>
      <c r="CN120" s="104">
        <f t="shared" si="1035"/>
        <v>25.666666666666664</v>
      </c>
      <c r="CO120" s="101">
        <f t="shared" si="1036"/>
        <v>0.84000000000000008</v>
      </c>
      <c r="CP120" s="51">
        <f t="shared" si="1037"/>
        <v>0.62662760416666652</v>
      </c>
      <c r="CQ120" s="116">
        <f t="shared" si="1038"/>
        <v>1.2263245095228583</v>
      </c>
      <c r="CR120" s="51">
        <f t="shared" si="1039"/>
        <v>0.95079413975111826</v>
      </c>
      <c r="CS120" s="204"/>
      <c r="CT120" s="204">
        <f t="shared" si="1040"/>
        <v>102.49999999999999</v>
      </c>
      <c r="CU120" s="107">
        <f t="shared" si="1041"/>
        <v>1.0273333241347986</v>
      </c>
      <c r="CV120" s="62">
        <f t="shared" si="523"/>
        <v>3.2927326537139421</v>
      </c>
      <c r="CW120" s="62">
        <f t="shared" si="998"/>
        <v>1.7709781580707415</v>
      </c>
      <c r="CX120" s="62">
        <f t="shared" si="524"/>
        <v>1.5905414575341013</v>
      </c>
      <c r="CY120" s="107">
        <f t="shared" si="999"/>
        <v>1.0112644917669966</v>
      </c>
      <c r="CZ120" s="168" t="str">
        <f t="shared" si="1000"/>
        <v>-</v>
      </c>
      <c r="DA120" s="158"/>
      <c r="DB120" s="168" t="str">
        <f t="shared" si="1001"/>
        <v>-</v>
      </c>
      <c r="DC120" s="160"/>
      <c r="DD120" s="190" t="s">
        <v>134</v>
      </c>
      <c r="DE120" s="62">
        <v>0.69</v>
      </c>
      <c r="DF120" s="62">
        <v>0.75</v>
      </c>
      <c r="DG120" s="62">
        <v>0.78</v>
      </c>
      <c r="DH120" s="62">
        <v>0.8</v>
      </c>
      <c r="DI120" s="62">
        <f t="shared" si="542"/>
        <v>1.8381378657961083</v>
      </c>
      <c r="DJ120" s="47">
        <f t="shared" si="543"/>
        <v>9.8958333333333321</v>
      </c>
      <c r="DK120" s="48">
        <f t="shared" si="1002"/>
        <v>0</v>
      </c>
      <c r="DM120" s="107">
        <f t="shared" si="950"/>
        <v>1.0194032572638567</v>
      </c>
      <c r="DN120" s="141" t="str">
        <f t="shared" si="1003"/>
        <v>-</v>
      </c>
      <c r="DO120" s="107">
        <f t="shared" si="1004"/>
        <v>5.1686763468195442</v>
      </c>
      <c r="DP120" s="133">
        <f t="shared" si="1042"/>
        <v>3.3346544375620883</v>
      </c>
      <c r="DQ120" s="133">
        <f t="shared" si="1043"/>
        <v>0</v>
      </c>
      <c r="DR120" s="133">
        <f t="shared" si="1044"/>
        <v>0</v>
      </c>
      <c r="DS120" s="133">
        <f t="shared" si="1045"/>
        <v>1.8340219092574557</v>
      </c>
      <c r="DT120" s="107">
        <f t="shared" si="1046"/>
        <v>1.5905414575341013</v>
      </c>
      <c r="DU120" s="133">
        <f t="shared" si="1047"/>
        <v>1.7914964302111964</v>
      </c>
      <c r="DW120" s="107">
        <f t="shared" si="512"/>
        <v>1.0591065197265963</v>
      </c>
      <c r="DX120" s="107">
        <f t="shared" si="544"/>
        <v>0.98142469685671163</v>
      </c>
      <c r="DZ120" s="107">
        <f t="shared" si="545"/>
        <v>1.0077233932931822</v>
      </c>
      <c r="EA120" s="122" t="str">
        <f t="shared" si="1005"/>
        <v>-</v>
      </c>
      <c r="EB120" s="107">
        <f t="shared" si="1006"/>
        <v>1.0415804641931978</v>
      </c>
      <c r="EC120" s="122" t="str">
        <f t="shared" si="1007"/>
        <v>-</v>
      </c>
      <c r="ED120" s="107">
        <f t="shared" si="1048"/>
        <v>3.3345550744995087</v>
      </c>
      <c r="EE120" s="107">
        <f t="shared" si="1049"/>
        <v>1.8565206547056485</v>
      </c>
      <c r="EF120" s="107">
        <f t="shared" si="1050"/>
        <v>1.5825742730785703</v>
      </c>
      <c r="EH120" s="107">
        <f t="shared" si="1008"/>
        <v>1.0488980709371287</v>
      </c>
      <c r="EJ120" s="107">
        <f t="shared" si="1051"/>
        <v>3.3345550744995087</v>
      </c>
      <c r="EK120" s="107">
        <f t="shared" si="1052"/>
        <v>1.856624045251289</v>
      </c>
      <c r="EL120" s="107">
        <f t="shared" si="1053"/>
        <v>1.8441329174043459</v>
      </c>
      <c r="EM120" s="107">
        <f t="shared" si="1009"/>
        <v>1.0316629001872961</v>
      </c>
      <c r="EO120" s="107">
        <f t="shared" si="1054"/>
        <v>5.2771810730665178</v>
      </c>
      <c r="EP120" s="107">
        <f t="shared" si="1055"/>
        <v>3.3345550744995087</v>
      </c>
      <c r="EQ120" s="107">
        <f t="shared" si="1056"/>
        <v>1.5825742730785703</v>
      </c>
      <c r="ER120" s="107">
        <f t="shared" si="1057"/>
        <v>1.5905414575341013</v>
      </c>
      <c r="ES120" s="107">
        <f t="shared" si="951"/>
        <v>1.034427032833219</v>
      </c>
      <c r="EU120" s="107">
        <f t="shared" si="1058"/>
        <v>1.8362511964583703</v>
      </c>
      <c r="EV120" s="107">
        <f t="shared" si="1059"/>
        <v>3.3345550744995087</v>
      </c>
      <c r="EW120" s="107">
        <f t="shared" si="1060"/>
        <v>1.0111749187411099</v>
      </c>
      <c r="EX120" s="107">
        <f t="shared" si="1061"/>
        <v>1.6088616538127065</v>
      </c>
      <c r="EY120" s="107">
        <f t="shared" si="952"/>
        <v>0.99339388585991106</v>
      </c>
      <c r="FA120" s="107">
        <f t="shared" si="941"/>
        <v>1.8362785545585196</v>
      </c>
      <c r="FB120" s="107">
        <f t="shared" si="1062"/>
        <v>3.3346544375620883</v>
      </c>
      <c r="FC120" s="107">
        <f t="shared" si="1063"/>
        <v>1.0111749187411099</v>
      </c>
      <c r="FD120" s="107">
        <f t="shared" si="1064"/>
        <v>1.6088616538127065</v>
      </c>
      <c r="FE120" s="107">
        <f t="shared" si="953"/>
        <v>1.0277870392651869</v>
      </c>
      <c r="FF120" s="141" t="str">
        <f t="shared" si="1010"/>
        <v>-</v>
      </c>
      <c r="FG120" s="107">
        <f t="shared" si="942"/>
        <v>3.409599849975121</v>
      </c>
      <c r="FH120" s="133">
        <f t="shared" si="1065"/>
        <v>3.3346544375620883</v>
      </c>
      <c r="FI120" s="133">
        <f t="shared" si="1066"/>
        <v>1.0224747162910901</v>
      </c>
      <c r="FJ120" s="107">
        <f t="shared" si="1067"/>
        <v>0.90472939445297396</v>
      </c>
      <c r="FK120" s="107">
        <f t="shared" si="954"/>
        <v>1.0209818813347811</v>
      </c>
      <c r="FL120" s="141" t="str">
        <f t="shared" si="1011"/>
        <v>-</v>
      </c>
      <c r="FM120" s="107">
        <f t="shared" si="943"/>
        <v>5.3941880197097882</v>
      </c>
      <c r="FN120" s="133">
        <f t="shared" si="1068"/>
        <v>3.3346544375620883</v>
      </c>
      <c r="FO120" s="133">
        <f t="shared" si="1069"/>
        <v>0.72551167289024365</v>
      </c>
      <c r="FP120" s="133">
        <f t="shared" si="1070"/>
        <v>1.8340219092574557</v>
      </c>
      <c r="FQ120" s="107">
        <f t="shared" si="1071"/>
        <v>1.5905414575341013</v>
      </c>
      <c r="FR120" s="107">
        <f t="shared" si="955"/>
        <v>1.0297373360813233</v>
      </c>
      <c r="FS120" s="141" t="str">
        <f t="shared" si="1012"/>
        <v>-</v>
      </c>
      <c r="FT120" s="107">
        <f t="shared" si="944"/>
        <v>6.1158292982914686</v>
      </c>
      <c r="FU120" s="133">
        <f t="shared" si="1072"/>
        <v>3.3346544375620883</v>
      </c>
      <c r="FV120" s="133">
        <f t="shared" si="1073"/>
        <v>1.8340219092574557</v>
      </c>
      <c r="FW120" s="107">
        <f t="shared" si="1074"/>
        <v>1.5905414575341013</v>
      </c>
      <c r="FY120">
        <v>0.95</v>
      </c>
      <c r="FZ120" s="62">
        <f t="shared" si="711"/>
        <v>0.98363985610313753</v>
      </c>
      <c r="GA120" s="62">
        <f t="shared" si="712"/>
        <v>1.7914964302111964</v>
      </c>
      <c r="GB120" s="107">
        <f t="shared" si="525"/>
        <v>1.5703087697587921</v>
      </c>
      <c r="GC120" s="440"/>
      <c r="GD120" s="17"/>
      <c r="GE120" s="442"/>
      <c r="GF120" s="462"/>
      <c r="GG120" s="17"/>
      <c r="GH120" s="17"/>
      <c r="GI120" s="17"/>
      <c r="GJ120" s="17"/>
      <c r="GL120" s="17"/>
      <c r="GM120" s="442"/>
      <c r="GN120" s="8"/>
      <c r="GO120" s="8"/>
      <c r="GP120" s="8"/>
      <c r="GQ120" s="8"/>
      <c r="GS120" s="17"/>
      <c r="GT120" s="17"/>
      <c r="GU120" s="17"/>
      <c r="GV120" s="629"/>
      <c r="GW120" s="17"/>
      <c r="GX120" s="17"/>
      <c r="GY120" s="17"/>
      <c r="GZ120" s="17"/>
    </row>
    <row r="121" spans="1:208" ht="15.6" x14ac:dyDescent="0.3">
      <c r="A121" s="60" t="s">
        <v>36</v>
      </c>
      <c r="B121" s="218"/>
      <c r="C121" s="14" t="str">
        <f>C117</f>
        <v>Gaffel</v>
      </c>
      <c r="G121" s="54"/>
      <c r="H121" s="204">
        <f t="shared" si="1013"/>
        <v>98</v>
      </c>
      <c r="I121" s="63">
        <f t="shared" si="1014"/>
        <v>2</v>
      </c>
      <c r="J121" s="222">
        <f t="shared" si="1015"/>
        <v>22.306666666666665</v>
      </c>
      <c r="K121" s="116">
        <f t="shared" si="1016"/>
        <v>1.0657874828216842</v>
      </c>
      <c r="L121" s="116">
        <f t="shared" si="1017"/>
        <v>0.82632654327460819</v>
      </c>
      <c r="M121" s="92">
        <f t="shared" si="1018"/>
        <v>0.83531380753138074</v>
      </c>
      <c r="N121" s="242">
        <f t="shared" si="1019"/>
        <v>1.0112644917669966</v>
      </c>
      <c r="O121" s="143"/>
      <c r="P121" s="143"/>
      <c r="Q121" s="143"/>
      <c r="R121" s="143"/>
      <c r="S121" s="143"/>
      <c r="T121" s="143"/>
      <c r="U121" s="165">
        <v>7</v>
      </c>
      <c r="V121" s="559"/>
      <c r="W121" s="559"/>
      <c r="X121" s="143"/>
      <c r="Y121" s="143"/>
      <c r="Z121" s="180">
        <f>Z114</f>
        <v>15.306666666666667</v>
      </c>
      <c r="AA121" s="143"/>
      <c r="AB121" s="143"/>
      <c r="AC121" s="143"/>
      <c r="AD121" s="143"/>
      <c r="AE121" s="143"/>
      <c r="AF121" s="143"/>
      <c r="AG121" s="551"/>
      <c r="AH121" s="557"/>
      <c r="AI121" s="557">
        <f t="shared" ref="AI121" si="1105">AI120</f>
        <v>7</v>
      </c>
      <c r="AJ121" s="337">
        <f t="shared" si="1021"/>
        <v>0</v>
      </c>
      <c r="AK121" s="339"/>
      <c r="AL121" s="337">
        <f t="shared" si="1021"/>
        <v>0</v>
      </c>
      <c r="AM121" s="339"/>
      <c r="AN121" s="267" t="str">
        <f t="shared" ref="AN121" si="1106" xml:space="preserve"> AN120</f>
        <v>Los</v>
      </c>
      <c r="AO121" s="45">
        <f>VLOOKUP(AN121,Skrogform!$1:$1048576,3,FALSE)</f>
        <v>0.97</v>
      </c>
      <c r="AP121" s="64">
        <f t="shared" ref="AP121:AZ121" si="1107">AP120</f>
        <v>7.4</v>
      </c>
      <c r="AQ121" s="64">
        <f t="shared" si="1107"/>
        <v>6.4</v>
      </c>
      <c r="AR121" s="64">
        <f t="shared" si="1107"/>
        <v>2.2000000000000002</v>
      </c>
      <c r="AS121" s="64">
        <f t="shared" si="1107"/>
        <v>0.95</v>
      </c>
      <c r="AT121" s="64">
        <f t="shared" ref="AT121" si="1108">AT120</f>
        <v>2.5</v>
      </c>
      <c r="AU121" s="64">
        <f t="shared" si="1107"/>
        <v>2.7</v>
      </c>
      <c r="AV121" s="64">
        <f t="shared" si="1107"/>
        <v>1</v>
      </c>
      <c r="AW121" s="64">
        <f t="shared" si="1107"/>
        <v>0.3</v>
      </c>
      <c r="AX121" s="256">
        <f t="shared" si="1025"/>
        <v>0</v>
      </c>
      <c r="AY121" s="256">
        <f t="shared" si="1107"/>
        <v>0</v>
      </c>
      <c r="AZ121" s="256">
        <f t="shared" si="1107"/>
        <v>0</v>
      </c>
      <c r="BA121" s="256">
        <f t="shared" ref="BA121:BB121" si="1109">BA120</f>
        <v>0</v>
      </c>
      <c r="BB121" s="256">
        <f t="shared" si="1109"/>
        <v>0</v>
      </c>
      <c r="BC121" s="256"/>
      <c r="BD121" s="66"/>
      <c r="BE121" s="66"/>
      <c r="BF121" s="261"/>
      <c r="BG121" s="66"/>
      <c r="BH121" s="175"/>
      <c r="BI121" s="66"/>
      <c r="BJ121" s="66"/>
      <c r="BK121" s="65">
        <f t="shared" ref="BK121:BM121" si="1110" xml:space="preserve"> BK120</f>
        <v>0</v>
      </c>
      <c r="BL121" s="267">
        <f t="shared" si="1110"/>
        <v>0</v>
      </c>
      <c r="BM121" s="267">
        <f t="shared" si="1110"/>
        <v>0</v>
      </c>
      <c r="BN121" s="45">
        <f t="shared" si="997"/>
        <v>1</v>
      </c>
      <c r="BO121" s="59"/>
      <c r="BP121" s="59"/>
      <c r="BR121" s="49">
        <f t="shared" si="1028"/>
        <v>0</v>
      </c>
      <c r="BS121" s="49">
        <f t="shared" si="1028"/>
        <v>0</v>
      </c>
      <c r="BT121" s="49">
        <f t="shared" si="1028"/>
        <v>0</v>
      </c>
      <c r="BU121" s="49">
        <f t="shared" si="1028"/>
        <v>0</v>
      </c>
      <c r="BV121" s="49">
        <f t="shared" si="1028"/>
        <v>0</v>
      </c>
      <c r="BW121" s="49">
        <f t="shared" si="1028"/>
        <v>0</v>
      </c>
      <c r="BX121" s="49">
        <f t="shared" si="1028"/>
        <v>7</v>
      </c>
      <c r="BY121" s="549">
        <f t="shared" si="1029"/>
        <v>0</v>
      </c>
      <c r="BZ121" s="85">
        <f t="shared" si="1030"/>
        <v>0</v>
      </c>
      <c r="CA121" s="85">
        <f t="shared" si="1030"/>
        <v>0</v>
      </c>
      <c r="CB121" s="85">
        <f t="shared" si="1030"/>
        <v>0</v>
      </c>
      <c r="CC121" s="85">
        <f t="shared" si="1030"/>
        <v>0</v>
      </c>
      <c r="CD121" s="85">
        <f t="shared" si="1030"/>
        <v>11.633066666666666</v>
      </c>
      <c r="CE121" s="85">
        <f t="shared" si="1031"/>
        <v>0</v>
      </c>
      <c r="CF121" s="85">
        <f t="shared" si="1032"/>
        <v>0</v>
      </c>
      <c r="CG121" s="85">
        <f t="shared" si="1032"/>
        <v>0</v>
      </c>
      <c r="CH121" s="85">
        <f t="shared" si="1033"/>
        <v>0</v>
      </c>
      <c r="CI121" s="85">
        <f t="shared" si="1033"/>
        <v>0</v>
      </c>
      <c r="CJ121" s="85">
        <f t="shared" si="1033"/>
        <v>0</v>
      </c>
      <c r="CK121" s="85">
        <f t="shared" si="1033"/>
        <v>0</v>
      </c>
      <c r="CL121" s="100">
        <f t="shared" si="1034"/>
        <v>18.633066666666664</v>
      </c>
      <c r="CM121" s="50"/>
      <c r="CN121" s="104">
        <f t="shared" si="1035"/>
        <v>22.306666666666665</v>
      </c>
      <c r="CO121" s="101">
        <f t="shared" si="1036"/>
        <v>0.83531380753138074</v>
      </c>
      <c r="CP121" s="51">
        <f t="shared" si="1037"/>
        <v>0.54459635416666652</v>
      </c>
      <c r="CQ121" s="116">
        <f t="shared" si="1038"/>
        <v>1.0657874828216842</v>
      </c>
      <c r="CR121" s="51">
        <f t="shared" si="1039"/>
        <v>0.82632654327460819</v>
      </c>
      <c r="CS121" s="204"/>
      <c r="CT121" s="204">
        <f t="shared" si="1040"/>
        <v>98</v>
      </c>
      <c r="CU121" s="107">
        <f t="shared" si="1041"/>
        <v>0.98033468399088852</v>
      </c>
      <c r="CV121" s="62">
        <f t="shared" si="523"/>
        <v>3.0610770492037664</v>
      </c>
      <c r="CW121" s="62">
        <f t="shared" si="998"/>
        <v>1.7709781580707415</v>
      </c>
      <c r="CX121" s="62">
        <f t="shared" si="524"/>
        <v>1.5905414575341013</v>
      </c>
      <c r="CY121" s="107">
        <f t="shared" si="999"/>
        <v>1.0112644917669966</v>
      </c>
      <c r="CZ121" s="168" t="str">
        <f t="shared" si="1000"/>
        <v>-</v>
      </c>
      <c r="DA121" s="158"/>
      <c r="DB121" s="168" t="str">
        <f t="shared" si="1001"/>
        <v>-</v>
      </c>
      <c r="DC121" s="160"/>
      <c r="DD121" s="190" t="s">
        <v>134</v>
      </c>
      <c r="DE121" s="62">
        <v>0.65</v>
      </c>
      <c r="DF121" s="62">
        <v>0.73</v>
      </c>
      <c r="DG121" s="62">
        <v>0.74</v>
      </c>
      <c r="DH121" s="150">
        <v>0.76</v>
      </c>
      <c r="DI121" s="62">
        <f t="shared" si="542"/>
        <v>1.8381378657961083</v>
      </c>
      <c r="DJ121" s="47">
        <f t="shared" si="543"/>
        <v>9.8958333333333321</v>
      </c>
      <c r="DK121" s="48">
        <f t="shared" si="1002"/>
        <v>0</v>
      </c>
      <c r="DM121" s="107">
        <f t="shared" si="950"/>
        <v>0.97313279317559709</v>
      </c>
      <c r="DN121" s="141" t="str">
        <f t="shared" si="1003"/>
        <v>-</v>
      </c>
      <c r="DO121" s="107">
        <f t="shared" si="1004"/>
        <v>4.9340713937892167</v>
      </c>
      <c r="DP121" s="133">
        <f t="shared" si="1042"/>
        <v>3.1000494845317608</v>
      </c>
      <c r="DQ121" s="133">
        <f t="shared" si="1043"/>
        <v>0</v>
      </c>
      <c r="DR121" s="133">
        <f t="shared" si="1044"/>
        <v>0</v>
      </c>
      <c r="DS121" s="133">
        <f t="shared" si="1045"/>
        <v>1.8340219092574557</v>
      </c>
      <c r="DT121" s="107">
        <f t="shared" si="1046"/>
        <v>1.5905414575341013</v>
      </c>
      <c r="DU121" s="133">
        <f t="shared" si="1047"/>
        <v>1.7914964302111964</v>
      </c>
      <c r="DW121" s="107">
        <f t="shared" si="512"/>
        <v>1.0106543133926689</v>
      </c>
      <c r="DX121" s="107">
        <f t="shared" si="544"/>
        <v>0.92956269545182468</v>
      </c>
      <c r="DZ121" s="107">
        <f t="shared" si="545"/>
        <v>0.9659199908771009</v>
      </c>
      <c r="EA121" s="122" t="str">
        <f t="shared" si="1005"/>
        <v>-</v>
      </c>
      <c r="EB121" s="107">
        <f t="shared" si="1006"/>
        <v>0.98799252595108789</v>
      </c>
      <c r="EC121" s="122" t="str">
        <f t="shared" si="1007"/>
        <v>-</v>
      </c>
      <c r="ED121" s="107">
        <f t="shared" si="1048"/>
        <v>3.0999571120185969</v>
      </c>
      <c r="EE121" s="107">
        <f t="shared" si="1049"/>
        <v>1.8565206547056485</v>
      </c>
      <c r="EF121" s="107">
        <f t="shared" si="1050"/>
        <v>1.5825742730785703</v>
      </c>
      <c r="EH121" s="107">
        <f t="shared" si="1008"/>
        <v>1.0005255195006855</v>
      </c>
      <c r="EJ121" s="107">
        <f t="shared" si="1051"/>
        <v>3.0999571120185969</v>
      </c>
      <c r="EK121" s="107">
        <f t="shared" si="1052"/>
        <v>1.856624045251289</v>
      </c>
      <c r="EL121" s="107">
        <f t="shared" si="1053"/>
        <v>1.8441329174043459</v>
      </c>
      <c r="EM121" s="107">
        <f t="shared" si="1009"/>
        <v>0.9790293131043275</v>
      </c>
      <c r="EO121" s="107">
        <f t="shared" si="1054"/>
        <v>4.9059123731275749</v>
      </c>
      <c r="EP121" s="107">
        <f t="shared" si="1055"/>
        <v>3.0999571120185969</v>
      </c>
      <c r="EQ121" s="107">
        <f t="shared" si="1056"/>
        <v>1.5825742730785703</v>
      </c>
      <c r="ER121" s="107">
        <f t="shared" si="1057"/>
        <v>1.5905414575341013</v>
      </c>
      <c r="ES121" s="107">
        <f t="shared" si="951"/>
        <v>0.98351170769019369</v>
      </c>
      <c r="EU121" s="107">
        <f t="shared" si="1058"/>
        <v>1.7704798448009316</v>
      </c>
      <c r="EV121" s="107">
        <f t="shared" si="1059"/>
        <v>3.0999571120185969</v>
      </c>
      <c r="EW121" s="107">
        <f t="shared" si="1060"/>
        <v>1.0111749187411099</v>
      </c>
      <c r="EX121" s="107">
        <f t="shared" si="1061"/>
        <v>1.6088616538127065</v>
      </c>
      <c r="EY121" s="107">
        <f t="shared" si="952"/>
        <v>0.95781222975139002</v>
      </c>
      <c r="FA121" s="107">
        <f t="shared" si="941"/>
        <v>1.7705062229811062</v>
      </c>
      <c r="FB121" s="107">
        <f t="shared" si="1062"/>
        <v>3.1000494845317608</v>
      </c>
      <c r="FC121" s="107">
        <f t="shared" si="1063"/>
        <v>1.0111749187411099</v>
      </c>
      <c r="FD121" s="107">
        <f t="shared" si="1064"/>
        <v>1.6088616538127065</v>
      </c>
      <c r="FE121" s="107">
        <f t="shared" si="953"/>
        <v>0.98221192671920399</v>
      </c>
      <c r="FF121" s="141" t="str">
        <f t="shared" si="1010"/>
        <v>-</v>
      </c>
      <c r="FG121" s="107">
        <f t="shared" si="942"/>
        <v>3.1697222171849524</v>
      </c>
      <c r="FH121" s="133">
        <f t="shared" si="1065"/>
        <v>3.1000494845317608</v>
      </c>
      <c r="FI121" s="133">
        <f t="shared" si="1066"/>
        <v>1.0224747162910901</v>
      </c>
      <c r="FJ121" s="107">
        <f t="shared" si="1067"/>
        <v>0.90472939445297396</v>
      </c>
      <c r="FK121" s="107">
        <f t="shared" si="954"/>
        <v>0.96691614801452064</v>
      </c>
      <c r="FL121" s="141" t="str">
        <f t="shared" si="1011"/>
        <v>-</v>
      </c>
      <c r="FM121" s="107">
        <f t="shared" si="943"/>
        <v>5.1085407067803015</v>
      </c>
      <c r="FN121" s="133">
        <f t="shared" si="1068"/>
        <v>3.1000494845317608</v>
      </c>
      <c r="FO121" s="133">
        <f t="shared" si="1069"/>
        <v>0.67446931299108526</v>
      </c>
      <c r="FP121" s="133">
        <f t="shared" si="1070"/>
        <v>1.8340219092574557</v>
      </c>
      <c r="FQ121" s="107">
        <f t="shared" si="1071"/>
        <v>1.5905414575341013</v>
      </c>
      <c r="FR121" s="107">
        <f t="shared" si="955"/>
        <v>0.98593808710616049</v>
      </c>
      <c r="FS121" s="141" t="str">
        <f t="shared" si="1012"/>
        <v>-</v>
      </c>
      <c r="FT121" s="107">
        <f t="shared" si="944"/>
        <v>5.6855586744135316</v>
      </c>
      <c r="FU121" s="133">
        <f t="shared" si="1072"/>
        <v>3.1000494845317608</v>
      </c>
      <c r="FV121" s="133">
        <f t="shared" si="1073"/>
        <v>1.8340219092574557</v>
      </c>
      <c r="FW121" s="107">
        <f t="shared" si="1074"/>
        <v>1.5905414575341013</v>
      </c>
      <c r="FY121">
        <v>0.95</v>
      </c>
      <c r="FZ121" s="62">
        <f t="shared" si="711"/>
        <v>0.950485104082893</v>
      </c>
      <c r="GA121" s="62">
        <f t="shared" si="712"/>
        <v>1.7914964302111964</v>
      </c>
      <c r="GB121" s="107">
        <f t="shared" si="525"/>
        <v>1.5325841143544603</v>
      </c>
      <c r="GC121" s="440"/>
      <c r="GD121" s="17"/>
      <c r="GE121" s="442"/>
      <c r="GF121" s="462"/>
      <c r="GG121" s="17"/>
      <c r="GH121" s="17"/>
      <c r="GI121" s="17"/>
      <c r="GJ121" s="17"/>
      <c r="GL121" s="17"/>
      <c r="GM121" s="442"/>
      <c r="GN121" s="8"/>
      <c r="GO121" s="8"/>
      <c r="GP121" s="8"/>
      <c r="GQ121" s="8"/>
      <c r="GS121" s="17"/>
      <c r="GT121" s="17"/>
      <c r="GU121" s="17"/>
      <c r="GV121" s="629"/>
      <c r="GW121" s="17"/>
      <c r="GX121" s="17"/>
      <c r="GY121" s="17"/>
      <c r="GZ121" s="17"/>
    </row>
    <row r="122" spans="1:208" ht="15.6" customHeight="1" x14ac:dyDescent="0.3">
      <c r="A122" s="52" t="s">
        <v>542</v>
      </c>
      <c r="B122" s="218">
        <f t="shared" ref="B122" si="1111">Loa/0.3048</f>
        <v>28.871391076115486</v>
      </c>
      <c r="C122" s="53" t="s">
        <v>19</v>
      </c>
      <c r="D122" s="53"/>
      <c r="E122" s="53"/>
      <c r="F122" s="53"/>
      <c r="G122" s="54" t="s">
        <v>20</v>
      </c>
      <c r="H122" s="112">
        <f>J123</f>
        <v>57.4</v>
      </c>
      <c r="I122" s="601">
        <f>H123/100</f>
        <v>1.05</v>
      </c>
      <c r="J122" s="651">
        <f>IF(DC123=0,"-",DC123)</f>
        <v>1.0900000000000001</v>
      </c>
      <c r="K122" s="123" t="str">
        <f>A122</f>
        <v>Ørnen</v>
      </c>
      <c r="L122" s="116"/>
      <c r="M122" s="116"/>
      <c r="N122" s="92"/>
      <c r="O122" s="165"/>
      <c r="P122" s="165"/>
      <c r="Q122" s="165"/>
      <c r="R122" s="165">
        <v>10.9</v>
      </c>
      <c r="S122" s="165"/>
      <c r="T122" s="165"/>
      <c r="U122" s="165">
        <v>9.1999999999999993</v>
      </c>
      <c r="V122" s="559"/>
      <c r="W122" s="559"/>
      <c r="X122" s="165">
        <v>29.9</v>
      </c>
      <c r="Y122" s="165">
        <v>24</v>
      </c>
      <c r="Z122" s="177">
        <f>StorS-StorS/6*1.9</f>
        <v>20.431666666666665</v>
      </c>
      <c r="AA122" s="165">
        <v>7.4</v>
      </c>
      <c r="AB122" s="165"/>
      <c r="AC122" s="165"/>
      <c r="AD122" s="165"/>
      <c r="AE122" s="165"/>
      <c r="AF122" s="165"/>
      <c r="AG122" s="552"/>
      <c r="AH122" s="244"/>
      <c r="AI122" s="244">
        <v>8.5500000000000007</v>
      </c>
      <c r="AJ122" s="554"/>
      <c r="AK122" s="339"/>
      <c r="AL122" s="268"/>
      <c r="AM122" s="339"/>
      <c r="AN122" s="268" t="s">
        <v>203</v>
      </c>
      <c r="AO122" s="45">
        <f>VLOOKUP(AN122,Skrogform!$1:$1048576,3,FALSE)</f>
        <v>0.97</v>
      </c>
      <c r="AP122" s="55">
        <v>8.8000000000000007</v>
      </c>
      <c r="AQ122" s="55">
        <v>7.7</v>
      </c>
      <c r="AR122" s="55">
        <v>3.15</v>
      </c>
      <c r="AS122" s="55">
        <v>1.4</v>
      </c>
      <c r="AT122" s="637">
        <v>6</v>
      </c>
      <c r="AU122" s="55">
        <v>7</v>
      </c>
      <c r="AV122" s="55">
        <v>2.5</v>
      </c>
      <c r="AW122" s="55"/>
      <c r="AX122" s="253"/>
      <c r="AY122" s="253">
        <v>40</v>
      </c>
      <c r="AZ122" s="253">
        <v>270</v>
      </c>
      <c r="BA122" s="253"/>
      <c r="BB122" s="253"/>
      <c r="BC122" s="244">
        <f>Depl+Diesel/1000*0.84+Vann/1000</f>
        <v>7</v>
      </c>
      <c r="BD122" s="95">
        <f>Bredde/(Loa+Lwl)*2</f>
        <v>0.38181818181818183</v>
      </c>
      <c r="BE122" s="95">
        <f>(Kjøl+Ballast)/Depl</f>
        <v>0.35714285714285715</v>
      </c>
      <c r="BF122" s="260">
        <f>BF$7*((Depl-Kjøl-Ballast-VektMotor/1000-VektAnnet/1000)/Lwl/Lwl/Bredde)</f>
        <v>0.85472810973812841</v>
      </c>
      <c r="BG122" s="95">
        <f>BG$7*(Depl/Loa/Lwl/Lwl)</f>
        <v>0.98729776215520004</v>
      </c>
      <c r="BH122" s="174">
        <f>BH$7*(Depl/Loa/Lwl/Bredde)</f>
        <v>0.89207349468713104</v>
      </c>
      <c r="BI122" s="95">
        <f>BI$7*Bredde/(Loa+Lwl)*2</f>
        <v>1.0892082111436949</v>
      </c>
      <c r="BJ122" s="95">
        <f>BJ$7*(Dypg/Lwl)</f>
        <v>0.99446640316205526</v>
      </c>
      <c r="BK122" s="56" t="s">
        <v>39</v>
      </c>
      <c r="BL122" s="268">
        <v>3</v>
      </c>
      <c r="BM122" s="268">
        <v>40</v>
      </c>
      <c r="BN122" s="45">
        <f t="shared" si="991"/>
        <v>0.98301432378494424</v>
      </c>
      <c r="BO122" s="59"/>
      <c r="BP122" s="59"/>
      <c r="BR122" s="209"/>
      <c r="BS122" s="209"/>
      <c r="BT122" s="209" t="str">
        <f>$A122</f>
        <v>Ørnen</v>
      </c>
      <c r="BU122" s="10"/>
      <c r="BV122" s="10"/>
      <c r="BW122" s="10"/>
      <c r="BX122" s="10"/>
      <c r="BY122" s="549"/>
      <c r="BZ122" s="10"/>
      <c r="CA122" s="10"/>
      <c r="CB122" s="209" t="str">
        <f>$A122</f>
        <v>Ørnen</v>
      </c>
      <c r="CC122" s="10"/>
      <c r="CD122" s="10"/>
      <c r="CE122" s="10"/>
      <c r="CF122" s="10"/>
      <c r="CG122" s="10"/>
      <c r="CH122" s="10"/>
      <c r="CI122" s="10"/>
      <c r="CJ122" s="10"/>
      <c r="CK122" s="10"/>
      <c r="CL122" s="209"/>
      <c r="CM122" s="10"/>
      <c r="CN122" s="209" t="str">
        <f>$A122</f>
        <v>Ørnen</v>
      </c>
      <c r="CO122" s="207"/>
      <c r="CP122" s="207"/>
      <c r="CQ122" s="116"/>
      <c r="CR122" s="207"/>
      <c r="CS122" s="203"/>
      <c r="CT122" s="203" t="s">
        <v>23</v>
      </c>
      <c r="CU122" s="107" t="str">
        <f t="shared" si="36"/>
        <v>-</v>
      </c>
      <c r="CV122" s="62" t="str">
        <f t="shared" si="789"/>
        <v>-</v>
      </c>
      <c r="CW122" s="62" t="str">
        <f t="shared" si="14"/>
        <v>-</v>
      </c>
      <c r="CX122" s="62" t="str">
        <f t="shared" si="790"/>
        <v>-</v>
      </c>
      <c r="CY122" s="107" t="str">
        <f t="shared" si="16"/>
        <v>-</v>
      </c>
      <c r="CZ122" s="168">
        <f t="shared" ref="CZ122:CZ131" si="1112">IF(DA122=0,"-",IF(CP122="TBF","-",CZ$7*DA122))</f>
        <v>1.0225882352941176</v>
      </c>
      <c r="DA122" s="158">
        <v>0.82</v>
      </c>
      <c r="DB122" s="168" t="str">
        <f t="shared" ref="DB122:DB131" si="1113">IF(DC122=0,"-",IF(CT122="TBF","-",DB$7*DC122))</f>
        <v>-</v>
      </c>
      <c r="DC122" s="160">
        <v>1.0900000000000001</v>
      </c>
      <c r="DD122" s="190" t="s">
        <v>134</v>
      </c>
      <c r="DE122" s="29" t="s">
        <v>23</v>
      </c>
      <c r="DF122" s="29" t="s">
        <v>23</v>
      </c>
      <c r="DG122" s="29" t="s">
        <v>23</v>
      </c>
      <c r="DH122" s="149">
        <v>2022</v>
      </c>
      <c r="DI122" s="62" t="str">
        <f t="shared" si="695"/>
        <v>-</v>
      </c>
      <c r="DJ122" s="47">
        <f t="shared" si="696"/>
        <v>11.814345991561181</v>
      </c>
      <c r="DK122" s="48">
        <f t="shared" ref="DK122:DK131" si="1114">DJ$7*IF(DJ122&lt;DJ$5,-0.04,IF(DJ122&lt;DJ$5*1.1,-0.03,IF(DJ122&lt;DJ$5*1.2,-0.02,IF(DJ122&lt;DJ$5*1.3,-0.01,0))))</f>
        <v>0</v>
      </c>
      <c r="DM122" s="107" t="str">
        <f t="shared" si="950"/>
        <v>-</v>
      </c>
      <c r="DN122" s="141" t="str">
        <f t="shared" ref="DN122:DN131" si="1115">IF($DY122=0,"-",(DM122-$DW122)*100)</f>
        <v>-</v>
      </c>
      <c r="DO122" s="107">
        <f t="shared" ref="DO122:DO131" si="1116">SUM(DP122:DS122)^DO$3+DO$7</f>
        <v>6.0496911205021808</v>
      </c>
      <c r="DP122" s="133">
        <f>IF(SeilBeregnet=0,DP242,(SeilBeregnet^0.5/(Depl^0.3333))^DP$3*DP$7)</f>
        <v>4.191720508646184</v>
      </c>
      <c r="DQ122" s="133">
        <f>IF(SeilBeregnet=0,DQ242,(SeilBeregnet^0.5/Lwl)^DQ$3*DQ$7)</f>
        <v>0</v>
      </c>
      <c r="DR122" s="133">
        <f>IF(SeilBeregnet=0,DR242,(0.1*Loa/Depl^0.3333)^DR$3*DR$7)</f>
        <v>0</v>
      </c>
      <c r="DS122" s="133">
        <f>IF(SeilBeregnet=0,DS242,((Loa)/Bredde)^DS$3*DS$7)</f>
        <v>1.8579706118559971</v>
      </c>
      <c r="DT122" s="107">
        <f>IF(SeilBeregnet=0,DT242,(Lwl)^DT$3)</f>
        <v>1.8478837127354022</v>
      </c>
      <c r="DU122" s="133">
        <f>IF(SeilBeregnet=0,DU242,(Dypg/Loa)^DU$3*5*DU$7)</f>
        <v>1.9416079083690583</v>
      </c>
      <c r="DW122" s="107" t="str">
        <f t="shared" si="512"/>
        <v>-</v>
      </c>
      <c r="DX122" s="107" t="str">
        <f t="shared" si="699"/>
        <v>-</v>
      </c>
      <c r="DZ122" s="107" t="str">
        <f t="shared" si="700"/>
        <v>-</v>
      </c>
      <c r="EA122" s="122" t="str">
        <f t="shared" ref="EA122:EA131" si="1117">IF($DY122=0,"-",DZ122-$DW122)</f>
        <v>-</v>
      </c>
      <c r="EB122" s="107" t="str">
        <f t="shared" ref="EB122:EB131" si="1118">IF(SeilBeregnet=0,"-",EB$7*(EB$4*ED122*EE122*EF122*PropF+EB$6)+ErfaringsF+Dyp_F)</f>
        <v>-</v>
      </c>
      <c r="EC122" s="122" t="str">
        <f t="shared" ref="EC122:EC131" si="1119">IF($DY122=0,"-",EB122-$DW122)</f>
        <v>-</v>
      </c>
      <c r="ED122" s="107">
        <f>IF(SeilBeregnet=0,ED242,SeilBeregnet^0.5/Depl^0.33333)</f>
        <v>4.1913613182942795</v>
      </c>
      <c r="EE122" s="107">
        <f>IF(SeilBeregnet=0,EE242,Lwl^0.3333)</f>
        <v>2.2674129716058933</v>
      </c>
      <c r="EF122" s="107">
        <f>IF(SeilBeregnet=0,EF242,((Loa+Lwl)/Bredde)^EF$3)</f>
        <v>1.6056448217209125</v>
      </c>
      <c r="EH122" s="107" t="str">
        <f t="shared" ref="EH122:EH131" si="1120">IF(SeilBeregnet=0,"-",EH$7*(EH$4*EJ122*EK122*EL122*PropF+EH$6)+ErfaringsF+Dyp_F)</f>
        <v>-</v>
      </c>
      <c r="EJ122" s="107">
        <f>IF(SeilBeregnet=0,EJ242,SeilBeregnet^0.5/Depl^0.33333)</f>
        <v>4.1913613182942795</v>
      </c>
      <c r="EK122" s="107">
        <f>IF(SeilBeregnet=0,EK242,Lwl^EK$3)</f>
        <v>2.2675800519171947</v>
      </c>
      <c r="EL122" s="107">
        <f>IF(SeilBeregnet=0,EL242,((Loa+Lwl)/Bredde)^EL$3)</f>
        <v>1.8800607846552968</v>
      </c>
      <c r="EM122" s="107" t="str">
        <f t="shared" ref="EM122:EM131" si="1121">IF(SeilBeregnet=0,"-",EM$7*(EM$4*EO122+EM$6)*ER122*PropF+ErfaringsF+Dyp_F)</f>
        <v>-</v>
      </c>
      <c r="EO122" s="107">
        <f>IF(SeilBeregnet=0,EO242,(EP122*EQ122)^EO$3)</f>
        <v>6.7298375966805475</v>
      </c>
      <c r="EP122" s="107">
        <f>IF(SeilBeregnet=0,EP242,SeilBeregnet^0.5/Depl^0.33333)</f>
        <v>4.1913613182942795</v>
      </c>
      <c r="EQ122" s="107">
        <f>IF(SeilBeregnet=0,EQ242,((Loa+Lwl)/Bredde)^EQ$3)</f>
        <v>1.6056448217209125</v>
      </c>
      <c r="ER122" s="107">
        <f>IF(SeilBeregnet=0,ER242,Lwl^ER$3)</f>
        <v>1.8478837127354022</v>
      </c>
      <c r="ES122" s="107" t="str">
        <f t="shared" si="951"/>
        <v>-</v>
      </c>
      <c r="EU122" s="107">
        <f>IF(SeilBeregnet=0,EU242,(EV:EV*EW:EW)^EU$3)</f>
        <v>2.0736401146525747</v>
      </c>
      <c r="EV122" s="107">
        <f>IF(SeilBeregnet=0,EV242,SeilBeregnet^0.5/Depl^0.33333)</f>
        <v>4.1913613182942795</v>
      </c>
      <c r="EW122" s="107">
        <f>IF(SeilBeregnet=0,EW242,((Loa+Lwl)/Bredde/6)^EW$3)</f>
        <v>1.0259156867073127</v>
      </c>
      <c r="EX122" s="107">
        <f>IF(SeilBeregnet=0,EX242,(Lwl*0.7+Loa*0.3)^EX$3)</f>
        <v>1.8589566686871406</v>
      </c>
      <c r="EY122" s="107" t="str">
        <f t="shared" si="952"/>
        <v>-</v>
      </c>
      <c r="FA122" s="107">
        <f t="shared" si="941"/>
        <v>2.0737289659241576</v>
      </c>
      <c r="FB122" s="107">
        <f>IF(SeilBeregnet=0,FB242,SeilBeregnet^0.5/Depl^0.3333)</f>
        <v>4.191720508646184</v>
      </c>
      <c r="FC122" s="107">
        <f>IF(SeilBeregnet=0,FC242,((Loa+Lwl)/Bredde/6)^FC$3)</f>
        <v>1.0259156867073127</v>
      </c>
      <c r="FD122" s="107">
        <f>IF(SeilBeregnet=0,FD242,(Lwl*0.7+Loa*0.3)^FD$3)</f>
        <v>1.8589566686871406</v>
      </c>
      <c r="FE122" s="107" t="str">
        <f t="shared" si="953"/>
        <v>-</v>
      </c>
      <c r="FF122" s="141" t="str">
        <f t="shared" ref="FF122:FF131" si="1122">IF($DY122=0,"-",(FE122-$DW122)*100)</f>
        <v>-</v>
      </c>
      <c r="FG122" s="107">
        <f t="shared" si="942"/>
        <v>4.4117983947178052</v>
      </c>
      <c r="FH122" s="133">
        <f>IF(SeilBeregnet=0,FH242,(SeilBeregnet^0.5/(Depl^0.3333))^FH$3)</f>
        <v>4.191720508646184</v>
      </c>
      <c r="FI122" s="133">
        <f>IF(SeilBeregnet=0,FI242,((Loa+Lwl)/Bredde/6)^FI$3)</f>
        <v>1.0525029962321368</v>
      </c>
      <c r="FJ122" s="107">
        <f>IF(SeilBeregnet=0,FJ242,(Lwl*0.07+Loa*0.03)^FJ$3)</f>
        <v>1.0453681565409634</v>
      </c>
      <c r="FK122" s="107" t="str">
        <f t="shared" si="954"/>
        <v>-</v>
      </c>
      <c r="FL122" s="141" t="str">
        <f t="shared" ref="FL122:FL131" si="1123">IF($DY122=0,"-",(FK122-$DW122)*100)</f>
        <v>-</v>
      </c>
      <c r="FM122" s="107">
        <f t="shared" si="943"/>
        <v>6.4811610335303431</v>
      </c>
      <c r="FN122" s="133">
        <f>IF(SeilBeregnet=0,FN242,(SeilBeregnet^0.5/(Depl^0.3333))^FN$3)</f>
        <v>4.191720508646184</v>
      </c>
      <c r="FO122" s="133">
        <f>IF(SeilBeregnet=0,FO242,(SeilBeregnet^0.5/Lwl*FO$7)^FO$3)</f>
        <v>0.93146991302816218</v>
      </c>
      <c r="FP122" s="133">
        <f>IF(SeilBeregnet=0,FP242,((Loa)/Bredde)^FP$3*FP$7)</f>
        <v>1.8579706118559971</v>
      </c>
      <c r="FQ122" s="107">
        <f>IF(SeilBeregnet=0,FQ242,(Lwl)^FQ$3)</f>
        <v>1.8478837127354022</v>
      </c>
      <c r="FR122" s="107" t="str">
        <f t="shared" si="955"/>
        <v>-</v>
      </c>
      <c r="FS122" s="141" t="str">
        <f t="shared" ref="FS122:FS131" si="1124">IF($DY122=0,"-",(FR122-$DW122)*100)</f>
        <v>-</v>
      </c>
      <c r="FT122" s="107">
        <f t="shared" si="944"/>
        <v>7.7880935181786821</v>
      </c>
      <c r="FU122" s="133">
        <f>IF(SeilBeregnet=0,FU242,(SeilBeregnet^0.5/(Depl^0.3333))^FU$3)</f>
        <v>4.191720508646184</v>
      </c>
      <c r="FV122" s="133">
        <f>IF(SeilBeregnet=0,FV242,(Loa/Bredde)^FV$3)</f>
        <v>1.8579706118559971</v>
      </c>
      <c r="FW122" s="107">
        <f>IF(SeilBeregnet=0,FW242,Lwl^FW$3)</f>
        <v>1.8478837127354022</v>
      </c>
      <c r="FY122">
        <v>0.95</v>
      </c>
      <c r="FZ122" s="62" t="str">
        <f t="shared" si="711"/>
        <v>-</v>
      </c>
      <c r="GA122" s="62">
        <f t="shared" si="712"/>
        <v>1.9943100880436639</v>
      </c>
      <c r="GB122" s="107" t="str">
        <f t="shared" si="798"/>
        <v>-</v>
      </c>
      <c r="GC122" s="441" t="s">
        <v>454</v>
      </c>
      <c r="GD122" s="57" t="s">
        <v>60</v>
      </c>
      <c r="GE122" s="436" t="s">
        <v>635</v>
      </c>
      <c r="GF122" s="75" t="s">
        <v>61</v>
      </c>
      <c r="GG122" s="53" t="s">
        <v>636</v>
      </c>
      <c r="GH122" s="53" t="s">
        <v>637</v>
      </c>
      <c r="GI122" s="57" t="s">
        <v>416</v>
      </c>
      <c r="GJ122" s="53" t="s">
        <v>543</v>
      </c>
      <c r="GL122" s="57" t="s">
        <v>899</v>
      </c>
      <c r="GM122" s="436" t="s">
        <v>478</v>
      </c>
      <c r="GN122" s="58" t="s">
        <v>478</v>
      </c>
      <c r="GO122" s="58" t="s">
        <v>478</v>
      </c>
      <c r="GP122" s="58" t="s">
        <v>478</v>
      </c>
      <c r="GQ122" s="58" t="s">
        <v>478</v>
      </c>
      <c r="GS122" s="53" t="s">
        <v>470</v>
      </c>
      <c r="GT122" s="57" t="s">
        <v>516</v>
      </c>
      <c r="GU122" s="53" t="s">
        <v>465</v>
      </c>
      <c r="GV122" s="633" t="s">
        <v>517</v>
      </c>
      <c r="GW122" s="53">
        <v>1986</v>
      </c>
      <c r="GX122" s="53" t="s">
        <v>898</v>
      </c>
      <c r="GY122" s="53" t="s">
        <v>525</v>
      </c>
      <c r="GZ122" s="57" t="s">
        <v>557</v>
      </c>
    </row>
    <row r="123" spans="1:208" ht="15.6" x14ac:dyDescent="0.3">
      <c r="A123" s="60" t="s">
        <v>28</v>
      </c>
      <c r="B123" s="218"/>
      <c r="C123" s="61" t="str">
        <f>C122</f>
        <v>Gaffel</v>
      </c>
      <c r="D123" s="61"/>
      <c r="E123" s="61"/>
      <c r="F123" s="61"/>
      <c r="G123" s="54"/>
      <c r="H123" s="204">
        <f>TBFavrundet</f>
        <v>105</v>
      </c>
      <c r="I123" s="63">
        <f>COUNTA(O123:AG123)</f>
        <v>4</v>
      </c>
      <c r="J123" s="222">
        <f>SUM(O123:AG123)</f>
        <v>57.4</v>
      </c>
      <c r="K123" s="116">
        <f>Seilareal/Depl^0.667/K$7</f>
        <v>1.4527372354601833</v>
      </c>
      <c r="L123" s="116">
        <f>Seilareal/Lwl/Lwl/L$7</f>
        <v>1.4689513606762798</v>
      </c>
      <c r="M123" s="92">
        <f>RiggF</f>
        <v>0.73832752613240427</v>
      </c>
      <c r="N123" s="242">
        <f>StHfaktor</f>
        <v>1.013174903464094</v>
      </c>
      <c r="O123" s="143"/>
      <c r="P123" s="143"/>
      <c r="Q123" s="143"/>
      <c r="R123" s="165">
        <v>10.9</v>
      </c>
      <c r="S123" s="143"/>
      <c r="T123" s="143"/>
      <c r="U123" s="165">
        <v>9.1999999999999993</v>
      </c>
      <c r="V123" s="559"/>
      <c r="W123" s="559"/>
      <c r="X123" s="165">
        <v>29.9</v>
      </c>
      <c r="Y123" s="143"/>
      <c r="Z123" s="143"/>
      <c r="AA123" s="165">
        <v>7.4</v>
      </c>
      <c r="AB123" s="143"/>
      <c r="AC123" s="143"/>
      <c r="AD123" s="143"/>
      <c r="AE123" s="143"/>
      <c r="AF123" s="143"/>
      <c r="AG123" s="551"/>
      <c r="AH123" s="557"/>
      <c r="AI123" s="557">
        <f t="shared" ref="AI123" si="1125">AI122</f>
        <v>8.5500000000000007</v>
      </c>
      <c r="AJ123" s="337">
        <f t="shared" ref="AJ123:AL126" si="1126" xml:space="preserve"> AJ122</f>
        <v>0</v>
      </c>
      <c r="AK123" s="339"/>
      <c r="AL123" s="337">
        <f t="shared" si="1126"/>
        <v>0</v>
      </c>
      <c r="AM123" s="339"/>
      <c r="AN123" s="267" t="str">
        <f t="shared" ref="AN123" si="1127" xml:space="preserve"> AN122</f>
        <v>Los</v>
      </c>
      <c r="AO123" s="45">
        <f>VLOOKUP(AN123,Skrogform!$1:$1048576,3,FALSE)</f>
        <v>0.97</v>
      </c>
      <c r="AP123" s="64">
        <f t="shared" ref="AP123:AZ123" si="1128">AP122</f>
        <v>8.8000000000000007</v>
      </c>
      <c r="AQ123" s="64">
        <f t="shared" si="1128"/>
        <v>7.7</v>
      </c>
      <c r="AR123" s="64">
        <f t="shared" si="1128"/>
        <v>3.15</v>
      </c>
      <c r="AS123" s="64">
        <f t="shared" si="1128"/>
        <v>1.4</v>
      </c>
      <c r="AT123" s="64">
        <f t="shared" ref="AT123" si="1129">AT122</f>
        <v>6</v>
      </c>
      <c r="AU123" s="64">
        <f t="shared" si="1128"/>
        <v>7</v>
      </c>
      <c r="AV123" s="64">
        <f t="shared" si="1128"/>
        <v>2.5</v>
      </c>
      <c r="AW123" s="64">
        <f t="shared" si="1128"/>
        <v>0</v>
      </c>
      <c r="AX123" s="256">
        <f>AX122</f>
        <v>0</v>
      </c>
      <c r="AY123" s="256">
        <f t="shared" si="1128"/>
        <v>40</v>
      </c>
      <c r="AZ123" s="256">
        <f t="shared" si="1128"/>
        <v>270</v>
      </c>
      <c r="BA123" s="256">
        <f t="shared" ref="BA123:BB123" si="1130">BA122</f>
        <v>0</v>
      </c>
      <c r="BB123" s="256">
        <f t="shared" si="1130"/>
        <v>0</v>
      </c>
      <c r="BC123" s="256"/>
      <c r="BD123" s="66"/>
      <c r="BE123" s="66"/>
      <c r="BF123" s="261"/>
      <c r="BG123" s="66"/>
      <c r="BH123" s="175"/>
      <c r="BI123" s="66"/>
      <c r="BJ123" s="66"/>
      <c r="BK123" s="65" t="str">
        <f t="shared" ref="BK123:BM123" si="1131" xml:space="preserve"> BK122</f>
        <v>Fast</v>
      </c>
      <c r="BL123" s="267">
        <f t="shared" si="1131"/>
        <v>3</v>
      </c>
      <c r="BM123" s="267">
        <f t="shared" si="1131"/>
        <v>40</v>
      </c>
      <c r="BN123" s="45">
        <f t="shared" si="991"/>
        <v>0.98301432378494424</v>
      </c>
      <c r="BO123" s="59"/>
      <c r="BP123" s="59"/>
      <c r="BR123" s="49">
        <f t="shared" ref="BR123:BX126" si="1132">IF(O123=0,0,O123*BR$9)</f>
        <v>0</v>
      </c>
      <c r="BS123" s="49">
        <f t="shared" si="1132"/>
        <v>0</v>
      </c>
      <c r="BT123" s="49">
        <f t="shared" si="1132"/>
        <v>0</v>
      </c>
      <c r="BU123" s="49">
        <f t="shared" si="1132"/>
        <v>10.9</v>
      </c>
      <c r="BV123" s="49">
        <f t="shared" si="1132"/>
        <v>0</v>
      </c>
      <c r="BW123" s="49">
        <f t="shared" si="1132"/>
        <v>0</v>
      </c>
      <c r="BX123" s="49">
        <f t="shared" si="1132"/>
        <v>9.1999999999999993</v>
      </c>
      <c r="BY123" s="549">
        <f>IF(COUNT(Q123:U123)&gt;1,MINA(Q123:U123)*BY$9,0)</f>
        <v>-4.5999999999999996</v>
      </c>
      <c r="BZ123" s="85">
        <f t="shared" ref="BZ123:CD126" si="1133">IF(V123=0,0,V123*BZ$9)</f>
        <v>0</v>
      </c>
      <c r="CA123" s="85">
        <f t="shared" si="1133"/>
        <v>0</v>
      </c>
      <c r="CB123" s="85">
        <f t="shared" si="1133"/>
        <v>23.92</v>
      </c>
      <c r="CC123" s="85">
        <f t="shared" si="1133"/>
        <v>0</v>
      </c>
      <c r="CD123" s="85">
        <f t="shared" si="1133"/>
        <v>0</v>
      </c>
      <c r="CE123" s="85">
        <f>IF(AC123=0,0,AC123*CE$9)</f>
        <v>0</v>
      </c>
      <c r="CF123" s="85">
        <f t="shared" ref="CF123:CG126" si="1134">IF(AA123=0,0,AA123*CF$9)</f>
        <v>2.9600000000000004</v>
      </c>
      <c r="CG123" s="85">
        <f t="shared" si="1134"/>
        <v>0</v>
      </c>
      <c r="CH123" s="85">
        <f t="shared" ref="CH123:CK126" si="1135">IF(AD123=0,0,AD123*CH$9)</f>
        <v>0</v>
      </c>
      <c r="CI123" s="85">
        <f t="shared" si="1135"/>
        <v>0</v>
      </c>
      <c r="CJ123" s="85">
        <f t="shared" si="1135"/>
        <v>0</v>
      </c>
      <c r="CK123" s="85">
        <f t="shared" si="1135"/>
        <v>0</v>
      </c>
      <c r="CL123" s="100">
        <f>SUM(BR123:CK123)</f>
        <v>42.38</v>
      </c>
      <c r="CM123" s="50"/>
      <c r="CN123" s="104">
        <f>J123</f>
        <v>57.4</v>
      </c>
      <c r="CO123" s="101">
        <f>CL123/CN123</f>
        <v>0.73832752613240427</v>
      </c>
      <c r="CP123" s="51">
        <f>Seilareal/Lwl/Lwl</f>
        <v>0.96812278630460447</v>
      </c>
      <c r="CQ123" s="116">
        <f>Seilareal/Depl^0.667/K$7</f>
        <v>1.4527372354601833</v>
      </c>
      <c r="CR123" s="51">
        <f>Seilareal/Lwl/Lwl/SApRS1</f>
        <v>1.4689513606762798</v>
      </c>
      <c r="CS123" s="204"/>
      <c r="CT123" s="204">
        <f>(ROUND(TBF/CT$6,3)*CT$6)*CT$4</f>
        <v>105</v>
      </c>
      <c r="CU123" s="107">
        <f t="shared" si="36"/>
        <v>1.0514836126641107</v>
      </c>
      <c r="CV123" s="62">
        <f t="shared" si="789"/>
        <v>3.415760413854537</v>
      </c>
      <c r="CW123" s="62">
        <f t="shared" si="14"/>
        <v>1.6183471874253741</v>
      </c>
      <c r="CX123" s="62">
        <f t="shared" si="790"/>
        <v>1.6657993231786119</v>
      </c>
      <c r="CY123" s="107">
        <f t="shared" si="16"/>
        <v>1.013174903464094</v>
      </c>
      <c r="CZ123" s="168">
        <f t="shared" si="1112"/>
        <v>1.0225882352941176</v>
      </c>
      <c r="DA123" s="159">
        <f>DA122</f>
        <v>0.82</v>
      </c>
      <c r="DB123" s="168">
        <f t="shared" si="1113"/>
        <v>1.0135087719298248</v>
      </c>
      <c r="DC123" s="159">
        <f>DC122</f>
        <v>1.0900000000000001</v>
      </c>
      <c r="DD123" s="190" t="s">
        <v>134</v>
      </c>
      <c r="DE123" s="62">
        <v>0.76</v>
      </c>
      <c r="DF123" s="62">
        <v>0.8</v>
      </c>
      <c r="DG123" s="62">
        <v>0.83</v>
      </c>
      <c r="DH123" s="150">
        <v>0.87</v>
      </c>
      <c r="DI123" s="62">
        <f t="shared" si="695"/>
        <v>2.0598098158543237</v>
      </c>
      <c r="DJ123" s="47">
        <f t="shared" si="696"/>
        <v>11.814345991561181</v>
      </c>
      <c r="DK123" s="48">
        <f t="shared" si="1114"/>
        <v>0</v>
      </c>
      <c r="DM123" s="107">
        <f t="shared" si="950"/>
        <v>1.0304395760670622</v>
      </c>
      <c r="DN123" s="142">
        <f t="shared" si="1115"/>
        <v>-5.3564148328927974</v>
      </c>
      <c r="DO123" s="107">
        <f t="shared" si="1116"/>
        <v>5.0747928313380637</v>
      </c>
      <c r="DP123" s="133">
        <f>IF(SeilBeregnet=0,DP122,(SeilBeregnet^0.5/(Depl^0.3333))^DP$3*DP$7)</f>
        <v>3.4033710432633741</v>
      </c>
      <c r="DQ123" s="133">
        <f>IF(SeilBeregnet=0,DQ122,(SeilBeregnet^0.5/Lwl)^DQ$3*DQ$7)</f>
        <v>0</v>
      </c>
      <c r="DR123" s="133">
        <f>IF(SeilBeregnet=0,DR122,(0.1*Loa/Depl^0.3333)^DR$3*DR$7)</f>
        <v>0</v>
      </c>
      <c r="DS123" s="133">
        <f>IF(SeilBeregnet=0,DS122,((Loa)/Bredde)^DS$3*DS$7)</f>
        <v>1.67142178807469</v>
      </c>
      <c r="DT123" s="107">
        <f>IF(SeilBeregnet=0,DT122,(Lwl)^DT$3)</f>
        <v>1.6657993231786119</v>
      </c>
      <c r="DU123" s="133">
        <f>IF(SeilBeregnet=0,DU122,(Dypg/Loa)^DU$3*5*DU$7)</f>
        <v>1.9943100880436639</v>
      </c>
      <c r="DW123" s="107">
        <f t="shared" si="512"/>
        <v>1.0840037243959901</v>
      </c>
      <c r="DX123" s="107">
        <f t="shared" si="699"/>
        <v>1.0536192886926852</v>
      </c>
      <c r="DY123" s="122">
        <f>DX123-DW123</f>
        <v>-3.0384435703304957E-2</v>
      </c>
      <c r="DZ123" s="107">
        <f t="shared" si="700"/>
        <v>1.0383429734453731</v>
      </c>
      <c r="EA123" s="122">
        <f t="shared" si="1117"/>
        <v>-4.5660750950617057E-2</v>
      </c>
      <c r="EB123" s="107">
        <f t="shared" si="1118"/>
        <v>1.0568189043477765</v>
      </c>
      <c r="EC123" s="122">
        <f t="shared" si="1119"/>
        <v>-2.7184820048213654E-2</v>
      </c>
      <c r="ED123" s="107">
        <f>IF(SeilBeregnet=0,ED122,SeilBeregnet^0.5/Depl^0.33333)</f>
        <v>3.403172369434829</v>
      </c>
      <c r="EE123" s="107">
        <f>IF(SeilBeregnet=0,EE122,Lwl^0.3333)</f>
        <v>1.9745464681619453</v>
      </c>
      <c r="EF123" s="107">
        <f>IF(SeilBeregnet=0,EF122,((Loa+Lwl)/Bredde)^EF$3)</f>
        <v>1.51284121476291</v>
      </c>
      <c r="EH123" s="107">
        <f t="shared" si="1120"/>
        <v>1.0522055731499345</v>
      </c>
      <c r="EJ123" s="107">
        <f>IF(SeilBeregnet=0,EJ122,SeilBeregnet^0.5/Depl^0.33333)</f>
        <v>3.403172369434829</v>
      </c>
      <c r="EK123" s="107">
        <f>IF(SeilBeregnet=0,EK122,Lwl^EK$3)</f>
        <v>1.9746673863959516</v>
      </c>
      <c r="EL123" s="107">
        <f>IF(SeilBeregnet=0,EL122,((Loa+Lwl)/Bredde)^EL$3)</f>
        <v>1.7366027764452827</v>
      </c>
      <c r="EM123" s="107">
        <f t="shared" si="1121"/>
        <v>1.0433370307708119</v>
      </c>
      <c r="EO123" s="107">
        <f>IF(SeilBeregnet=0,EO122,(EP123*EQ123)^EO$3)</f>
        <v>5.1484594214233574</v>
      </c>
      <c r="EP123" s="107">
        <f>IF(SeilBeregnet=0,EP122,SeilBeregnet^0.5/Depl^0.33333)</f>
        <v>3.403172369434829</v>
      </c>
      <c r="EQ123" s="107">
        <f>IF(SeilBeregnet=0,EQ122,((Loa+Lwl)/Bredde)^EQ$3)</f>
        <v>1.51284121476291</v>
      </c>
      <c r="ER123" s="107">
        <f>IF(SeilBeregnet=0,ER122,Lwl^ER$3)</f>
        <v>1.6657993231786119</v>
      </c>
      <c r="ES123" s="107">
        <f t="shared" si="951"/>
        <v>1.0460053498949404</v>
      </c>
      <c r="EU123" s="107">
        <f>IF(SeilBeregnet=0,EU122,(EV:EV*EW:EW)^EU$3)</f>
        <v>1.8137179066244584</v>
      </c>
      <c r="EV123" s="107">
        <f>IF(SeilBeregnet=0,EV122,SeilBeregnet^0.5/Depl^0.33333)</f>
        <v>3.403172369434829</v>
      </c>
      <c r="EW123" s="107">
        <f>IF(SeilBeregnet=0,EW122,((Loa+Lwl)/Bredde/6)^EW$3)</f>
        <v>0.96661946199231552</v>
      </c>
      <c r="EX123" s="107">
        <f>IF(SeilBeregnet=0,EX122,(Lwl*0.7+Loa*0.3)^EX$3)</f>
        <v>1.6833672989163568</v>
      </c>
      <c r="EY123" s="107">
        <f t="shared" si="952"/>
        <v>1.0092188867909331</v>
      </c>
      <c r="FA123" s="107">
        <f t="shared" si="941"/>
        <v>1.8137708473783198</v>
      </c>
      <c r="FB123" s="107">
        <f>IF(SeilBeregnet=0,FB122,SeilBeregnet^0.5/Depl^0.3333)</f>
        <v>3.4033710432633741</v>
      </c>
      <c r="FC123" s="107">
        <f>IF(SeilBeregnet=0,FC122,((Loa+Lwl)/Bredde/6)^FC$3)</f>
        <v>0.96661946199231552</v>
      </c>
      <c r="FD123" s="107">
        <f>IF(SeilBeregnet=0,FD122,(Lwl*0.7+Loa*0.3)^FD$3)</f>
        <v>1.6833672989163568</v>
      </c>
      <c r="FE123" s="107">
        <f t="shared" si="953"/>
        <v>1.0122403443716737</v>
      </c>
      <c r="FF123" s="141">
        <f t="shared" si="1122"/>
        <v>-7.1763380024316481</v>
      </c>
      <c r="FG123" s="107">
        <f t="shared" si="942"/>
        <v>3.1799505716354206</v>
      </c>
      <c r="FH123" s="133">
        <f>IF(SeilBeregnet=0,FH122,(SeilBeregnet^0.5/(Depl^0.3333))^FH$3)</f>
        <v>3.4033710432633741</v>
      </c>
      <c r="FI123" s="133">
        <f>IF(SeilBeregnet=0,FI122,((Loa+Lwl)/Bredde/6)^FI$3)</f>
        <v>0.93435318430231351</v>
      </c>
      <c r="FJ123" s="107">
        <f>IF(SeilBeregnet=0,FJ122,(Lwl*0.07+Loa*0.03)^FJ$3)</f>
        <v>0.94662699765472258</v>
      </c>
      <c r="FK123" s="107">
        <f t="shared" si="954"/>
        <v>1.0562057240612732</v>
      </c>
      <c r="FL123" s="141">
        <f t="shared" si="1123"/>
        <v>-2.779800033471691</v>
      </c>
      <c r="FM123" s="107">
        <f t="shared" si="943"/>
        <v>5.4202463793255866</v>
      </c>
      <c r="FN123" s="133">
        <f>IF(SeilBeregnet=0,FN122,(SeilBeregnet^0.5/(Depl^0.3333))^FN$3)</f>
        <v>3.4033710432633741</v>
      </c>
      <c r="FO123" s="133">
        <f>IF(SeilBeregnet=0,FO122,(SeilBeregnet^0.5/Lwl*FO$7)^FO$3)</f>
        <v>0.84545354798752181</v>
      </c>
      <c r="FP123" s="133">
        <f>IF(SeilBeregnet=0,FP122,((Loa)/Bredde)^FP$3*FP$7)</f>
        <v>1.67142178807469</v>
      </c>
      <c r="FQ123" s="107">
        <f>IF(SeilBeregnet=0,FQ122,(Lwl)^FQ$3)</f>
        <v>1.6657993231786119</v>
      </c>
      <c r="FR123" s="107">
        <f t="shared" si="955"/>
        <v>1.0153543496624879</v>
      </c>
      <c r="FS123" s="141">
        <f t="shared" si="1124"/>
        <v>-6.8649374733502189</v>
      </c>
      <c r="FT123" s="107">
        <f t="shared" si="944"/>
        <v>5.6884685146128922</v>
      </c>
      <c r="FU123" s="133">
        <f>IF(SeilBeregnet=0,FU122,(SeilBeregnet^0.5/(Depl^0.3333))^FU$3)</f>
        <v>3.4033710432633741</v>
      </c>
      <c r="FV123" s="133">
        <f>IF(SeilBeregnet=0,FV122,(Loa/Bredde)^FV$3)</f>
        <v>1.67142178807469</v>
      </c>
      <c r="FW123" s="107">
        <f>IF(SeilBeregnet=0,FW122,Lwl^FW$3)</f>
        <v>1.6657993231786119</v>
      </c>
      <c r="FY123">
        <v>0.95</v>
      </c>
      <c r="FZ123" s="62">
        <f t="shared" si="711"/>
        <v>1.0462884144194957</v>
      </c>
      <c r="GA123" s="62">
        <f t="shared" si="712"/>
        <v>1.9943100880436639</v>
      </c>
      <c r="GB123" s="107">
        <f t="shared" si="798"/>
        <v>1.2999047997246715</v>
      </c>
      <c r="GC123" s="440"/>
      <c r="GD123" s="17"/>
      <c r="GE123" s="442"/>
      <c r="GF123" s="462"/>
      <c r="GG123" s="17"/>
      <c r="GH123" s="17"/>
      <c r="GI123" s="17"/>
      <c r="GJ123" s="17"/>
      <c r="GL123" s="17"/>
      <c r="GM123" s="442"/>
      <c r="GN123" s="8"/>
      <c r="GO123" s="8"/>
      <c r="GP123" s="8"/>
      <c r="GQ123" s="8"/>
      <c r="GS123" s="17"/>
      <c r="GT123" s="17"/>
      <c r="GU123" s="17"/>
      <c r="GV123" s="629"/>
      <c r="GW123" s="17"/>
      <c r="GX123" s="17"/>
      <c r="GY123" s="17"/>
      <c r="GZ123" s="17"/>
    </row>
    <row r="124" spans="1:208" ht="15.6" x14ac:dyDescent="0.3">
      <c r="A124" s="60" t="s">
        <v>29</v>
      </c>
      <c r="B124" s="218"/>
      <c r="C124" s="14" t="str">
        <f>C122</f>
        <v>Gaffel</v>
      </c>
      <c r="G124" s="54"/>
      <c r="H124" s="204">
        <f>TBFavrundet</f>
        <v>102.49999999999999</v>
      </c>
      <c r="I124" s="63">
        <f>COUNTA(O124:AG124)</f>
        <v>3</v>
      </c>
      <c r="J124" s="222">
        <f>SUM(O124:AG124)</f>
        <v>50</v>
      </c>
      <c r="K124" s="116">
        <f>Seilareal/Depl^0.667/K$7</f>
        <v>1.2654505535367451</v>
      </c>
      <c r="L124" s="116">
        <f>Seilareal/Lwl/Lwl/L$7</f>
        <v>1.2795743559897907</v>
      </c>
      <c r="M124" s="92">
        <f>RiggF</f>
        <v>0.78839999999999999</v>
      </c>
      <c r="N124" s="242">
        <f>StHfaktor</f>
        <v>1.013174903464094</v>
      </c>
      <c r="O124" s="143"/>
      <c r="P124" s="143"/>
      <c r="Q124" s="143"/>
      <c r="R124" s="165">
        <v>10.9</v>
      </c>
      <c r="S124" s="143"/>
      <c r="T124" s="143"/>
      <c r="U124" s="165">
        <v>9.1999999999999993</v>
      </c>
      <c r="V124" s="559"/>
      <c r="W124" s="559"/>
      <c r="X124" s="165">
        <v>29.9</v>
      </c>
      <c r="Y124" s="143"/>
      <c r="Z124" s="143"/>
      <c r="AA124" s="143"/>
      <c r="AB124" s="143"/>
      <c r="AC124" s="143"/>
      <c r="AD124" s="143"/>
      <c r="AE124" s="143"/>
      <c r="AF124" s="143"/>
      <c r="AG124" s="551"/>
      <c r="AH124" s="557"/>
      <c r="AI124" s="557">
        <f t="shared" ref="AI124" si="1136">AI123</f>
        <v>8.5500000000000007</v>
      </c>
      <c r="AJ124" s="337">
        <f t="shared" si="1126"/>
        <v>0</v>
      </c>
      <c r="AK124" s="339"/>
      <c r="AL124" s="337">
        <f t="shared" si="1126"/>
        <v>0</v>
      </c>
      <c r="AM124" s="339"/>
      <c r="AN124" s="267" t="str">
        <f t="shared" ref="AN124" si="1137" xml:space="preserve"> AN123</f>
        <v>Los</v>
      </c>
      <c r="AO124" s="45">
        <f>VLOOKUP(AN124,Skrogform!$1:$1048576,3,FALSE)</f>
        <v>0.97</v>
      </c>
      <c r="AP124" s="64">
        <f t="shared" ref="AP124:AZ124" si="1138">AP123</f>
        <v>8.8000000000000007</v>
      </c>
      <c r="AQ124" s="64">
        <f t="shared" si="1138"/>
        <v>7.7</v>
      </c>
      <c r="AR124" s="64">
        <f t="shared" si="1138"/>
        <v>3.15</v>
      </c>
      <c r="AS124" s="64">
        <f t="shared" si="1138"/>
        <v>1.4</v>
      </c>
      <c r="AT124" s="64">
        <f t="shared" ref="AT124" si="1139">AT123</f>
        <v>6</v>
      </c>
      <c r="AU124" s="64">
        <f t="shared" si="1138"/>
        <v>7</v>
      </c>
      <c r="AV124" s="64">
        <f t="shared" si="1138"/>
        <v>2.5</v>
      </c>
      <c r="AW124" s="64">
        <f t="shared" si="1138"/>
        <v>0</v>
      </c>
      <c r="AX124" s="256">
        <f>AX123</f>
        <v>0</v>
      </c>
      <c r="AY124" s="256">
        <f t="shared" si="1138"/>
        <v>40</v>
      </c>
      <c r="AZ124" s="256">
        <f t="shared" si="1138"/>
        <v>270</v>
      </c>
      <c r="BA124" s="256">
        <f t="shared" ref="BA124:BB124" si="1140">BA123</f>
        <v>0</v>
      </c>
      <c r="BB124" s="256">
        <f t="shared" si="1140"/>
        <v>0</v>
      </c>
      <c r="BC124" s="256"/>
      <c r="BD124" s="66"/>
      <c r="BE124" s="66"/>
      <c r="BF124" s="261"/>
      <c r="BG124" s="66"/>
      <c r="BH124" s="175"/>
      <c r="BI124" s="66"/>
      <c r="BJ124" s="66"/>
      <c r="BK124" s="65" t="str">
        <f t="shared" ref="BK124:BM124" si="1141" xml:space="preserve"> BK123</f>
        <v>Fast</v>
      </c>
      <c r="BL124" s="267">
        <f t="shared" si="1141"/>
        <v>3</v>
      </c>
      <c r="BM124" s="267">
        <f t="shared" si="1141"/>
        <v>40</v>
      </c>
      <c r="BN124" s="45">
        <f t="shared" si="991"/>
        <v>0.98301432378494424</v>
      </c>
      <c r="BO124" s="59"/>
      <c r="BP124" s="59"/>
      <c r="BR124" s="49">
        <f t="shared" si="1132"/>
        <v>0</v>
      </c>
      <c r="BS124" s="49">
        <f t="shared" si="1132"/>
        <v>0</v>
      </c>
      <c r="BT124" s="49">
        <f t="shared" si="1132"/>
        <v>0</v>
      </c>
      <c r="BU124" s="49">
        <f t="shared" si="1132"/>
        <v>10.9</v>
      </c>
      <c r="BV124" s="49">
        <f t="shared" si="1132"/>
        <v>0</v>
      </c>
      <c r="BW124" s="49">
        <f t="shared" si="1132"/>
        <v>0</v>
      </c>
      <c r="BX124" s="49">
        <f t="shared" si="1132"/>
        <v>9.1999999999999993</v>
      </c>
      <c r="BY124" s="549">
        <f>IF(COUNT(Q124:U124)&gt;1,MINA(Q124:U124)*BY$9,0)</f>
        <v>-4.5999999999999996</v>
      </c>
      <c r="BZ124" s="85">
        <f t="shared" si="1133"/>
        <v>0</v>
      </c>
      <c r="CA124" s="85">
        <f t="shared" si="1133"/>
        <v>0</v>
      </c>
      <c r="CB124" s="85">
        <f t="shared" si="1133"/>
        <v>23.92</v>
      </c>
      <c r="CC124" s="85">
        <f t="shared" si="1133"/>
        <v>0</v>
      </c>
      <c r="CD124" s="85">
        <f t="shared" si="1133"/>
        <v>0</v>
      </c>
      <c r="CE124" s="85">
        <f>IF(AC124=0,0,AC124*CE$9)</f>
        <v>0</v>
      </c>
      <c r="CF124" s="85">
        <f t="shared" si="1134"/>
        <v>0</v>
      </c>
      <c r="CG124" s="85">
        <f t="shared" si="1134"/>
        <v>0</v>
      </c>
      <c r="CH124" s="85">
        <f t="shared" si="1135"/>
        <v>0</v>
      </c>
      <c r="CI124" s="85">
        <f t="shared" si="1135"/>
        <v>0</v>
      </c>
      <c r="CJ124" s="85">
        <f t="shared" si="1135"/>
        <v>0</v>
      </c>
      <c r="CK124" s="85">
        <f t="shared" si="1135"/>
        <v>0</v>
      </c>
      <c r="CL124" s="100">
        <f>SUM(BR124:CK124)</f>
        <v>39.42</v>
      </c>
      <c r="CM124" s="50"/>
      <c r="CN124" s="104">
        <f>J124</f>
        <v>50</v>
      </c>
      <c r="CO124" s="101">
        <f>CL124/CN124</f>
        <v>0.78839999999999999</v>
      </c>
      <c r="CP124" s="51">
        <f>Seilareal/Lwl/Lwl</f>
        <v>0.84331253162421993</v>
      </c>
      <c r="CQ124" s="116">
        <f>Seilareal/Depl^0.667/K$7</f>
        <v>1.2654505535367451</v>
      </c>
      <c r="CR124" s="51">
        <f>Seilareal/Lwl/Lwl/SApRS1</f>
        <v>1.2795743559897907</v>
      </c>
      <c r="CS124" s="204"/>
      <c r="CT124" s="204">
        <f>(ROUND(TBF/CT$6,3)*CT$6)*CT$4</f>
        <v>102.49999999999999</v>
      </c>
      <c r="CU124" s="107">
        <f t="shared" si="36"/>
        <v>1.0261172545388828</v>
      </c>
      <c r="CV124" s="62">
        <f t="shared" si="789"/>
        <v>3.2943158428531341</v>
      </c>
      <c r="CW124" s="62">
        <f t="shared" si="14"/>
        <v>1.6183471874253741</v>
      </c>
      <c r="CX124" s="62">
        <f t="shared" si="790"/>
        <v>1.6657993231786119</v>
      </c>
      <c r="CY124" s="107">
        <f t="shared" si="16"/>
        <v>1.013174903464094</v>
      </c>
      <c r="CZ124" s="168" t="str">
        <f t="shared" si="1112"/>
        <v>-</v>
      </c>
      <c r="DA124" s="158"/>
      <c r="DB124" s="168" t="str">
        <f t="shared" si="1113"/>
        <v>-</v>
      </c>
      <c r="DC124" s="160"/>
      <c r="DD124" s="190" t="s">
        <v>134</v>
      </c>
      <c r="DE124" s="62">
        <v>0.74</v>
      </c>
      <c r="DF124" s="62">
        <v>0.79</v>
      </c>
      <c r="DG124" s="62">
        <v>0.81</v>
      </c>
      <c r="DH124" s="150">
        <v>0.84</v>
      </c>
      <c r="DI124" s="62">
        <f t="shared" si="695"/>
        <v>2.0598098158543237</v>
      </c>
      <c r="DJ124" s="47">
        <f t="shared" si="696"/>
        <v>11.814345991561181</v>
      </c>
      <c r="DK124" s="48">
        <f t="shared" si="1114"/>
        <v>0</v>
      </c>
      <c r="DM124" s="107">
        <f t="shared" si="950"/>
        <v>1.0058696292725016</v>
      </c>
      <c r="DN124" s="141" t="str">
        <f t="shared" si="1115"/>
        <v>-</v>
      </c>
      <c r="DO124" s="107">
        <f t="shared" si="1116"/>
        <v>4.9537887542865064</v>
      </c>
      <c r="DP124" s="133">
        <f>IF(SeilBeregnet=0,DP123,(SeilBeregnet^0.5/(Depl^0.3333))^DP$3*DP$7)</f>
        <v>3.282366966211816</v>
      </c>
      <c r="DQ124" s="133">
        <f>IF(SeilBeregnet=0,DQ123,(SeilBeregnet^0.5/Lwl)^DQ$3*DQ$7)</f>
        <v>0</v>
      </c>
      <c r="DR124" s="133">
        <f>IF(SeilBeregnet=0,DR123,(0.1*Loa/Depl^0.3333)^DR$3*DR$7)</f>
        <v>0</v>
      </c>
      <c r="DS124" s="133">
        <f>IF(SeilBeregnet=0,DS123,((Loa)/Bredde)^DS$3*DS$7)</f>
        <v>1.67142178807469</v>
      </c>
      <c r="DT124" s="107">
        <f>IF(SeilBeregnet=0,DT123,(Lwl)^DT$3)</f>
        <v>1.6657993231786119</v>
      </c>
      <c r="DU124" s="133">
        <f>IF(SeilBeregnet=0,DU123,(Dypg/Loa)^DU$3*5*DU$7)</f>
        <v>1.9943100880436639</v>
      </c>
      <c r="DW124" s="107">
        <f t="shared" si="512"/>
        <v>1.0578528397308071</v>
      </c>
      <c r="DX124" s="107">
        <f t="shared" si="699"/>
        <v>1.0248432767697184</v>
      </c>
      <c r="DZ124" s="107">
        <f t="shared" si="700"/>
        <v>1.0161283816373021</v>
      </c>
      <c r="EA124" s="122" t="str">
        <f t="shared" si="1117"/>
        <v>-</v>
      </c>
      <c r="EB124" s="107">
        <f t="shared" si="1118"/>
        <v>1.0291956954000523</v>
      </c>
      <c r="EC124" s="122" t="str">
        <f t="shared" si="1119"/>
        <v>-</v>
      </c>
      <c r="ED124" s="107">
        <f>IF(SeilBeregnet=0,ED123,SeilBeregnet^0.5/Depl^0.33333)</f>
        <v>3.282175356068938</v>
      </c>
      <c r="EE124" s="107">
        <f>IF(SeilBeregnet=0,EE123,Lwl^0.3333)</f>
        <v>1.9745464681619453</v>
      </c>
      <c r="EF124" s="107">
        <f>IF(SeilBeregnet=0,EF123,((Loa+Lwl)/Bredde)^EF$3)</f>
        <v>1.51284121476291</v>
      </c>
      <c r="EH124" s="107">
        <f t="shared" si="1120"/>
        <v>1.0276422280646502</v>
      </c>
      <c r="EJ124" s="107">
        <f>IF(SeilBeregnet=0,EJ123,SeilBeregnet^0.5/Depl^0.33333)</f>
        <v>3.282175356068938</v>
      </c>
      <c r="EK124" s="107">
        <f>IF(SeilBeregnet=0,EK123,Lwl^EK$3)</f>
        <v>1.9746673863959516</v>
      </c>
      <c r="EL124" s="107">
        <f>IF(SeilBeregnet=0,EL123,((Loa+Lwl)/Bredde)^EL$3)</f>
        <v>1.7366027764452827</v>
      </c>
      <c r="EM124" s="107">
        <f t="shared" si="1121"/>
        <v>1.0166204937921901</v>
      </c>
      <c r="EO124" s="107">
        <f>IF(SeilBeregnet=0,EO123,(EP124*EQ124)^EO$3)</f>
        <v>4.965410152740219</v>
      </c>
      <c r="EP124" s="107">
        <f>IF(SeilBeregnet=0,EP123,SeilBeregnet^0.5/Depl^0.33333)</f>
        <v>3.282175356068938</v>
      </c>
      <c r="EQ124" s="107">
        <f>IF(SeilBeregnet=0,EQ123,((Loa+Lwl)/Bredde)^EQ$3)</f>
        <v>1.51284121476291</v>
      </c>
      <c r="ER124" s="107">
        <f>IF(SeilBeregnet=0,ER123,Lwl^ER$3)</f>
        <v>1.6657993231786119</v>
      </c>
      <c r="ES124" s="107">
        <f t="shared" si="951"/>
        <v>1.0201008632267452</v>
      </c>
      <c r="EU124" s="107">
        <f>IF(SeilBeregnet=0,EU123,(EV:EV*EW:EW)^EU$3)</f>
        <v>1.7811834764694494</v>
      </c>
      <c r="EV124" s="107">
        <f>IF(SeilBeregnet=0,EV123,SeilBeregnet^0.5/Depl^0.33333)</f>
        <v>3.282175356068938</v>
      </c>
      <c r="EW124" s="107">
        <f>IF(SeilBeregnet=0,EW123,((Loa+Lwl)/Bredde/6)^EW$3)</f>
        <v>0.96661946199231552</v>
      </c>
      <c r="EX124" s="107">
        <f>IF(SeilBeregnet=0,EX123,(Lwl*0.7+Loa*0.3)^EX$3)</f>
        <v>1.6833672989163568</v>
      </c>
      <c r="EY124" s="107">
        <f t="shared" si="952"/>
        <v>0.99111554157749571</v>
      </c>
      <c r="FA124" s="107">
        <f t="shared" si="941"/>
        <v>1.7812354675732835</v>
      </c>
      <c r="FB124" s="107">
        <f>IF(SeilBeregnet=0,FB123,SeilBeregnet^0.5/Depl^0.3333)</f>
        <v>3.282366966211816</v>
      </c>
      <c r="FC124" s="107">
        <f>IF(SeilBeregnet=0,FC123,((Loa+Lwl)/Bredde/6)^FC$3)</f>
        <v>0.96661946199231552</v>
      </c>
      <c r="FD124" s="107">
        <f>IF(SeilBeregnet=0,FD123,(Lwl*0.7+Loa*0.3)^FD$3)</f>
        <v>1.6833672989163568</v>
      </c>
      <c r="FE124" s="107">
        <f t="shared" si="953"/>
        <v>0.99014661140529669</v>
      </c>
      <c r="FF124" s="141" t="str">
        <f t="shared" si="1122"/>
        <v>-</v>
      </c>
      <c r="FG124" s="107">
        <f t="shared" si="942"/>
        <v>3.0668900269287347</v>
      </c>
      <c r="FH124" s="133">
        <f>IF(SeilBeregnet=0,FH123,(SeilBeregnet^0.5/(Depl^0.3333))^FH$3)</f>
        <v>3.282366966211816</v>
      </c>
      <c r="FI124" s="133">
        <f>IF(SeilBeregnet=0,FI123,((Loa+Lwl)/Bredde/6)^FI$3)</f>
        <v>0.93435318430231351</v>
      </c>
      <c r="FJ124" s="107">
        <f>IF(SeilBeregnet=0,FJ123,(Lwl*0.07+Loa*0.03)^FJ$3)</f>
        <v>0.94662699765472258</v>
      </c>
      <c r="FK124" s="107">
        <f t="shared" si="954"/>
        <v>1.0267690326695229</v>
      </c>
      <c r="FL124" s="141" t="str">
        <f t="shared" si="1123"/>
        <v>-</v>
      </c>
      <c r="FM124" s="107">
        <f t="shared" si="943"/>
        <v>5.2691828920705195</v>
      </c>
      <c r="FN124" s="133">
        <f>IF(SeilBeregnet=0,FN123,(SeilBeregnet^0.5/(Depl^0.3333))^FN$3)</f>
        <v>3.282366966211816</v>
      </c>
      <c r="FO124" s="133">
        <f>IF(SeilBeregnet=0,FO123,(SeilBeregnet^0.5/Lwl*FO$7)^FO$3)</f>
        <v>0.81539413778401371</v>
      </c>
      <c r="FP124" s="133">
        <f>IF(SeilBeregnet=0,FP123,((Loa)/Bredde)^FP$3*FP$7)</f>
        <v>1.67142178807469</v>
      </c>
      <c r="FQ124" s="107">
        <f>IF(SeilBeregnet=0,FQ123,(Lwl)^FQ$3)</f>
        <v>1.6657993231786119</v>
      </c>
      <c r="FR124" s="107">
        <f t="shared" si="955"/>
        <v>0.99415861061512567</v>
      </c>
      <c r="FS124" s="141" t="str">
        <f t="shared" si="1124"/>
        <v>-</v>
      </c>
      <c r="FT124" s="107">
        <f t="shared" si="944"/>
        <v>5.4862196637830491</v>
      </c>
      <c r="FU124" s="133">
        <f>IF(SeilBeregnet=0,FU123,(SeilBeregnet^0.5/(Depl^0.3333))^FU$3)</f>
        <v>3.282366966211816</v>
      </c>
      <c r="FV124" s="133">
        <f>IF(SeilBeregnet=0,FV123,(Loa/Bredde)^FV$3)</f>
        <v>1.67142178807469</v>
      </c>
      <c r="FW124" s="107">
        <f>IF(SeilBeregnet=0,FW123,Lwl^FW$3)</f>
        <v>1.6657993231786119</v>
      </c>
      <c r="FY124">
        <v>0.95</v>
      </c>
      <c r="FZ124" s="62">
        <f t="shared" si="711"/>
        <v>1.0283793661375302</v>
      </c>
      <c r="GA124" s="62">
        <f t="shared" si="712"/>
        <v>1.9943100880436639</v>
      </c>
      <c r="GB124" s="107">
        <f t="shared" si="798"/>
        <v>1.2843128423563195</v>
      </c>
      <c r="GC124" s="440"/>
      <c r="GD124" s="17"/>
      <c r="GE124" s="442"/>
      <c r="GF124" s="462"/>
      <c r="GG124" s="17"/>
      <c r="GH124" s="17"/>
      <c r="GI124" s="17"/>
      <c r="GJ124" s="17"/>
      <c r="GL124" s="17"/>
      <c r="GM124" s="442"/>
      <c r="GN124" s="8"/>
      <c r="GO124" s="8"/>
      <c r="GP124" s="8"/>
      <c r="GQ124" s="8"/>
      <c r="GS124" s="17"/>
      <c r="GT124" s="17"/>
      <c r="GU124" s="17"/>
      <c r="GV124" s="629"/>
      <c r="GW124" s="17"/>
      <c r="GX124" s="17"/>
      <c r="GY124" s="17"/>
      <c r="GZ124" s="17"/>
    </row>
    <row r="125" spans="1:208" ht="15.6" x14ac:dyDescent="0.3">
      <c r="A125" s="60" t="s">
        <v>112</v>
      </c>
      <c r="B125" s="218"/>
      <c r="C125" s="14" t="str">
        <f>C123</f>
        <v>Gaffel</v>
      </c>
      <c r="G125" s="54"/>
      <c r="H125" s="204">
        <f>TBFavrundet</f>
        <v>98.500000000000014</v>
      </c>
      <c r="I125" s="63">
        <f>COUNTA(O125:AG125)</f>
        <v>3</v>
      </c>
      <c r="J125" s="222">
        <f>SUM(O125:AG125)</f>
        <v>45.1</v>
      </c>
      <c r="K125" s="116">
        <f>Seilareal/Depl^0.667/K$7</f>
        <v>1.141436399290144</v>
      </c>
      <c r="L125" s="116">
        <f>Seilareal/Lwl/Lwl/L$7</f>
        <v>1.1541760691027914</v>
      </c>
      <c r="M125" s="92">
        <f>RiggF</f>
        <v>0.77605321507760527</v>
      </c>
      <c r="N125" s="242">
        <f>StHfaktor</f>
        <v>1.013174903464094</v>
      </c>
      <c r="O125" s="143"/>
      <c r="P125" s="143"/>
      <c r="Q125" s="143"/>
      <c r="R125" s="165">
        <v>10.9</v>
      </c>
      <c r="S125" s="143"/>
      <c r="T125" s="143"/>
      <c r="U125" s="165">
        <v>9.1999999999999993</v>
      </c>
      <c r="V125" s="559"/>
      <c r="W125" s="559"/>
      <c r="X125" s="144"/>
      <c r="Y125" s="180">
        <v>25</v>
      </c>
      <c r="Z125" s="143"/>
      <c r="AA125" s="143"/>
      <c r="AB125" s="143"/>
      <c r="AC125" s="143"/>
      <c r="AD125" s="143"/>
      <c r="AE125" s="143"/>
      <c r="AF125" s="143"/>
      <c r="AG125" s="551"/>
      <c r="AH125" s="557"/>
      <c r="AI125" s="557">
        <f t="shared" ref="AI125" si="1142">AI124</f>
        <v>8.5500000000000007</v>
      </c>
      <c r="AJ125" s="337">
        <f t="shared" si="1126"/>
        <v>0</v>
      </c>
      <c r="AK125" s="339"/>
      <c r="AL125" s="337">
        <f t="shared" si="1126"/>
        <v>0</v>
      </c>
      <c r="AM125" s="339"/>
      <c r="AN125" s="267" t="str">
        <f t="shared" ref="AN125" si="1143" xml:space="preserve"> AN124</f>
        <v>Los</v>
      </c>
      <c r="AO125" s="45">
        <f>VLOOKUP(AN125,Skrogform!$1:$1048576,3,FALSE)</f>
        <v>0.97</v>
      </c>
      <c r="AP125" s="64">
        <f t="shared" ref="AP125:AZ125" si="1144">AP124</f>
        <v>8.8000000000000007</v>
      </c>
      <c r="AQ125" s="64">
        <f t="shared" si="1144"/>
        <v>7.7</v>
      </c>
      <c r="AR125" s="64">
        <f t="shared" si="1144"/>
        <v>3.15</v>
      </c>
      <c r="AS125" s="64">
        <f t="shared" si="1144"/>
        <v>1.4</v>
      </c>
      <c r="AT125" s="64">
        <f t="shared" ref="AT125" si="1145">AT124</f>
        <v>6</v>
      </c>
      <c r="AU125" s="64">
        <f t="shared" si="1144"/>
        <v>7</v>
      </c>
      <c r="AV125" s="64">
        <f t="shared" si="1144"/>
        <v>2.5</v>
      </c>
      <c r="AW125" s="64">
        <f t="shared" si="1144"/>
        <v>0</v>
      </c>
      <c r="AX125" s="256">
        <f>AX124</f>
        <v>0</v>
      </c>
      <c r="AY125" s="256">
        <f t="shared" si="1144"/>
        <v>40</v>
      </c>
      <c r="AZ125" s="256">
        <f t="shared" si="1144"/>
        <v>270</v>
      </c>
      <c r="BA125" s="256">
        <f t="shared" ref="BA125:BB125" si="1146">BA124</f>
        <v>0</v>
      </c>
      <c r="BB125" s="256">
        <f t="shared" si="1146"/>
        <v>0</v>
      </c>
      <c r="BC125" s="256"/>
      <c r="BD125" s="66"/>
      <c r="BE125" s="66"/>
      <c r="BF125" s="261"/>
      <c r="BG125" s="66"/>
      <c r="BH125" s="175"/>
      <c r="BI125" s="66"/>
      <c r="BJ125" s="66"/>
      <c r="BK125" s="65" t="str">
        <f t="shared" ref="BK125:BM125" si="1147" xml:space="preserve"> BK124</f>
        <v>Fast</v>
      </c>
      <c r="BL125" s="267">
        <f t="shared" si="1147"/>
        <v>3</v>
      </c>
      <c r="BM125" s="267">
        <f t="shared" si="1147"/>
        <v>40</v>
      </c>
      <c r="BN125" s="45">
        <f t="shared" si="991"/>
        <v>0.98301432378494424</v>
      </c>
      <c r="BO125" s="59"/>
      <c r="BP125" s="59"/>
      <c r="BR125" s="49">
        <f t="shared" si="1132"/>
        <v>0</v>
      </c>
      <c r="BS125" s="49">
        <f t="shared" si="1132"/>
        <v>0</v>
      </c>
      <c r="BT125" s="49">
        <f t="shared" si="1132"/>
        <v>0</v>
      </c>
      <c r="BU125" s="49">
        <f t="shared" si="1132"/>
        <v>10.9</v>
      </c>
      <c r="BV125" s="49">
        <f t="shared" si="1132"/>
        <v>0</v>
      </c>
      <c r="BW125" s="49">
        <f t="shared" si="1132"/>
        <v>0</v>
      </c>
      <c r="BX125" s="49">
        <f t="shared" si="1132"/>
        <v>9.1999999999999993</v>
      </c>
      <c r="BY125" s="549">
        <f>IF(COUNT(Q125:U125)&gt;1,MINA(Q125:U125)*BY$9,0)</f>
        <v>-4.5999999999999996</v>
      </c>
      <c r="BZ125" s="85">
        <f t="shared" si="1133"/>
        <v>0</v>
      </c>
      <c r="CA125" s="85">
        <f t="shared" si="1133"/>
        <v>0</v>
      </c>
      <c r="CB125" s="85">
        <f t="shared" si="1133"/>
        <v>0</v>
      </c>
      <c r="CC125" s="85">
        <f t="shared" si="1133"/>
        <v>19.5</v>
      </c>
      <c r="CD125" s="85">
        <f t="shared" si="1133"/>
        <v>0</v>
      </c>
      <c r="CE125" s="85">
        <f>IF(AC125=0,0,AC125*CE$9)</f>
        <v>0</v>
      </c>
      <c r="CF125" s="85">
        <f t="shared" si="1134"/>
        <v>0</v>
      </c>
      <c r="CG125" s="85">
        <f t="shared" si="1134"/>
        <v>0</v>
      </c>
      <c r="CH125" s="85">
        <f t="shared" si="1135"/>
        <v>0</v>
      </c>
      <c r="CI125" s="85">
        <f t="shared" si="1135"/>
        <v>0</v>
      </c>
      <c r="CJ125" s="85">
        <f t="shared" si="1135"/>
        <v>0</v>
      </c>
      <c r="CK125" s="85">
        <f t="shared" si="1135"/>
        <v>0</v>
      </c>
      <c r="CL125" s="100">
        <f>SUM(BR125:CK125)</f>
        <v>35</v>
      </c>
      <c r="CM125" s="50"/>
      <c r="CN125" s="104">
        <f>J125</f>
        <v>45.1</v>
      </c>
      <c r="CO125" s="101">
        <f>CL125/CN125</f>
        <v>0.77605321507760527</v>
      </c>
      <c r="CP125" s="51">
        <f>Seilareal/Lwl/Lwl</f>
        <v>0.76066790352504632</v>
      </c>
      <c r="CQ125" s="116">
        <f>Seilareal/Depl^0.667/K$7</f>
        <v>1.141436399290144</v>
      </c>
      <c r="CR125" s="51">
        <f>Seilareal/Lwl/Lwl/SApRS1</f>
        <v>1.1541760691027914</v>
      </c>
      <c r="CS125" s="204"/>
      <c r="CT125" s="204">
        <f>(ROUND(TBF/CT$6,3)*CT$6)*CT$4</f>
        <v>98.500000000000014</v>
      </c>
      <c r="CU125" s="107">
        <f t="shared" si="36"/>
        <v>0.98639433800099952</v>
      </c>
      <c r="CV125" s="62">
        <f t="shared" si="789"/>
        <v>3.1041374761340288</v>
      </c>
      <c r="CW125" s="62">
        <f t="shared" si="14"/>
        <v>1.6183471874253741</v>
      </c>
      <c r="CX125" s="62">
        <f t="shared" si="790"/>
        <v>1.6657993231786119</v>
      </c>
      <c r="CY125" s="107">
        <f t="shared" si="16"/>
        <v>1.013174903464094</v>
      </c>
      <c r="CZ125" s="168" t="str">
        <f t="shared" si="1112"/>
        <v>-</v>
      </c>
      <c r="DA125" s="158"/>
      <c r="DB125" s="168" t="str">
        <f t="shared" si="1113"/>
        <v>-</v>
      </c>
      <c r="DC125" s="160"/>
      <c r="DD125" s="190" t="s">
        <v>134</v>
      </c>
      <c r="DE125" s="62">
        <v>0.7</v>
      </c>
      <c r="DF125" s="62">
        <v>0.77</v>
      </c>
      <c r="DG125" s="62">
        <v>0.78</v>
      </c>
      <c r="DH125" s="150">
        <v>0.74</v>
      </c>
      <c r="DI125" s="62">
        <f t="shared" si="695"/>
        <v>2.0598098158543237</v>
      </c>
      <c r="DJ125" s="47">
        <f t="shared" si="696"/>
        <v>11.814345991561181</v>
      </c>
      <c r="DK125" s="48">
        <f t="shared" si="1114"/>
        <v>0</v>
      </c>
      <c r="DM125" s="107">
        <f t="shared" si="950"/>
        <v>0.96739386775236824</v>
      </c>
      <c r="DN125" s="141" t="str">
        <f t="shared" si="1115"/>
        <v>-</v>
      </c>
      <c r="DO125" s="107">
        <f t="shared" si="1116"/>
        <v>4.7643001871956612</v>
      </c>
      <c r="DP125" s="133">
        <f>IF(SeilBeregnet=0,DP124,(SeilBeregnet^0.5/(Depl^0.3333))^DP$3*DP$7)</f>
        <v>3.0928783991209712</v>
      </c>
      <c r="DQ125" s="133">
        <f>IF(SeilBeregnet=0,DQ124,(SeilBeregnet^0.5/Lwl)^DQ$3*DQ$7)</f>
        <v>0</v>
      </c>
      <c r="DR125" s="133">
        <f>IF(SeilBeregnet=0,DR124,(0.1*Loa/Depl^0.3333)^DR$3*DR$7)</f>
        <v>0</v>
      </c>
      <c r="DS125" s="133">
        <f>IF(SeilBeregnet=0,DS124,((Loa)/Bredde)^DS$3*DS$7)</f>
        <v>1.67142178807469</v>
      </c>
      <c r="DT125" s="107">
        <f>IF(SeilBeregnet=0,DT124,(Lwl)^DT$3)</f>
        <v>1.6657993231786119</v>
      </c>
      <c r="DU125" s="133">
        <f>IF(SeilBeregnet=0,DU124,(Dypg/Loa)^DU$3*5*DU$7)</f>
        <v>1.9943100880436639</v>
      </c>
      <c r="DW125" s="107">
        <f t="shared" si="512"/>
        <v>1.0169013793824739</v>
      </c>
      <c r="DX125" s="107">
        <f t="shared" si="699"/>
        <v>0.97978094995614551</v>
      </c>
      <c r="DZ125" s="107">
        <f t="shared" si="700"/>
        <v>0.98134103171663944</v>
      </c>
      <c r="EA125" s="122" t="str">
        <f t="shared" si="1117"/>
        <v>-</v>
      </c>
      <c r="EB125" s="107">
        <f t="shared" si="1118"/>
        <v>0.98593862167579216</v>
      </c>
      <c r="EC125" s="122" t="str">
        <f t="shared" si="1119"/>
        <v>-</v>
      </c>
      <c r="ED125" s="107">
        <f>IF(SeilBeregnet=0,ED124,SeilBeregnet^0.5/Depl^0.33333)</f>
        <v>3.0926978504869944</v>
      </c>
      <c r="EE125" s="107">
        <f>IF(SeilBeregnet=0,EE124,Lwl^0.3333)</f>
        <v>1.9745464681619453</v>
      </c>
      <c r="EF125" s="107">
        <f>IF(SeilBeregnet=0,EF124,((Loa+Lwl)/Bredde)^EF$3)</f>
        <v>1.51284121476291</v>
      </c>
      <c r="EH125" s="107">
        <f t="shared" si="1120"/>
        <v>0.98917680461296587</v>
      </c>
      <c r="EJ125" s="107">
        <f>IF(SeilBeregnet=0,EJ124,SeilBeregnet^0.5/Depl^0.33333)</f>
        <v>3.0926978504869944</v>
      </c>
      <c r="EK125" s="107">
        <f>IF(SeilBeregnet=0,EK124,Lwl^EK$3)</f>
        <v>1.9746673863959516</v>
      </c>
      <c r="EL125" s="107">
        <f>IF(SeilBeregnet=0,EL124,((Loa+Lwl)/Bredde)^EL$3)</f>
        <v>1.7366027764452827</v>
      </c>
      <c r="EM125" s="107">
        <f t="shared" si="1121"/>
        <v>0.97478323976684367</v>
      </c>
      <c r="EO125" s="107">
        <f>IF(SeilBeregnet=0,EO124,(EP125*EQ125)^EO$3)</f>
        <v>4.6787607730253855</v>
      </c>
      <c r="EP125" s="107">
        <f>IF(SeilBeregnet=0,EP124,SeilBeregnet^0.5/Depl^0.33333)</f>
        <v>3.0926978504869944</v>
      </c>
      <c r="EQ125" s="107">
        <f>IF(SeilBeregnet=0,EQ124,((Loa+Lwl)/Bredde)^EQ$3)</f>
        <v>1.51284121476291</v>
      </c>
      <c r="ER125" s="107">
        <f>IF(SeilBeregnet=0,ER124,Lwl^ER$3)</f>
        <v>1.6657993231786119</v>
      </c>
      <c r="ES125" s="107">
        <f t="shared" si="951"/>
        <v>0.97855627933591627</v>
      </c>
      <c r="EU125" s="107">
        <f>IF(SeilBeregnet=0,EU124,(EV:EV*EW:EW)^EU$3)</f>
        <v>1.7290060532984057</v>
      </c>
      <c r="EV125" s="107">
        <f>IF(SeilBeregnet=0,EV124,SeilBeregnet^0.5/Depl^0.33333)</f>
        <v>3.0926978504869944</v>
      </c>
      <c r="EW125" s="107">
        <f>IF(SeilBeregnet=0,EW124,((Loa+Lwl)/Bredde/6)^EW$3)</f>
        <v>0.96661946199231552</v>
      </c>
      <c r="EX125" s="107">
        <f>IF(SeilBeregnet=0,EX124,(Lwl*0.7+Loa*0.3)^EX$3)</f>
        <v>1.6833672989163568</v>
      </c>
      <c r="EY125" s="107">
        <f t="shared" si="952"/>
        <v>0.96208211761670814</v>
      </c>
      <c r="FA125" s="107">
        <f t="shared" si="941"/>
        <v>1.7290565213913534</v>
      </c>
      <c r="FB125" s="107">
        <f>IF(SeilBeregnet=0,FB124,SeilBeregnet^0.5/Depl^0.3333)</f>
        <v>3.0928783991209712</v>
      </c>
      <c r="FC125" s="107">
        <f>IF(SeilBeregnet=0,FC124,((Loa+Lwl)/Bredde/6)^FC$3)</f>
        <v>0.96661946199231552</v>
      </c>
      <c r="FD125" s="107">
        <f>IF(SeilBeregnet=0,FD124,(Lwl*0.7+Loa*0.3)^FD$3)</f>
        <v>1.6833672989163568</v>
      </c>
      <c r="FE125" s="107">
        <f t="shared" si="953"/>
        <v>0.95554852261773693</v>
      </c>
      <c r="FF125" s="141" t="str">
        <f t="shared" si="1122"/>
        <v>-</v>
      </c>
      <c r="FG125" s="107">
        <f t="shared" si="942"/>
        <v>2.8898407808785214</v>
      </c>
      <c r="FH125" s="133">
        <f>IF(SeilBeregnet=0,FH124,(SeilBeregnet^0.5/(Depl^0.3333))^FH$3)</f>
        <v>3.0928783991209712</v>
      </c>
      <c r="FI125" s="133">
        <f>IF(SeilBeregnet=0,FI124,((Loa+Lwl)/Bredde/6)^FI$3)</f>
        <v>0.93435318430231351</v>
      </c>
      <c r="FJ125" s="107">
        <f>IF(SeilBeregnet=0,FJ124,(Lwl*0.07+Loa*0.03)^FJ$3)</f>
        <v>0.94662699765472258</v>
      </c>
      <c r="FK125" s="107">
        <f t="shared" si="954"/>
        <v>0.98067210265169014</v>
      </c>
      <c r="FL125" s="141" t="str">
        <f t="shared" si="1123"/>
        <v>-</v>
      </c>
      <c r="FM125" s="107">
        <f t="shared" si="943"/>
        <v>5.0326222369488587</v>
      </c>
      <c r="FN125" s="133">
        <f>IF(SeilBeregnet=0,FN124,(SeilBeregnet^0.5/(Depl^0.3333))^FN$3)</f>
        <v>3.0928783991209712</v>
      </c>
      <c r="FO125" s="133">
        <f>IF(SeilBeregnet=0,FO124,(SeilBeregnet^0.5/Lwl*FO$7)^FO$3)</f>
        <v>0.76832204975319685</v>
      </c>
      <c r="FP125" s="133">
        <f>IF(SeilBeregnet=0,FP124,((Loa)/Bredde)^FP$3*FP$7)</f>
        <v>1.67142178807469</v>
      </c>
      <c r="FQ125" s="107">
        <f>IF(SeilBeregnet=0,FQ124,(Lwl)^FQ$3)</f>
        <v>1.6657993231786119</v>
      </c>
      <c r="FR125" s="107">
        <f t="shared" si="955"/>
        <v>0.96096675197382675</v>
      </c>
      <c r="FS125" s="141" t="str">
        <f t="shared" si="1124"/>
        <v>-</v>
      </c>
      <c r="FT125" s="107">
        <f t="shared" si="944"/>
        <v>5.1695043441563584</v>
      </c>
      <c r="FU125" s="133">
        <f>IF(SeilBeregnet=0,FU124,(SeilBeregnet^0.5/(Depl^0.3333))^FU$3)</f>
        <v>3.0928783991209712</v>
      </c>
      <c r="FV125" s="133">
        <f>IF(SeilBeregnet=0,FV124,(Loa/Bredde)^FV$3)</f>
        <v>1.67142178807469</v>
      </c>
      <c r="FW125" s="107">
        <f>IF(SeilBeregnet=0,FW124,Lwl^FW$3)</f>
        <v>1.6657993231786119</v>
      </c>
      <c r="FY125">
        <v>0.95</v>
      </c>
      <c r="FZ125" s="62">
        <f t="shared" si="711"/>
        <v>1.0003343615426477</v>
      </c>
      <c r="GA125" s="62">
        <f t="shared" si="712"/>
        <v>1.9943100880436639</v>
      </c>
      <c r="GB125" s="107">
        <f t="shared" si="798"/>
        <v>1.2591072636273819</v>
      </c>
      <c r="GC125" s="440"/>
      <c r="GD125" s="17"/>
      <c r="GE125" s="442"/>
      <c r="GF125" s="462"/>
      <c r="GG125" s="17"/>
      <c r="GH125" s="17"/>
      <c r="GI125" s="17"/>
      <c r="GJ125" s="17"/>
      <c r="GL125" s="17"/>
      <c r="GM125" s="442"/>
      <c r="GN125" s="8"/>
      <c r="GO125" s="8"/>
      <c r="GP125" s="8"/>
      <c r="GQ125" s="8"/>
      <c r="GS125" s="17"/>
      <c r="GT125" s="17"/>
      <c r="GU125" s="17"/>
      <c r="GV125" s="629"/>
      <c r="GW125" s="17"/>
      <c r="GX125" s="17"/>
      <c r="GY125" s="17"/>
      <c r="GZ125" s="17"/>
    </row>
    <row r="126" spans="1:208" ht="15.6" x14ac:dyDescent="0.3">
      <c r="A126" s="60" t="s">
        <v>35</v>
      </c>
      <c r="B126" s="218"/>
      <c r="C126" s="14" t="str">
        <f>C124</f>
        <v>Gaffel</v>
      </c>
      <c r="G126" s="54"/>
      <c r="H126" s="204">
        <f>TBFavrundet</f>
        <v>92.5</v>
      </c>
      <c r="I126" s="63">
        <f>COUNTA(O126:AG126)</f>
        <v>2</v>
      </c>
      <c r="J126" s="222">
        <f>SUM(O126:AG126)</f>
        <v>34.200000000000003</v>
      </c>
      <c r="K126" s="116">
        <f>Seilareal/Depl^0.667/K$7</f>
        <v>0.86556817861913371</v>
      </c>
      <c r="L126" s="116">
        <f>Seilareal/Lwl/Lwl/L$7</f>
        <v>0.87522885949701701</v>
      </c>
      <c r="M126" s="92">
        <f>RiggF</f>
        <v>0.83918128654970747</v>
      </c>
      <c r="N126" s="242">
        <f>StHfaktor</f>
        <v>1.013174903464094</v>
      </c>
      <c r="O126" s="143"/>
      <c r="P126" s="143"/>
      <c r="Q126" s="143"/>
      <c r="R126" s="143"/>
      <c r="S126" s="143"/>
      <c r="T126" s="143"/>
      <c r="U126" s="165">
        <v>9.1999999999999993</v>
      </c>
      <c r="V126" s="559"/>
      <c r="W126" s="559"/>
      <c r="X126" s="144"/>
      <c r="Y126" s="180">
        <v>25</v>
      </c>
      <c r="Z126" s="143"/>
      <c r="AA126" s="143"/>
      <c r="AB126" s="143"/>
      <c r="AC126" s="143"/>
      <c r="AD126" s="143"/>
      <c r="AE126" s="143"/>
      <c r="AF126" s="143"/>
      <c r="AG126" s="551"/>
      <c r="AH126" s="557"/>
      <c r="AI126" s="557">
        <f t="shared" ref="AI126" si="1148">AI125</f>
        <v>8.5500000000000007</v>
      </c>
      <c r="AJ126" s="337">
        <f t="shared" si="1126"/>
        <v>0</v>
      </c>
      <c r="AK126" s="339"/>
      <c r="AL126" s="337">
        <f t="shared" si="1126"/>
        <v>0</v>
      </c>
      <c r="AM126" s="339"/>
      <c r="AN126" s="267" t="str">
        <f t="shared" ref="AN126" si="1149" xml:space="preserve"> AN125</f>
        <v>Los</v>
      </c>
      <c r="AO126" s="45">
        <f>VLOOKUP(AN126,Skrogform!$1:$1048576,3,FALSE)</f>
        <v>0.97</v>
      </c>
      <c r="AP126" s="64">
        <f t="shared" ref="AP126:AZ126" si="1150">AP125</f>
        <v>8.8000000000000007</v>
      </c>
      <c r="AQ126" s="64">
        <f t="shared" si="1150"/>
        <v>7.7</v>
      </c>
      <c r="AR126" s="64">
        <f t="shared" si="1150"/>
        <v>3.15</v>
      </c>
      <c r="AS126" s="64">
        <f t="shared" si="1150"/>
        <v>1.4</v>
      </c>
      <c r="AT126" s="64">
        <f t="shared" ref="AT126" si="1151">AT125</f>
        <v>6</v>
      </c>
      <c r="AU126" s="64">
        <f t="shared" si="1150"/>
        <v>7</v>
      </c>
      <c r="AV126" s="64">
        <f t="shared" si="1150"/>
        <v>2.5</v>
      </c>
      <c r="AW126" s="64">
        <f t="shared" si="1150"/>
        <v>0</v>
      </c>
      <c r="AX126" s="256">
        <f>AX125</f>
        <v>0</v>
      </c>
      <c r="AY126" s="256">
        <f t="shared" si="1150"/>
        <v>40</v>
      </c>
      <c r="AZ126" s="256">
        <f t="shared" si="1150"/>
        <v>270</v>
      </c>
      <c r="BA126" s="256">
        <f t="shared" ref="BA126:BB126" si="1152">BA125</f>
        <v>0</v>
      </c>
      <c r="BB126" s="256">
        <f t="shared" si="1152"/>
        <v>0</v>
      </c>
      <c r="BC126" s="256"/>
      <c r="BD126" s="66"/>
      <c r="BE126" s="66"/>
      <c r="BF126" s="261"/>
      <c r="BG126" s="66"/>
      <c r="BH126" s="175"/>
      <c r="BI126" s="66"/>
      <c r="BJ126" s="66"/>
      <c r="BK126" s="65" t="str">
        <f t="shared" ref="BK126:BM126" si="1153" xml:space="preserve"> BK125</f>
        <v>Fast</v>
      </c>
      <c r="BL126" s="267">
        <f t="shared" si="1153"/>
        <v>3</v>
      </c>
      <c r="BM126" s="267">
        <f t="shared" si="1153"/>
        <v>40</v>
      </c>
      <c r="BN126" s="45">
        <f t="shared" si="991"/>
        <v>0.98301432378494424</v>
      </c>
      <c r="BO126" s="59"/>
      <c r="BP126" s="59"/>
      <c r="BR126" s="49">
        <f t="shared" si="1132"/>
        <v>0</v>
      </c>
      <c r="BS126" s="49">
        <f t="shared" si="1132"/>
        <v>0</v>
      </c>
      <c r="BT126" s="49">
        <f t="shared" si="1132"/>
        <v>0</v>
      </c>
      <c r="BU126" s="49">
        <f t="shared" si="1132"/>
        <v>0</v>
      </c>
      <c r="BV126" s="49">
        <f t="shared" si="1132"/>
        <v>0</v>
      </c>
      <c r="BW126" s="49">
        <f t="shared" si="1132"/>
        <v>0</v>
      </c>
      <c r="BX126" s="49">
        <f t="shared" si="1132"/>
        <v>9.1999999999999993</v>
      </c>
      <c r="BY126" s="549">
        <f>IF(COUNT(Q126:U126)&gt;1,MINA(Q126:U126)*BY$9,0)</f>
        <v>0</v>
      </c>
      <c r="BZ126" s="85">
        <f t="shared" si="1133"/>
        <v>0</v>
      </c>
      <c r="CA126" s="85">
        <f t="shared" si="1133"/>
        <v>0</v>
      </c>
      <c r="CB126" s="85">
        <f t="shared" si="1133"/>
        <v>0</v>
      </c>
      <c r="CC126" s="85">
        <f t="shared" si="1133"/>
        <v>19.5</v>
      </c>
      <c r="CD126" s="85">
        <f t="shared" si="1133"/>
        <v>0</v>
      </c>
      <c r="CE126" s="85">
        <f>IF(AC126=0,0,AC126*CE$9)</f>
        <v>0</v>
      </c>
      <c r="CF126" s="85">
        <f t="shared" si="1134"/>
        <v>0</v>
      </c>
      <c r="CG126" s="85">
        <f t="shared" si="1134"/>
        <v>0</v>
      </c>
      <c r="CH126" s="85">
        <f t="shared" si="1135"/>
        <v>0</v>
      </c>
      <c r="CI126" s="85">
        <f t="shared" si="1135"/>
        <v>0</v>
      </c>
      <c r="CJ126" s="85">
        <f t="shared" si="1135"/>
        <v>0</v>
      </c>
      <c r="CK126" s="85">
        <f t="shared" si="1135"/>
        <v>0</v>
      </c>
      <c r="CL126" s="100">
        <f>SUM(BR126:CK126)</f>
        <v>28.7</v>
      </c>
      <c r="CM126" s="50"/>
      <c r="CN126" s="104">
        <f>J126</f>
        <v>34.200000000000003</v>
      </c>
      <c r="CO126" s="101">
        <f>CL126/CN126</f>
        <v>0.83918128654970747</v>
      </c>
      <c r="CP126" s="51">
        <f>Seilareal/Lwl/Lwl</f>
        <v>0.57682577163096649</v>
      </c>
      <c r="CQ126" s="116">
        <f>Seilareal/Depl^0.667/K$7</f>
        <v>0.86556817861913371</v>
      </c>
      <c r="CR126" s="51">
        <f>Seilareal/Lwl/Lwl/SApRS1</f>
        <v>0.87522885949701701</v>
      </c>
      <c r="CS126" s="204"/>
      <c r="CT126" s="204">
        <f>(ROUND(TBF/CT$6,3)*CT$6)*CT$4</f>
        <v>92.5</v>
      </c>
      <c r="CU126" s="107">
        <f t="shared" si="36"/>
        <v>0.92514861924628655</v>
      </c>
      <c r="CV126" s="62">
        <f t="shared" si="789"/>
        <v>2.810916036811947</v>
      </c>
      <c r="CW126" s="62">
        <f t="shared" si="14"/>
        <v>1.6183471874253741</v>
      </c>
      <c r="CX126" s="62">
        <f t="shared" si="790"/>
        <v>1.6657993231786119</v>
      </c>
      <c r="CY126" s="107">
        <f t="shared" si="16"/>
        <v>1.013174903464094</v>
      </c>
      <c r="CZ126" s="168" t="str">
        <f t="shared" si="1112"/>
        <v>-</v>
      </c>
      <c r="DA126" s="158"/>
      <c r="DB126" s="168" t="str">
        <f t="shared" si="1113"/>
        <v>-</v>
      </c>
      <c r="DC126" s="160"/>
      <c r="DD126" s="190" t="s">
        <v>134</v>
      </c>
      <c r="DE126" s="62">
        <v>0.63</v>
      </c>
      <c r="DF126" s="62">
        <v>0.73</v>
      </c>
      <c r="DG126" s="62">
        <v>0.71</v>
      </c>
      <c r="DH126" s="150" t="s">
        <v>102</v>
      </c>
      <c r="DI126" s="62">
        <f t="shared" si="695"/>
        <v>2.0598098158543237</v>
      </c>
      <c r="DJ126" s="47">
        <f t="shared" si="696"/>
        <v>11.814345991561181</v>
      </c>
      <c r="DK126" s="48">
        <f t="shared" si="1114"/>
        <v>0</v>
      </c>
      <c r="DM126" s="107">
        <f t="shared" si="950"/>
        <v>0.90807104167820141</v>
      </c>
      <c r="DN126" s="141" t="str">
        <f t="shared" si="1115"/>
        <v>-</v>
      </c>
      <c r="DO126" s="107">
        <f t="shared" si="1116"/>
        <v>4.4721422970213194</v>
      </c>
      <c r="DP126" s="133">
        <f>IF(SeilBeregnet=0,DP125,(SeilBeregnet^0.5/(Depl^0.3333))^DP$3*DP$7)</f>
        <v>2.8007205089466289</v>
      </c>
      <c r="DQ126" s="133">
        <f>IF(SeilBeregnet=0,DQ125,(SeilBeregnet^0.5/Lwl)^DQ$3*DQ$7)</f>
        <v>0</v>
      </c>
      <c r="DR126" s="133">
        <f>IF(SeilBeregnet=0,DR125,(0.1*Loa/Depl^0.3333)^DR$3*DR$7)</f>
        <v>0</v>
      </c>
      <c r="DS126" s="133">
        <f>IF(SeilBeregnet=0,DS125,((Loa)/Bredde)^DS$3*DS$7)</f>
        <v>1.67142178807469</v>
      </c>
      <c r="DT126" s="107">
        <f>IF(SeilBeregnet=0,DT125,(Lwl)^DT$3)</f>
        <v>1.6657993231786119</v>
      </c>
      <c r="DU126" s="133">
        <f>IF(SeilBeregnet=0,DU125,(Dypg/Loa)^DU$3*5*DU$7)</f>
        <v>1.9943100880436639</v>
      </c>
      <c r="DW126" s="107">
        <f t="shared" si="512"/>
        <v>0.95376146314050148</v>
      </c>
      <c r="DX126" s="107">
        <f t="shared" si="699"/>
        <v>0.91030280396389451</v>
      </c>
      <c r="DZ126" s="107">
        <f t="shared" si="700"/>
        <v>0.92770508463227097</v>
      </c>
      <c r="EA126" s="122" t="str">
        <f t="shared" si="1117"/>
        <v>-</v>
      </c>
      <c r="EB126" s="107">
        <f t="shared" si="1118"/>
        <v>0.91924385698142952</v>
      </c>
      <c r="EC126" s="122" t="str">
        <f t="shared" si="1119"/>
        <v>-</v>
      </c>
      <c r="ED126" s="107">
        <f>IF(SeilBeregnet=0,ED125,SeilBeregnet^0.5/Depl^0.33333)</f>
        <v>2.8005570152049462</v>
      </c>
      <c r="EE126" s="107">
        <f>IF(SeilBeregnet=0,EE125,Lwl^0.3333)</f>
        <v>1.9745464681619453</v>
      </c>
      <c r="EF126" s="107">
        <f>IF(SeilBeregnet=0,EF125,((Loa+Lwl)/Bredde)^EF$3)</f>
        <v>1.51284121476291</v>
      </c>
      <c r="EH126" s="107">
        <f t="shared" si="1120"/>
        <v>0.92986991801373842</v>
      </c>
      <c r="EJ126" s="107">
        <f>IF(SeilBeregnet=0,EJ125,SeilBeregnet^0.5/Depl^0.33333)</f>
        <v>2.8005570152049462</v>
      </c>
      <c r="EK126" s="107">
        <f>IF(SeilBeregnet=0,EK125,Lwl^EK$3)</f>
        <v>1.9746673863959516</v>
      </c>
      <c r="EL126" s="107">
        <f>IF(SeilBeregnet=0,EL125,((Loa+Lwl)/Bredde)^EL$3)</f>
        <v>1.7366027764452827</v>
      </c>
      <c r="EM126" s="107">
        <f t="shared" si="1121"/>
        <v>0.91027758618367438</v>
      </c>
      <c r="EO126" s="107">
        <f>IF(SeilBeregnet=0,EO125,(EP126*EQ126)^EO$3)</f>
        <v>4.2367980768954405</v>
      </c>
      <c r="EP126" s="107">
        <f>IF(SeilBeregnet=0,EP125,SeilBeregnet^0.5/Depl^0.33333)</f>
        <v>2.8005570152049462</v>
      </c>
      <c r="EQ126" s="107">
        <f>IF(SeilBeregnet=0,EQ125,((Loa+Lwl)/Bredde)^EQ$3)</f>
        <v>1.51284121476291</v>
      </c>
      <c r="ER126" s="107">
        <f>IF(SeilBeregnet=0,ER125,Lwl^ER$3)</f>
        <v>1.6657993231786119</v>
      </c>
      <c r="ES126" s="107">
        <f t="shared" si="951"/>
        <v>0.9119227621402245</v>
      </c>
      <c r="EU126" s="107">
        <f>IF(SeilBeregnet=0,EU125,(EV:EV*EW:EW)^EU$3)</f>
        <v>1.6453184844631783</v>
      </c>
      <c r="EV126" s="107">
        <f>IF(SeilBeregnet=0,EV125,SeilBeregnet^0.5/Depl^0.33333)</f>
        <v>2.8005570152049462</v>
      </c>
      <c r="EW126" s="107">
        <f>IF(SeilBeregnet=0,EW125,((Loa+Lwl)/Bredde/6)^EW$3)</f>
        <v>0.96661946199231552</v>
      </c>
      <c r="EX126" s="107">
        <f>IF(SeilBeregnet=0,EX125,(Lwl*0.7+Loa*0.3)^EX$3)</f>
        <v>1.6833672989163568</v>
      </c>
      <c r="EY126" s="107">
        <f t="shared" si="952"/>
        <v>0.91551529774375662</v>
      </c>
      <c r="FA126" s="107">
        <f t="shared" si="941"/>
        <v>1.6453665097931325</v>
      </c>
      <c r="FB126" s="107">
        <f>IF(SeilBeregnet=0,FB125,SeilBeregnet^0.5/Depl^0.3333)</f>
        <v>2.8007205089466289</v>
      </c>
      <c r="FC126" s="107">
        <f>IF(SeilBeregnet=0,FC125,((Loa+Lwl)/Bredde/6)^FC$3)</f>
        <v>0.96661946199231552</v>
      </c>
      <c r="FD126" s="107">
        <f>IF(SeilBeregnet=0,FD125,(Lwl*0.7+Loa*0.3)^FD$3)</f>
        <v>1.6833672989163568</v>
      </c>
      <c r="FE126" s="107">
        <f t="shared" si="953"/>
        <v>0.90220438276051795</v>
      </c>
      <c r="FF126" s="141" t="str">
        <f t="shared" si="1122"/>
        <v>-</v>
      </c>
      <c r="FG126" s="107">
        <f t="shared" si="942"/>
        <v>2.616862125875079</v>
      </c>
      <c r="FH126" s="133">
        <f>IF(SeilBeregnet=0,FH125,(SeilBeregnet^0.5/(Depl^0.3333))^FH$3)</f>
        <v>2.8007205089466289</v>
      </c>
      <c r="FI126" s="133">
        <f>IF(SeilBeregnet=0,FI125,((Loa+Lwl)/Bredde/6)^FI$3)</f>
        <v>0.93435318430231351</v>
      </c>
      <c r="FJ126" s="107">
        <f>IF(SeilBeregnet=0,FJ125,(Lwl*0.07+Loa*0.03)^FJ$3)</f>
        <v>0.94662699765472258</v>
      </c>
      <c r="FK126" s="107">
        <f t="shared" si="954"/>
        <v>0.90959878132002492</v>
      </c>
      <c r="FL126" s="141" t="str">
        <f t="shared" si="1123"/>
        <v>-</v>
      </c>
      <c r="FM126" s="107">
        <f t="shared" si="943"/>
        <v>4.6678875040851562</v>
      </c>
      <c r="FN126" s="133">
        <f>IF(SeilBeregnet=0,FN125,(SeilBeregnet^0.5/(Depl^0.3333))^FN$3)</f>
        <v>2.8007205089466289</v>
      </c>
      <c r="FO126" s="133">
        <f>IF(SeilBeregnet=0,FO125,(SeilBeregnet^0.5/Lwl*FO$7)^FO$3)</f>
        <v>0.69574520706383758</v>
      </c>
      <c r="FP126" s="133">
        <f>IF(SeilBeregnet=0,FP125,((Loa)/Bredde)^FP$3*FP$7)</f>
        <v>1.67142178807469</v>
      </c>
      <c r="FQ126" s="107">
        <f>IF(SeilBeregnet=0,FQ125,(Lwl)^FQ$3)</f>
        <v>1.6657993231786119</v>
      </c>
      <c r="FR126" s="107">
        <f t="shared" si="955"/>
        <v>0.90979077053871571</v>
      </c>
      <c r="FS126" s="141" t="str">
        <f t="shared" si="1124"/>
        <v>-</v>
      </c>
      <c r="FT126" s="107">
        <f t="shared" si="944"/>
        <v>4.6811852809610306</v>
      </c>
      <c r="FU126" s="133">
        <f>IF(SeilBeregnet=0,FU125,(SeilBeregnet^0.5/(Depl^0.3333))^FU$3)</f>
        <v>2.8007205089466289</v>
      </c>
      <c r="FV126" s="133">
        <f>IF(SeilBeregnet=0,FV125,(Loa/Bredde)^FV$3)</f>
        <v>1.67142178807469</v>
      </c>
      <c r="FW126" s="107">
        <f>IF(SeilBeregnet=0,FW125,Lwl^FW$3)</f>
        <v>1.6657993231786119</v>
      </c>
      <c r="FY126">
        <v>0.95</v>
      </c>
      <c r="FZ126" s="62">
        <f t="shared" si="711"/>
        <v>0.95709391966183255</v>
      </c>
      <c r="GA126" s="62">
        <f t="shared" si="712"/>
        <v>1.9943100880436639</v>
      </c>
      <c r="GB126" s="107">
        <f t="shared" si="798"/>
        <v>1.2181432734488382</v>
      </c>
      <c r="GC126" s="440"/>
      <c r="GD126" s="17"/>
      <c r="GE126" s="442"/>
      <c r="GF126" s="462"/>
      <c r="GG126" s="17"/>
      <c r="GH126" s="17"/>
      <c r="GI126" s="17"/>
      <c r="GJ126" s="17"/>
      <c r="GL126" s="17"/>
      <c r="GM126" s="442"/>
      <c r="GN126" s="8"/>
      <c r="GO126" s="8"/>
      <c r="GP126" s="8"/>
      <c r="GQ126" s="8"/>
      <c r="GS126" s="17"/>
      <c r="GT126" s="17"/>
      <c r="GU126" s="17"/>
      <c r="GV126" s="629"/>
      <c r="GW126" s="17"/>
      <c r="GX126" s="17"/>
      <c r="GY126" s="17"/>
      <c r="GZ126" s="17"/>
    </row>
    <row r="127" spans="1:208" ht="15.6" x14ac:dyDescent="0.3">
      <c r="A127" s="52" t="s">
        <v>622</v>
      </c>
      <c r="B127" s="218">
        <f t="shared" si="10"/>
        <v>21.8503937007874</v>
      </c>
      <c r="C127" s="53" t="s">
        <v>623</v>
      </c>
      <c r="D127" s="53"/>
      <c r="E127" s="53"/>
      <c r="F127" s="53"/>
      <c r="G127" s="54"/>
      <c r="H127" s="112">
        <f>J128</f>
        <v>32.5</v>
      </c>
      <c r="I127" s="601">
        <f>H128/100</f>
        <v>1.03</v>
      </c>
      <c r="J127" s="651">
        <f>IF(DC128=0,"-",DC128)</f>
        <v>1.02</v>
      </c>
      <c r="K127" s="123" t="str">
        <f>A127</f>
        <v>Jeløen</v>
      </c>
      <c r="L127" s="116"/>
      <c r="M127" s="116"/>
      <c r="N127" s="92"/>
      <c r="O127" s="165"/>
      <c r="P127" s="165"/>
      <c r="Q127" s="165"/>
      <c r="R127" s="165">
        <v>7</v>
      </c>
      <c r="S127" s="165"/>
      <c r="T127" s="165"/>
      <c r="U127" s="165">
        <v>7</v>
      </c>
      <c r="V127" s="559"/>
      <c r="W127" s="559"/>
      <c r="X127" s="165">
        <v>14</v>
      </c>
      <c r="Y127" s="177">
        <f>StorS-StorS/6</f>
        <v>11.666666666666666</v>
      </c>
      <c r="Z127" s="165"/>
      <c r="AA127" s="165">
        <v>4.5</v>
      </c>
      <c r="AB127" s="165"/>
      <c r="AC127" s="165"/>
      <c r="AD127" s="165"/>
      <c r="AE127" s="165"/>
      <c r="AF127" s="165"/>
      <c r="AG127" s="552"/>
      <c r="AH127" s="244"/>
      <c r="AI127" s="244">
        <v>5.9</v>
      </c>
      <c r="AJ127" s="554"/>
      <c r="AK127" s="339"/>
      <c r="AL127" s="268"/>
      <c r="AM127" s="339"/>
      <c r="AN127" s="268" t="s">
        <v>203</v>
      </c>
      <c r="AO127" s="45">
        <f>VLOOKUP(AN127,Skrogform!$1:$1048576,3,FALSE)</f>
        <v>0.97</v>
      </c>
      <c r="AP127" s="55">
        <v>6.66</v>
      </c>
      <c r="AQ127" s="55">
        <v>6</v>
      </c>
      <c r="AR127" s="55">
        <v>1.92</v>
      </c>
      <c r="AS127" s="55">
        <v>1.3</v>
      </c>
      <c r="AT127" s="637">
        <v>2.56</v>
      </c>
      <c r="AU127" s="55">
        <v>2.56</v>
      </c>
      <c r="AV127" s="55">
        <v>0.9</v>
      </c>
      <c r="AW127" s="55">
        <v>0.26</v>
      </c>
      <c r="AX127" s="253"/>
      <c r="AY127" s="253">
        <v>10</v>
      </c>
      <c r="AZ127" s="254">
        <f>AY127*7</f>
        <v>70</v>
      </c>
      <c r="BA127" s="253"/>
      <c r="BB127" s="253"/>
      <c r="BC127" s="244">
        <f>Depl+Diesel/1000*0.84+Vann/1000</f>
        <v>2.56</v>
      </c>
      <c r="BD127" s="95">
        <f>Bredde/(Loa+Lwl)*2</f>
        <v>0.30331753554502366</v>
      </c>
      <c r="BE127" s="95">
        <f>(Kjøl+Ballast)/Depl</f>
        <v>0.45312500000000006</v>
      </c>
      <c r="BF127" s="260">
        <f>BF$7*((Depl-Kjøl-Ballast-VektMotor/1000-VektAnnet/1000)/Lwl/Lwl/Bredde)</f>
        <v>0.72615199563746446</v>
      </c>
      <c r="BG127" s="95">
        <f>BG$7*(Depl/Loa/Lwl/Lwl)</f>
        <v>0.78573748148148148</v>
      </c>
      <c r="BH127" s="174">
        <f>BH$7*(Depl/Loa/Lwl/Bredde)</f>
        <v>0.90761111111111126</v>
      </c>
      <c r="BI127" s="95">
        <f>BI$7*Bredde/(Loa+Lwl)*2</f>
        <v>0.86527034602252451</v>
      </c>
      <c r="BJ127" s="95">
        <f>BJ$7*(Dypg/Lwl)</f>
        <v>1.185072463768116</v>
      </c>
      <c r="BK127" s="56" t="s">
        <v>21</v>
      </c>
      <c r="BL127" s="268">
        <v>3</v>
      </c>
      <c r="BM127" s="268">
        <v>33</v>
      </c>
      <c r="BN127" s="45">
        <f t="shared" si="991"/>
        <v>1</v>
      </c>
      <c r="BO127" s="46">
        <v>-0.02</v>
      </c>
      <c r="BP127" s="59"/>
      <c r="BR127" s="209"/>
      <c r="BS127" s="209"/>
      <c r="BT127" s="209" t="str">
        <f>$A127</f>
        <v>Jeløen</v>
      </c>
      <c r="BU127" s="10"/>
      <c r="BV127" s="10"/>
      <c r="BW127" s="10"/>
      <c r="BX127" s="10"/>
      <c r="BY127" s="549"/>
      <c r="BZ127" s="10"/>
      <c r="CA127" s="10"/>
      <c r="CB127" s="209" t="str">
        <f>$A127</f>
        <v>Jeløen</v>
      </c>
      <c r="CC127" s="10"/>
      <c r="CD127" s="10"/>
      <c r="CE127" s="10"/>
      <c r="CF127" s="10"/>
      <c r="CG127" s="10"/>
      <c r="CH127" s="10"/>
      <c r="CI127" s="10"/>
      <c r="CJ127" s="10"/>
      <c r="CK127" s="10"/>
      <c r="CL127" s="209"/>
      <c r="CM127" s="10"/>
      <c r="CN127" s="209" t="str">
        <f>$A127</f>
        <v>Jeløen</v>
      </c>
      <c r="CO127" s="207"/>
      <c r="CP127" s="207"/>
      <c r="CQ127" s="116"/>
      <c r="CR127" s="207"/>
      <c r="CS127" s="203"/>
      <c r="CT127" s="203" t="s">
        <v>23</v>
      </c>
      <c r="CU127" s="107" t="str">
        <f t="shared" si="36"/>
        <v>-</v>
      </c>
      <c r="CV127" s="62" t="str">
        <f t="shared" si="789"/>
        <v>-</v>
      </c>
      <c r="CW127" s="62" t="str">
        <f t="shared" si="14"/>
        <v>-</v>
      </c>
      <c r="CX127" s="62" t="str">
        <f t="shared" si="790"/>
        <v>-</v>
      </c>
      <c r="CY127" s="107" t="str">
        <f t="shared" si="16"/>
        <v>-</v>
      </c>
      <c r="CZ127" s="168">
        <f t="shared" si="1112"/>
        <v>0.98517647058823532</v>
      </c>
      <c r="DA127" s="158">
        <v>0.79</v>
      </c>
      <c r="DB127" s="168" t="str">
        <f t="shared" si="1113"/>
        <v>-</v>
      </c>
      <c r="DC127" s="160">
        <v>1.02</v>
      </c>
      <c r="DD127" s="190" t="s">
        <v>134</v>
      </c>
      <c r="DE127" s="29" t="s">
        <v>23</v>
      </c>
      <c r="DF127" s="29" t="s">
        <v>23</v>
      </c>
      <c r="DG127" s="29" t="s">
        <v>23</v>
      </c>
      <c r="DH127" s="149">
        <v>2022</v>
      </c>
      <c r="DI127" s="62" t="str">
        <f t="shared" si="695"/>
        <v>-</v>
      </c>
      <c r="DJ127" s="47">
        <f t="shared" si="696"/>
        <v>14.573991031390134</v>
      </c>
      <c r="DK127" s="48">
        <f t="shared" si="1114"/>
        <v>0</v>
      </c>
      <c r="DM127" s="107" t="str">
        <f t="shared" si="950"/>
        <v>-</v>
      </c>
      <c r="DN127" s="141" t="str">
        <f t="shared" si="1115"/>
        <v>-</v>
      </c>
      <c r="DO127" s="107" t="e">
        <f t="shared" si="1116"/>
        <v>#REF!</v>
      </c>
      <c r="DP127" s="133" t="e">
        <f>IF(SeilBeregnet=0,#REF!,(SeilBeregnet^0.5/(Depl^0.3333))^DP$3*DP$7)</f>
        <v>#REF!</v>
      </c>
      <c r="DQ127" s="133" t="e">
        <f>IF(SeilBeregnet=0,#REF!,(SeilBeregnet^0.5/Lwl)^DQ$3*DQ$7)</f>
        <v>#REF!</v>
      </c>
      <c r="DR127" s="133" t="e">
        <f>IF(SeilBeregnet=0,#REF!,(0.1*Loa/Depl^0.3333)^DR$3*DR$7)</f>
        <v>#REF!</v>
      </c>
      <c r="DS127" s="133" t="e">
        <f>IF(SeilBeregnet=0,#REF!,((Loa)/Bredde)^DS$3*DS$7)</f>
        <v>#REF!</v>
      </c>
      <c r="DT127" s="107" t="e">
        <f>IF(SeilBeregnet=0,#REF!,(Lwl)^DT$3)</f>
        <v>#REF!</v>
      </c>
      <c r="DU127" s="133" t="e">
        <f>IF(SeilBeregnet=0,#REF!,(Dypg/Loa)^DU$3*5*DU$7)</f>
        <v>#REF!</v>
      </c>
      <c r="DW127" s="107" t="str">
        <f t="shared" si="417"/>
        <v>-</v>
      </c>
      <c r="DX127" s="107" t="str">
        <f t="shared" si="699"/>
        <v>-</v>
      </c>
      <c r="DZ127" s="107" t="str">
        <f t="shared" si="700"/>
        <v>-</v>
      </c>
      <c r="EA127" s="122" t="str">
        <f t="shared" si="1117"/>
        <v>-</v>
      </c>
      <c r="EB127" s="107" t="str">
        <f t="shared" si="1118"/>
        <v>-</v>
      </c>
      <c r="EC127" s="122" t="str">
        <f t="shared" si="1119"/>
        <v>-</v>
      </c>
      <c r="ED127" s="107" t="e">
        <f>IF(SeilBeregnet=0,#REF!,SeilBeregnet^0.5/Depl^0.33333)</f>
        <v>#REF!</v>
      </c>
      <c r="EE127" s="107" t="e">
        <f>IF(SeilBeregnet=0,#REF!,Lwl^0.3333)</f>
        <v>#REF!</v>
      </c>
      <c r="EF127" s="107" t="e">
        <f>IF(SeilBeregnet=0,#REF!,((Loa+Lwl)/Bredde)^EF$3)</f>
        <v>#REF!</v>
      </c>
      <c r="EH127" s="107" t="str">
        <f t="shared" si="1120"/>
        <v>-</v>
      </c>
      <c r="EJ127" s="107" t="e">
        <f>IF(SeilBeregnet=0,#REF!,SeilBeregnet^0.5/Depl^0.33333)</f>
        <v>#REF!</v>
      </c>
      <c r="EK127" s="107" t="e">
        <f>IF(SeilBeregnet=0,#REF!,Lwl^EK$3)</f>
        <v>#REF!</v>
      </c>
      <c r="EL127" s="107" t="e">
        <f>IF(SeilBeregnet=0,#REF!,((Loa+Lwl)/Bredde)^EL$3)</f>
        <v>#REF!</v>
      </c>
      <c r="EM127" s="107" t="str">
        <f t="shared" si="1121"/>
        <v>-</v>
      </c>
      <c r="EO127" s="107" t="e">
        <f>IF(SeilBeregnet=0,#REF!,(EP127*EQ127)^EO$3)</f>
        <v>#REF!</v>
      </c>
      <c r="EP127" s="107" t="e">
        <f>IF(SeilBeregnet=0,#REF!,SeilBeregnet^0.5/Depl^0.33333)</f>
        <v>#REF!</v>
      </c>
      <c r="EQ127" s="107" t="e">
        <f>IF(SeilBeregnet=0,#REF!,((Loa+Lwl)/Bredde)^EQ$3)</f>
        <v>#REF!</v>
      </c>
      <c r="ER127" s="107" t="e">
        <f>IF(SeilBeregnet=0,#REF!,Lwl^ER$3)</f>
        <v>#REF!</v>
      </c>
      <c r="ES127" s="107" t="str">
        <f t="shared" si="951"/>
        <v>-</v>
      </c>
      <c r="EU127" s="107" t="e">
        <f>IF(SeilBeregnet=0,#REF!,(EV:EV*EW:EW)^EU$3)</f>
        <v>#REF!</v>
      </c>
      <c r="EV127" s="107" t="e">
        <f>IF(SeilBeregnet=0,#REF!,SeilBeregnet^0.5/Depl^0.33333)</f>
        <v>#REF!</v>
      </c>
      <c r="EW127" s="107" t="e">
        <f>IF(SeilBeregnet=0,#REF!,((Loa+Lwl)/Bredde/6)^EW$3)</f>
        <v>#REF!</v>
      </c>
      <c r="EX127" s="107" t="e">
        <f>IF(SeilBeregnet=0,#REF!,(Lwl*0.7+Loa*0.3)^EX$3)</f>
        <v>#REF!</v>
      </c>
      <c r="EY127" s="107" t="str">
        <f t="shared" si="952"/>
        <v>-</v>
      </c>
      <c r="FA127" s="107" t="e">
        <f t="shared" si="941"/>
        <v>#REF!</v>
      </c>
      <c r="FB127" s="107" t="e">
        <f>IF(SeilBeregnet=0,#REF!,SeilBeregnet^0.5/Depl^0.3333)</f>
        <v>#REF!</v>
      </c>
      <c r="FC127" s="107" t="e">
        <f>IF(SeilBeregnet=0,#REF!,((Loa+Lwl)/Bredde/6)^FC$3)</f>
        <v>#REF!</v>
      </c>
      <c r="FD127" s="107" t="e">
        <f>IF(SeilBeregnet=0,#REF!,(Lwl*0.7+Loa*0.3)^FD$3)</f>
        <v>#REF!</v>
      </c>
      <c r="FE127" s="107" t="str">
        <f t="shared" si="953"/>
        <v>-</v>
      </c>
      <c r="FF127" s="141" t="str">
        <f t="shared" si="1122"/>
        <v>-</v>
      </c>
      <c r="FG127" s="107" t="e">
        <f t="shared" si="942"/>
        <v>#REF!</v>
      </c>
      <c r="FH127" s="133" t="e">
        <f>IF(SeilBeregnet=0,#REF!,(SeilBeregnet^0.5/(Depl^0.3333))^FH$3)</f>
        <v>#REF!</v>
      </c>
      <c r="FI127" s="133" t="e">
        <f>IF(SeilBeregnet=0,#REF!,((Loa+Lwl)/Bredde/6)^FI$3)</f>
        <v>#REF!</v>
      </c>
      <c r="FJ127" s="107" t="e">
        <f>IF(SeilBeregnet=0,#REF!,(Lwl*0.07+Loa*0.03)^FJ$3)</f>
        <v>#REF!</v>
      </c>
      <c r="FK127" s="107" t="str">
        <f t="shared" si="954"/>
        <v>-</v>
      </c>
      <c r="FL127" s="141" t="str">
        <f t="shared" si="1123"/>
        <v>-</v>
      </c>
      <c r="FM127" s="107" t="e">
        <f t="shared" si="943"/>
        <v>#REF!</v>
      </c>
      <c r="FN127" s="133" t="e">
        <f>IF(SeilBeregnet=0,#REF!,(SeilBeregnet^0.5/(Depl^0.3333))^FN$3)</f>
        <v>#REF!</v>
      </c>
      <c r="FO127" s="133" t="e">
        <f>IF(SeilBeregnet=0,#REF!,(SeilBeregnet^0.5/Lwl*FO$7)^FO$3)</f>
        <v>#REF!</v>
      </c>
      <c r="FP127" s="133" t="e">
        <f>IF(SeilBeregnet=0,#REF!,((Loa)/Bredde)^FP$3*FP$7)</f>
        <v>#REF!</v>
      </c>
      <c r="FQ127" s="107" t="e">
        <f>IF(SeilBeregnet=0,#REF!,(Lwl)^FQ$3)</f>
        <v>#REF!</v>
      </c>
      <c r="FR127" s="107" t="str">
        <f t="shared" si="955"/>
        <v>-</v>
      </c>
      <c r="FS127" s="141" t="str">
        <f t="shared" si="1124"/>
        <v>-</v>
      </c>
      <c r="FT127" s="107" t="e">
        <f t="shared" si="944"/>
        <v>#REF!</v>
      </c>
      <c r="FU127" s="133" t="e">
        <f>IF(SeilBeregnet=0,#REF!,(SeilBeregnet^0.5/(Depl^0.3333))^FU$3)</f>
        <v>#REF!</v>
      </c>
      <c r="FV127" s="133" t="e">
        <f>IF(SeilBeregnet=0,#REF!,(Loa/Bredde)^FV$3)</f>
        <v>#REF!</v>
      </c>
      <c r="FW127" s="107" t="e">
        <f>IF(SeilBeregnet=0,#REF!,Lwl^FW$3)</f>
        <v>#REF!</v>
      </c>
      <c r="FX127" s="126">
        <v>1.02</v>
      </c>
      <c r="FY127">
        <v>0.95</v>
      </c>
      <c r="FZ127" s="62" t="str">
        <f t="shared" si="711"/>
        <v>-</v>
      </c>
      <c r="GA127" s="62">
        <f t="shared" si="712"/>
        <v>2.2090450153584196</v>
      </c>
      <c r="GB127" s="107" t="str">
        <f t="shared" si="798"/>
        <v>-</v>
      </c>
      <c r="GC127" s="441">
        <v>4</v>
      </c>
      <c r="GD127" s="57" t="s">
        <v>624</v>
      </c>
      <c r="GE127" s="436" t="s">
        <v>631</v>
      </c>
      <c r="GF127" s="75"/>
      <c r="GG127" s="57" t="s">
        <v>632</v>
      </c>
      <c r="GH127" s="57" t="s">
        <v>625</v>
      </c>
      <c r="GI127" s="57" t="s">
        <v>416</v>
      </c>
      <c r="GJ127" s="57" t="s">
        <v>456</v>
      </c>
      <c r="GL127" s="57" t="s">
        <v>478</v>
      </c>
      <c r="GM127" s="436" t="s">
        <v>478</v>
      </c>
      <c r="GN127" s="58" t="s">
        <v>478</v>
      </c>
      <c r="GO127" s="58" t="s">
        <v>478</v>
      </c>
      <c r="GP127" s="58" t="s">
        <v>478</v>
      </c>
      <c r="GQ127" s="58" t="s">
        <v>478</v>
      </c>
      <c r="GS127" s="57" t="s">
        <v>207</v>
      </c>
      <c r="GT127" s="57" t="s">
        <v>626</v>
      </c>
      <c r="GU127" s="57" t="s">
        <v>627</v>
      </c>
      <c r="GV127" s="632" t="s">
        <v>456</v>
      </c>
      <c r="GW127" s="57">
        <v>1915</v>
      </c>
      <c r="GX127" s="57" t="s">
        <v>468</v>
      </c>
      <c r="GY127" s="57" t="s">
        <v>438</v>
      </c>
      <c r="GZ127" s="57" t="s">
        <v>478</v>
      </c>
    </row>
    <row r="128" spans="1:208" ht="15.6" x14ac:dyDescent="0.3">
      <c r="A128" s="60" t="s">
        <v>28</v>
      </c>
      <c r="B128" s="218"/>
      <c r="C128" s="61" t="str">
        <f>C127</f>
        <v>SPRI</v>
      </c>
      <c r="D128" s="61"/>
      <c r="E128" s="61"/>
      <c r="F128" s="61"/>
      <c r="G128" s="54"/>
      <c r="H128" s="204">
        <f>TBFavrundet</f>
        <v>103</v>
      </c>
      <c r="I128" s="63">
        <f>COUNTA(O128:AG128)</f>
        <v>4</v>
      </c>
      <c r="J128" s="222">
        <f>SUM(O128:AG128)</f>
        <v>32.5</v>
      </c>
      <c r="K128" s="116">
        <f>Seilareal/Depl^0.667/K$7</f>
        <v>1.608951202140954</v>
      </c>
      <c r="L128" s="116">
        <f>Seilareal/Lwl/Lwl/L$7</f>
        <v>1.3698021199531265</v>
      </c>
      <c r="M128" s="92">
        <f>RiggF</f>
        <v>0.72307692307692317</v>
      </c>
      <c r="N128" s="242">
        <f>StHfaktor</f>
        <v>0.99790131553475481</v>
      </c>
      <c r="O128" s="143"/>
      <c r="P128" s="143"/>
      <c r="Q128" s="143"/>
      <c r="R128" s="165">
        <v>7</v>
      </c>
      <c r="S128" s="143"/>
      <c r="T128" s="143"/>
      <c r="U128" s="165">
        <v>7</v>
      </c>
      <c r="V128" s="559"/>
      <c r="W128" s="559"/>
      <c r="X128" s="165">
        <v>14</v>
      </c>
      <c r="Y128" s="143"/>
      <c r="Z128" s="143"/>
      <c r="AA128" s="165">
        <v>4.5</v>
      </c>
      <c r="AB128" s="143"/>
      <c r="AC128" s="143"/>
      <c r="AD128" s="143"/>
      <c r="AE128" s="143"/>
      <c r="AF128" s="143"/>
      <c r="AG128" s="551"/>
      <c r="AH128" s="557"/>
      <c r="AI128" s="557">
        <f t="shared" ref="AI128:AI131" si="1154">AI127</f>
        <v>5.9</v>
      </c>
      <c r="AJ128" s="337">
        <f t="shared" ref="AJ128" si="1155" xml:space="preserve"> AJ127</f>
        <v>0</v>
      </c>
      <c r="AK128" s="339"/>
      <c r="AL128" s="337">
        <f t="shared" ref="AL128" si="1156" xml:space="preserve"> AL127</f>
        <v>0</v>
      </c>
      <c r="AM128" s="339"/>
      <c r="AN128" s="267" t="str">
        <f t="shared" ref="AN128:AN131" si="1157" xml:space="preserve"> AN127</f>
        <v>Los</v>
      </c>
      <c r="AO128" s="45">
        <f>VLOOKUP(AN128,Skrogform!$1:$1048576,3,FALSE)</f>
        <v>0.97</v>
      </c>
      <c r="AP128" s="64">
        <f t="shared" ref="AP128:AZ128" si="1158">AP127</f>
        <v>6.66</v>
      </c>
      <c r="AQ128" s="64">
        <f t="shared" si="1158"/>
        <v>6</v>
      </c>
      <c r="AR128" s="64">
        <f t="shared" si="1158"/>
        <v>1.92</v>
      </c>
      <c r="AS128" s="64">
        <f t="shared" si="1158"/>
        <v>1.3</v>
      </c>
      <c r="AT128" s="64">
        <f t="shared" ref="AT128" si="1159">AT127</f>
        <v>2.56</v>
      </c>
      <c r="AU128" s="64">
        <f t="shared" si="1158"/>
        <v>2.56</v>
      </c>
      <c r="AV128" s="64">
        <f t="shared" si="1158"/>
        <v>0.9</v>
      </c>
      <c r="AW128" s="64">
        <f t="shared" si="1158"/>
        <v>0.26</v>
      </c>
      <c r="AX128" s="256">
        <f>AX127</f>
        <v>0</v>
      </c>
      <c r="AY128" s="256">
        <f t="shared" si="1158"/>
        <v>10</v>
      </c>
      <c r="AZ128" s="256">
        <f t="shared" si="1158"/>
        <v>70</v>
      </c>
      <c r="BA128" s="256">
        <f t="shared" ref="BA128:BB128" si="1160">BA127</f>
        <v>0</v>
      </c>
      <c r="BB128" s="256">
        <f t="shared" si="1160"/>
        <v>0</v>
      </c>
      <c r="BC128" s="256"/>
      <c r="BD128" s="66"/>
      <c r="BE128" s="66"/>
      <c r="BF128" s="261"/>
      <c r="BG128" s="66"/>
      <c r="BH128" s="175"/>
      <c r="BI128" s="66"/>
      <c r="BJ128" s="66"/>
      <c r="BK128" s="65" t="str">
        <f t="shared" ref="BK128:BM128" si="1161" xml:space="preserve"> BK127</f>
        <v>Seilrett</v>
      </c>
      <c r="BL128" s="267">
        <f t="shared" si="1161"/>
        <v>3</v>
      </c>
      <c r="BM128" s="267">
        <f t="shared" si="1161"/>
        <v>33</v>
      </c>
      <c r="BN128" s="45">
        <f t="shared" si="991"/>
        <v>1</v>
      </c>
      <c r="BO128" s="59">
        <f>BO127</f>
        <v>-0.02</v>
      </c>
      <c r="BP128" s="59"/>
      <c r="BR128" s="49">
        <f t="shared" ref="BR128:BX131" si="1162">IF(O128=0,0,O128*BR$9)</f>
        <v>0</v>
      </c>
      <c r="BS128" s="49">
        <f t="shared" si="1162"/>
        <v>0</v>
      </c>
      <c r="BT128" s="49">
        <f t="shared" si="1162"/>
        <v>0</v>
      </c>
      <c r="BU128" s="49">
        <f t="shared" si="1162"/>
        <v>7</v>
      </c>
      <c r="BV128" s="49">
        <f t="shared" si="1162"/>
        <v>0</v>
      </c>
      <c r="BW128" s="49">
        <f t="shared" si="1162"/>
        <v>0</v>
      </c>
      <c r="BX128" s="49">
        <f t="shared" si="1162"/>
        <v>7</v>
      </c>
      <c r="BY128" s="549">
        <f>IF(COUNT(Q128:U128)&gt;1,MINA(Q128:U128)*BY$9,0)</f>
        <v>-3.5</v>
      </c>
      <c r="BZ128" s="85">
        <f t="shared" ref="BZ128:CD131" si="1163">IF(V128=0,0,V128*BZ$9)</f>
        <v>0</v>
      </c>
      <c r="CA128" s="85">
        <f t="shared" si="1163"/>
        <v>0</v>
      </c>
      <c r="CB128" s="85">
        <f t="shared" si="1163"/>
        <v>11.200000000000001</v>
      </c>
      <c r="CC128" s="85">
        <f t="shared" si="1163"/>
        <v>0</v>
      </c>
      <c r="CD128" s="85">
        <f t="shared" si="1163"/>
        <v>0</v>
      </c>
      <c r="CE128" s="85">
        <f>IF(AC128=0,0,AC128*CE$9)</f>
        <v>0</v>
      </c>
      <c r="CF128" s="85">
        <f t="shared" ref="CF128:CG131" si="1164">IF(AA128=0,0,AA128*CF$9)</f>
        <v>1.8</v>
      </c>
      <c r="CG128" s="85">
        <f t="shared" si="1164"/>
        <v>0</v>
      </c>
      <c r="CH128" s="85">
        <f t="shared" ref="CH128:CK131" si="1165">IF(AD128=0,0,AD128*CH$9)</f>
        <v>0</v>
      </c>
      <c r="CI128" s="85">
        <f t="shared" si="1165"/>
        <v>0</v>
      </c>
      <c r="CJ128" s="85">
        <f t="shared" si="1165"/>
        <v>0</v>
      </c>
      <c r="CK128" s="85">
        <f t="shared" si="1165"/>
        <v>0</v>
      </c>
      <c r="CL128" s="100">
        <f>SUM(BR128:CK128)</f>
        <v>23.500000000000004</v>
      </c>
      <c r="CM128" s="50"/>
      <c r="CN128" s="104">
        <f>J128</f>
        <v>32.5</v>
      </c>
      <c r="CO128" s="101">
        <f>CL128/CN128</f>
        <v>0.72307692307692317</v>
      </c>
      <c r="CP128" s="51">
        <f>Seilareal/Lwl/Lwl</f>
        <v>0.90277777777777779</v>
      </c>
      <c r="CQ128" s="116">
        <f>Seilareal/Depl^0.667/K$7</f>
        <v>1.608951202140954</v>
      </c>
      <c r="CR128" s="51">
        <f>Seilareal/Lwl/Lwl/SApRS1</f>
        <v>1.3698021199531265</v>
      </c>
      <c r="CS128" s="204"/>
      <c r="CT128" s="204">
        <f>(ROUND(TBF/CT$6,3)*CT$6)*CT$4</f>
        <v>103</v>
      </c>
      <c r="CU128" s="107">
        <f t="shared" si="36"/>
        <v>1.0309554261880671</v>
      </c>
      <c r="CV128" s="62">
        <f t="shared" si="789"/>
        <v>3.4486715337593754</v>
      </c>
      <c r="CW128" s="62">
        <f t="shared" si="14"/>
        <v>1.8157298807917437</v>
      </c>
      <c r="CX128" s="62">
        <f t="shared" si="790"/>
        <v>1.5650845800732873</v>
      </c>
      <c r="CY128" s="107">
        <f t="shared" si="16"/>
        <v>0.99790131553475481</v>
      </c>
      <c r="CZ128" s="168">
        <f t="shared" si="1112"/>
        <v>0.98517647058823532</v>
      </c>
      <c r="DA128" s="159">
        <f>DA127</f>
        <v>0.79</v>
      </c>
      <c r="DB128" s="168">
        <f t="shared" si="1113"/>
        <v>0.94842105263157905</v>
      </c>
      <c r="DC128" s="159">
        <f>DC127</f>
        <v>1.02</v>
      </c>
      <c r="DD128" s="190" t="s">
        <v>134</v>
      </c>
      <c r="DE128" s="62" t="s">
        <v>102</v>
      </c>
      <c r="DF128" s="62" t="s">
        <v>102</v>
      </c>
      <c r="DG128" s="62" t="s">
        <v>102</v>
      </c>
      <c r="DH128" s="150" t="s">
        <v>102</v>
      </c>
      <c r="DI128" s="62">
        <f t="shared" si="695"/>
        <v>2.2109125593033214</v>
      </c>
      <c r="DJ128" s="47">
        <f t="shared" si="696"/>
        <v>14.573991031390134</v>
      </c>
      <c r="DK128" s="48">
        <f t="shared" si="1114"/>
        <v>0</v>
      </c>
      <c r="DM128" s="107">
        <f t="shared" si="950"/>
        <v>1.0291925204084564</v>
      </c>
      <c r="DN128" s="141" t="str">
        <f t="shared" si="1115"/>
        <v>-</v>
      </c>
      <c r="DO128" s="107">
        <f t="shared" si="1116"/>
        <v>5.4062445640463688</v>
      </c>
      <c r="DP128" s="133">
        <f>IF(SeilBeregnet=0,DP127,(SeilBeregnet^0.5/(Depl^0.3333))^DP$3*DP$7)</f>
        <v>3.5437865108274513</v>
      </c>
      <c r="DQ128" s="133">
        <f>IF(SeilBeregnet=0,DQ127,(SeilBeregnet^0.5/Lwl)^DQ$3*DQ$7)</f>
        <v>0</v>
      </c>
      <c r="DR128" s="133">
        <f>IF(SeilBeregnet=0,DR127,(0.1*Loa/Depl^0.3333)^DR$3*DR$7)</f>
        <v>0</v>
      </c>
      <c r="DS128" s="133">
        <f>IF(SeilBeregnet=0,DS127,((Loa)/Bredde)^DS$3*DS$7)</f>
        <v>1.8624580532189174</v>
      </c>
      <c r="DT128" s="107">
        <f>IF(SeilBeregnet=0,DT127,(Lwl)^DT$3)</f>
        <v>1.5650845800732873</v>
      </c>
      <c r="DU128" s="133">
        <f>IF(SeilBeregnet=0,DU127,(Dypg/Loa)^DU$3*5*DU$7)</f>
        <v>2.2090450153584196</v>
      </c>
      <c r="DW128" s="107">
        <f t="shared" si="417"/>
        <v>1.0634592022557394</v>
      </c>
      <c r="DX128" s="107">
        <f t="shared" si="699"/>
        <v>1.0309904681009017</v>
      </c>
      <c r="DZ128" s="107">
        <f t="shared" si="700"/>
        <v>1.0547261886220574</v>
      </c>
      <c r="EA128" s="122" t="str">
        <f t="shared" si="1117"/>
        <v>-</v>
      </c>
      <c r="EB128" s="107">
        <f t="shared" si="1118"/>
        <v>1.0620723128232674</v>
      </c>
      <c r="EC128" s="122" t="str">
        <f t="shared" si="1119"/>
        <v>-</v>
      </c>
      <c r="ED128" s="107">
        <f>IF(SeilBeregnet=0,ED127,SeilBeregnet^0.5/Depl^0.33333)</f>
        <v>3.5436865766852583</v>
      </c>
      <c r="EE128" s="107">
        <f>IF(SeilBeregnet=0,EE127,Lwl^0.3333)</f>
        <v>1.8170120679720481</v>
      </c>
      <c r="EF128" s="107">
        <f>IF(SeilBeregnet=0,EF127,((Loa+Lwl)/Bredde)^EF$3)</f>
        <v>1.6024449516353962</v>
      </c>
      <c r="EH128" s="107">
        <f t="shared" si="1120"/>
        <v>1.0684645218932789</v>
      </c>
      <c r="EJ128" s="107">
        <f>IF(SeilBeregnet=0,EJ127,SeilBeregnet^0.5/Depl^0.33333)</f>
        <v>3.5436865766852583</v>
      </c>
      <c r="EK128" s="107">
        <f>IF(SeilBeregnet=0,EK127,Lwl^EK$3)</f>
        <v>1.8171097400544527</v>
      </c>
      <c r="EL128" s="107">
        <f>IF(SeilBeregnet=0,EL127,((Loa+Lwl)/Bredde)^EL$3)</f>
        <v>1.8750672763232756</v>
      </c>
      <c r="EM128" s="107">
        <f t="shared" si="1121"/>
        <v>1.0511428268455751</v>
      </c>
      <c r="EO128" s="107">
        <f>IF(SeilBeregnet=0,EO127,(EP128*EQ128)^EO$3)</f>
        <v>5.6785626649874112</v>
      </c>
      <c r="EP128" s="107">
        <f>IF(SeilBeregnet=0,EP127,SeilBeregnet^0.5/Depl^0.33333)</f>
        <v>3.5436865766852583</v>
      </c>
      <c r="EQ128" s="107">
        <f>IF(SeilBeregnet=0,EQ127,((Loa+Lwl)/Bredde)^EQ$3)</f>
        <v>1.6024449516353962</v>
      </c>
      <c r="ER128" s="107">
        <f>IF(SeilBeregnet=0,ER127,Lwl^ER$3)</f>
        <v>1.5650845800732873</v>
      </c>
      <c r="ES128" s="107">
        <f t="shared" si="951"/>
        <v>1.0465266117957306</v>
      </c>
      <c r="EU128" s="107">
        <f>IF(SeilBeregnet=0,EU127,(EV:EV*EW:EW)^EU$3)</f>
        <v>1.9048040468310754</v>
      </c>
      <c r="EV128" s="107">
        <f>IF(SeilBeregnet=0,EV127,SeilBeregnet^0.5/Depl^0.33333)</f>
        <v>3.5436865766852583</v>
      </c>
      <c r="EW128" s="107">
        <f>IF(SeilBeregnet=0,EW127,((Loa+Lwl)/Bredde/6)^EW$3)</f>
        <v>1.0238711517816879</v>
      </c>
      <c r="EX128" s="107">
        <f>IF(SeilBeregnet=0,EX127,(Lwl*0.7+Loa*0.3)^EX$3)</f>
        <v>1.5778397502725663</v>
      </c>
      <c r="EY128" s="107">
        <f t="shared" si="952"/>
        <v>0.99060988397779237</v>
      </c>
      <c r="FA128" s="107">
        <f t="shared" si="941"/>
        <v>1.9048309049648768</v>
      </c>
      <c r="FB128" s="107">
        <f>IF(SeilBeregnet=0,FB127,SeilBeregnet^0.5/Depl^0.3333)</f>
        <v>3.5437865108274513</v>
      </c>
      <c r="FC128" s="107">
        <f>IF(SeilBeregnet=0,FC127,((Loa+Lwl)/Bredde/6)^FC$3)</f>
        <v>1.0238711517816879</v>
      </c>
      <c r="FD128" s="107">
        <f>IF(SeilBeregnet=0,FD127,(Lwl*0.7+Loa*0.3)^FD$3)</f>
        <v>1.5778397502725663</v>
      </c>
      <c r="FE128" s="107">
        <f t="shared" si="953"/>
        <v>1.04487344543992</v>
      </c>
      <c r="FF128" s="141" t="str">
        <f t="shared" si="1122"/>
        <v>-</v>
      </c>
      <c r="FG128" s="107">
        <f t="shared" si="942"/>
        <v>3.7149944047471242</v>
      </c>
      <c r="FH128" s="133">
        <f>IF(SeilBeregnet=0,FH127,(SeilBeregnet^0.5/(Depl^0.3333))^FH$3)</f>
        <v>3.5437865108274513</v>
      </c>
      <c r="FI128" s="133">
        <f>IF(SeilBeregnet=0,FI127,((Loa+Lwl)/Bredde/6)^FI$3)</f>
        <v>1.0483121354507603</v>
      </c>
      <c r="FJ128" s="107">
        <f>IF(SeilBeregnet=0,FJ127,(Lwl*0.07+Loa*0.03)^FJ$3)</f>
        <v>0.88728449610628435</v>
      </c>
      <c r="FK128" s="107">
        <f t="shared" si="954"/>
        <v>1.0442399129247799</v>
      </c>
      <c r="FL128" s="141" t="str">
        <f t="shared" si="1123"/>
        <v>-</v>
      </c>
      <c r="FM128" s="107">
        <f t="shared" si="943"/>
        <v>5.7141912069490903</v>
      </c>
      <c r="FN128" s="133">
        <f>IF(SeilBeregnet=0,FN127,(SeilBeregnet^0.5/(Depl^0.3333))^FN$3)</f>
        <v>3.5437865108274513</v>
      </c>
      <c r="FO128" s="133">
        <f>IF(SeilBeregnet=0,FO127,(SeilBeregnet^0.5/Lwl*FO$7)^FO$3)</f>
        <v>0.80794664290272156</v>
      </c>
      <c r="FP128" s="133">
        <f>IF(SeilBeregnet=0,FP127,((Loa)/Bredde)^FP$3*FP$7)</f>
        <v>1.8624580532189174</v>
      </c>
      <c r="FQ128" s="107">
        <f>IF(SeilBeregnet=0,FQ127,(Lwl)^FQ$3)</f>
        <v>1.5650845800732873</v>
      </c>
      <c r="FR128" s="107">
        <f t="shared" si="955"/>
        <v>1.041768777147928</v>
      </c>
      <c r="FS128" s="141" t="str">
        <f t="shared" si="1124"/>
        <v>-</v>
      </c>
      <c r="FT128" s="107">
        <f t="shared" si="944"/>
        <v>6.6001537259791547</v>
      </c>
      <c r="FU128" s="133">
        <f>IF(SeilBeregnet=0,FU127,(SeilBeregnet^0.5/(Depl^0.3333))^FU$3)</f>
        <v>3.5437865108274513</v>
      </c>
      <c r="FV128" s="133">
        <f>IF(SeilBeregnet=0,FV127,(Loa/Bredde)^FV$3)</f>
        <v>1.8624580532189174</v>
      </c>
      <c r="FW128" s="107">
        <f>IF(SeilBeregnet=0,FW127,Lwl^FW$3)</f>
        <v>1.5650845800732873</v>
      </c>
      <c r="FX128" s="126">
        <v>0.82</v>
      </c>
      <c r="FY128">
        <v>0.95</v>
      </c>
      <c r="FZ128" s="62">
        <f t="shared" si="711"/>
        <v>1.0589998415047872</v>
      </c>
      <c r="GA128" s="62">
        <f t="shared" si="712"/>
        <v>2.2090450153584196</v>
      </c>
      <c r="GB128" s="107">
        <f t="shared" si="798"/>
        <v>1.6680827981294646</v>
      </c>
      <c r="GC128" s="440"/>
      <c r="GD128" s="17"/>
      <c r="GE128" s="442"/>
      <c r="GF128" s="462"/>
      <c r="GG128" s="17"/>
      <c r="GH128" s="17"/>
      <c r="GI128" s="17"/>
      <c r="GJ128" s="17"/>
      <c r="GL128" s="17"/>
      <c r="GM128" s="442"/>
      <c r="GN128" s="8"/>
      <c r="GO128" s="8"/>
      <c r="GP128" s="8"/>
      <c r="GQ128" s="8"/>
      <c r="GS128" s="17"/>
      <c r="GT128" s="17"/>
      <c r="GU128" s="17"/>
      <c r="GV128" s="629"/>
      <c r="GW128" s="17"/>
      <c r="GX128" s="17"/>
      <c r="GY128" s="17"/>
      <c r="GZ128" s="17"/>
    </row>
    <row r="129" spans="1:208" ht="15.6" x14ac:dyDescent="0.3">
      <c r="A129" s="60" t="s">
        <v>941</v>
      </c>
      <c r="B129" s="218"/>
      <c r="C129" s="61" t="str">
        <f t="shared" ref="C129:C131" si="1166">C128</f>
        <v>SPRI</v>
      </c>
      <c r="D129" s="61"/>
      <c r="E129" s="61"/>
      <c r="F129" s="61"/>
      <c r="G129" s="54"/>
      <c r="H129" s="204">
        <f>TBFavrundet</f>
        <v>100.50000000000001</v>
      </c>
      <c r="I129" s="63">
        <f>COUNTA(O129:AG129)</f>
        <v>3</v>
      </c>
      <c r="J129" s="222">
        <f>SUM(O129:AG129)</f>
        <v>28</v>
      </c>
      <c r="K129" s="116">
        <f>Seilareal/Depl^0.667/K$7</f>
        <v>1.3861733433829757</v>
      </c>
      <c r="L129" s="116">
        <f>Seilareal/Lwl/Lwl/L$7</f>
        <v>1.1801372110365398</v>
      </c>
      <c r="M129" s="92">
        <f>RiggF</f>
        <v>0.77500000000000013</v>
      </c>
      <c r="N129" s="242">
        <f>StHfaktor</f>
        <v>0.99790131553475481</v>
      </c>
      <c r="O129" s="143"/>
      <c r="P129" s="143"/>
      <c r="Q129" s="143"/>
      <c r="R129" s="165">
        <v>7</v>
      </c>
      <c r="S129" s="143"/>
      <c r="T129" s="143"/>
      <c r="U129" s="165">
        <v>7</v>
      </c>
      <c r="V129" s="559"/>
      <c r="W129" s="559"/>
      <c r="X129" s="165">
        <v>14</v>
      </c>
      <c r="Y129" s="143"/>
      <c r="Z129" s="143"/>
      <c r="AA129" s="143"/>
      <c r="AB129" s="143"/>
      <c r="AC129" s="143"/>
      <c r="AD129" s="143"/>
      <c r="AE129" s="143"/>
      <c r="AF129" s="143"/>
      <c r="AG129" s="551"/>
      <c r="AH129" s="557"/>
      <c r="AI129" s="557">
        <f t="shared" si="1154"/>
        <v>5.9</v>
      </c>
      <c r="AJ129" s="337">
        <f t="shared" ref="AJ129" si="1167" xml:space="preserve"> AJ128</f>
        <v>0</v>
      </c>
      <c r="AK129" s="339"/>
      <c r="AL129" s="337">
        <f t="shared" ref="AL129" si="1168" xml:space="preserve"> AL128</f>
        <v>0</v>
      </c>
      <c r="AM129" s="339"/>
      <c r="AN129" s="267" t="str">
        <f t="shared" si="1157"/>
        <v>Los</v>
      </c>
      <c r="AO129" s="45">
        <f>VLOOKUP(AN129,Skrogform!$1:$1048576,3,FALSE)</f>
        <v>0.97</v>
      </c>
      <c r="AP129" s="64">
        <f t="shared" ref="AP129:AZ129" si="1169">AP128</f>
        <v>6.66</v>
      </c>
      <c r="AQ129" s="64">
        <f t="shared" si="1169"/>
        <v>6</v>
      </c>
      <c r="AR129" s="64">
        <f t="shared" si="1169"/>
        <v>1.92</v>
      </c>
      <c r="AS129" s="64">
        <f t="shared" si="1169"/>
        <v>1.3</v>
      </c>
      <c r="AT129" s="64">
        <f t="shared" ref="AT129" si="1170">AT128</f>
        <v>2.56</v>
      </c>
      <c r="AU129" s="64">
        <f t="shared" si="1169"/>
        <v>2.56</v>
      </c>
      <c r="AV129" s="64">
        <f t="shared" si="1169"/>
        <v>0.9</v>
      </c>
      <c r="AW129" s="64">
        <f t="shared" si="1169"/>
        <v>0.26</v>
      </c>
      <c r="AX129" s="256">
        <f>AX128</f>
        <v>0</v>
      </c>
      <c r="AY129" s="256">
        <f t="shared" si="1169"/>
        <v>10</v>
      </c>
      <c r="AZ129" s="256">
        <f t="shared" si="1169"/>
        <v>70</v>
      </c>
      <c r="BA129" s="256">
        <f t="shared" ref="BA129:BB129" si="1171">BA128</f>
        <v>0</v>
      </c>
      <c r="BB129" s="256">
        <f t="shared" si="1171"/>
        <v>0</v>
      </c>
      <c r="BC129" s="256"/>
      <c r="BD129" s="66"/>
      <c r="BE129" s="66"/>
      <c r="BF129" s="261"/>
      <c r="BG129" s="66"/>
      <c r="BH129" s="175"/>
      <c r="BI129" s="66"/>
      <c r="BJ129" s="66"/>
      <c r="BK129" s="65" t="str">
        <f t="shared" ref="BK129:BM129" si="1172" xml:space="preserve"> BK128</f>
        <v>Seilrett</v>
      </c>
      <c r="BL129" s="267">
        <f t="shared" si="1172"/>
        <v>3</v>
      </c>
      <c r="BM129" s="267">
        <f t="shared" si="1172"/>
        <v>33</v>
      </c>
      <c r="BN129" s="45">
        <f t="shared" si="991"/>
        <v>1</v>
      </c>
      <c r="BO129" s="59">
        <f t="shared" ref="BO129:BO131" si="1173">BO128</f>
        <v>-0.02</v>
      </c>
      <c r="BP129" s="59"/>
      <c r="BR129" s="49">
        <f t="shared" si="1162"/>
        <v>0</v>
      </c>
      <c r="BS129" s="49">
        <f t="shared" si="1162"/>
        <v>0</v>
      </c>
      <c r="BT129" s="49">
        <f t="shared" si="1162"/>
        <v>0</v>
      </c>
      <c r="BU129" s="49">
        <f t="shared" si="1162"/>
        <v>7</v>
      </c>
      <c r="BV129" s="49">
        <f t="shared" si="1162"/>
        <v>0</v>
      </c>
      <c r="BW129" s="49">
        <f t="shared" si="1162"/>
        <v>0</v>
      </c>
      <c r="BX129" s="49">
        <f t="shared" si="1162"/>
        <v>7</v>
      </c>
      <c r="BY129" s="549">
        <f>IF(COUNT(Q129:U129)&gt;1,MINA(Q129:U129)*BY$9,0)</f>
        <v>-3.5</v>
      </c>
      <c r="BZ129" s="85">
        <f t="shared" si="1163"/>
        <v>0</v>
      </c>
      <c r="CA129" s="85">
        <f t="shared" si="1163"/>
        <v>0</v>
      </c>
      <c r="CB129" s="85">
        <f t="shared" si="1163"/>
        <v>11.200000000000001</v>
      </c>
      <c r="CC129" s="85">
        <f t="shared" si="1163"/>
        <v>0</v>
      </c>
      <c r="CD129" s="85">
        <f t="shared" si="1163"/>
        <v>0</v>
      </c>
      <c r="CE129" s="85">
        <f>IF(AC129=0,0,AC129*CE$9)</f>
        <v>0</v>
      </c>
      <c r="CF129" s="85">
        <f t="shared" si="1164"/>
        <v>0</v>
      </c>
      <c r="CG129" s="85">
        <f t="shared" si="1164"/>
        <v>0</v>
      </c>
      <c r="CH129" s="85">
        <f t="shared" si="1165"/>
        <v>0</v>
      </c>
      <c r="CI129" s="85">
        <f t="shared" si="1165"/>
        <v>0</v>
      </c>
      <c r="CJ129" s="85">
        <f t="shared" si="1165"/>
        <v>0</v>
      </c>
      <c r="CK129" s="85">
        <f t="shared" si="1165"/>
        <v>0</v>
      </c>
      <c r="CL129" s="100">
        <f>SUM(BR129:CK129)</f>
        <v>21.700000000000003</v>
      </c>
      <c r="CM129" s="50"/>
      <c r="CN129" s="104">
        <f>J129</f>
        <v>28</v>
      </c>
      <c r="CO129" s="101">
        <f>CL129/CN129</f>
        <v>0.77500000000000013</v>
      </c>
      <c r="CP129" s="51">
        <f>Seilareal/Lwl/Lwl</f>
        <v>0.77777777777777779</v>
      </c>
      <c r="CQ129" s="116">
        <f>Seilareal/Depl^0.667/K$7</f>
        <v>1.3861733433829757</v>
      </c>
      <c r="CR129" s="51">
        <f>Seilareal/Lwl/Lwl/SApRS1</f>
        <v>1.1801372110365398</v>
      </c>
      <c r="CS129" s="204"/>
      <c r="CT129" s="204">
        <f>(ROUND(TBF/CT$6,3)*CT$6)*CT$4</f>
        <v>100.50000000000001</v>
      </c>
      <c r="CU129" s="107">
        <f t="shared" si="36"/>
        <v>1.0040631456043807</v>
      </c>
      <c r="CV129" s="62">
        <f t="shared" si="789"/>
        <v>3.3139638607053796</v>
      </c>
      <c r="CW129" s="62">
        <f t="shared" si="14"/>
        <v>1.8157298807917437</v>
      </c>
      <c r="CX129" s="62">
        <f t="shared" si="790"/>
        <v>1.5650845800732873</v>
      </c>
      <c r="CY129" s="107">
        <f t="shared" si="16"/>
        <v>0.99790131553475481</v>
      </c>
      <c r="CZ129" s="168" t="str">
        <f t="shared" si="1112"/>
        <v>-</v>
      </c>
      <c r="DA129" s="158"/>
      <c r="DB129" s="168" t="str">
        <f t="shared" si="1113"/>
        <v>-</v>
      </c>
      <c r="DC129" s="160"/>
      <c r="DD129" s="190" t="s">
        <v>134</v>
      </c>
      <c r="DE129" s="62" t="s">
        <v>102</v>
      </c>
      <c r="DF129" s="62" t="s">
        <v>102</v>
      </c>
      <c r="DG129" s="62" t="s">
        <v>102</v>
      </c>
      <c r="DH129" s="150" t="s">
        <v>102</v>
      </c>
      <c r="DI129" s="62">
        <f t="shared" si="695"/>
        <v>2.2109125593033214</v>
      </c>
      <c r="DJ129" s="47">
        <f t="shared" si="696"/>
        <v>14.573991031390134</v>
      </c>
      <c r="DK129" s="48">
        <f t="shared" si="1114"/>
        <v>0</v>
      </c>
      <c r="DM129" s="107">
        <f t="shared" si="950"/>
        <v>1.0023287139219634</v>
      </c>
      <c r="DN129" s="141" t="str">
        <f t="shared" si="1115"/>
        <v>-</v>
      </c>
      <c r="DO129" s="107">
        <f t="shared" si="1116"/>
        <v>5.2678216293016034</v>
      </c>
      <c r="DP129" s="133">
        <f>IF(SeilBeregnet=0,DP128,(SeilBeregnet^0.5/(Depl^0.3333))^DP$3*DP$7)</f>
        <v>3.4053635760826859</v>
      </c>
      <c r="DQ129" s="133">
        <f>IF(SeilBeregnet=0,DQ128,(SeilBeregnet^0.5/Lwl)^DQ$3*DQ$7)</f>
        <v>0</v>
      </c>
      <c r="DR129" s="133">
        <f>IF(SeilBeregnet=0,DR128,(0.1*Loa/Depl^0.3333)^DR$3*DR$7)</f>
        <v>0</v>
      </c>
      <c r="DS129" s="133">
        <f>IF(SeilBeregnet=0,DS128,((Loa)/Bredde)^DS$3*DS$7)</f>
        <v>1.8624580532189174</v>
      </c>
      <c r="DT129" s="107">
        <f>IF(SeilBeregnet=0,DT128,(Lwl)^DT$3)</f>
        <v>1.5650845800732873</v>
      </c>
      <c r="DU129" s="133">
        <f>IF(SeilBeregnet=0,DU128,(Dypg/Loa)^DU$3*5*DU$7)</f>
        <v>2.2090450153584196</v>
      </c>
      <c r="DW129" s="107">
        <f t="shared" si="417"/>
        <v>1.0357352016540007</v>
      </c>
      <c r="DX129" s="107">
        <f t="shared" si="699"/>
        <v>0.99947908236392125</v>
      </c>
      <c r="DZ129" s="107">
        <f t="shared" si="700"/>
        <v>1.0288995092674449</v>
      </c>
      <c r="EA129" s="122" t="str">
        <f t="shared" si="1117"/>
        <v>-</v>
      </c>
      <c r="EB129" s="107">
        <f t="shared" si="1118"/>
        <v>1.030738325600782</v>
      </c>
      <c r="EC129" s="122" t="str">
        <f t="shared" si="1119"/>
        <v>-</v>
      </c>
      <c r="ED129" s="107">
        <f>IF(SeilBeregnet=0,ED128,SeilBeregnet^0.5/Depl^0.33333)</f>
        <v>3.4052675454423547</v>
      </c>
      <c r="EE129" s="107">
        <f>IF(SeilBeregnet=0,EE128,Lwl^0.3333)</f>
        <v>1.8170120679720481</v>
      </c>
      <c r="EF129" s="107">
        <f>IF(SeilBeregnet=0,EF128,((Loa+Lwl)/Bredde)^EF$3)</f>
        <v>1.6024449516353962</v>
      </c>
      <c r="EH129" s="107">
        <f t="shared" si="1120"/>
        <v>1.040062295504969</v>
      </c>
      <c r="EJ129" s="107">
        <f>IF(SeilBeregnet=0,EJ128,SeilBeregnet^0.5/Depl^0.33333)</f>
        <v>3.4052675454423547</v>
      </c>
      <c r="EK129" s="107">
        <f>IF(SeilBeregnet=0,EK128,Lwl^EK$3)</f>
        <v>1.8171097400544527</v>
      </c>
      <c r="EL129" s="107">
        <f>IF(SeilBeregnet=0,EL128,((Loa+Lwl)/Bredde)^EL$3)</f>
        <v>1.8750672763232756</v>
      </c>
      <c r="EM129" s="107">
        <f t="shared" si="1121"/>
        <v>1.0202009697846497</v>
      </c>
      <c r="EO129" s="107">
        <f>IF(SeilBeregnet=0,EO128,(EP129*EQ129)^EO$3)</f>
        <v>5.4567537871619587</v>
      </c>
      <c r="EP129" s="107">
        <f>IF(SeilBeregnet=0,EP128,SeilBeregnet^0.5/Depl^0.33333)</f>
        <v>3.4052675454423547</v>
      </c>
      <c r="EQ129" s="107">
        <f>IF(SeilBeregnet=0,EQ128,((Loa+Lwl)/Bredde)^EQ$3)</f>
        <v>1.6024449516353962</v>
      </c>
      <c r="ER129" s="107">
        <f>IF(SeilBeregnet=0,ER128,Lwl^ER$3)</f>
        <v>1.5650845800732873</v>
      </c>
      <c r="ES129" s="107">
        <f t="shared" si="951"/>
        <v>1.0180019023946356</v>
      </c>
      <c r="EU129" s="107">
        <f>IF(SeilBeregnet=0,EU128,(EV:EV*EW:EW)^EU$3)</f>
        <v>1.8672319630610614</v>
      </c>
      <c r="EV129" s="107">
        <f>IF(SeilBeregnet=0,EV128,SeilBeregnet^0.5/Depl^0.33333)</f>
        <v>3.4052675454423547</v>
      </c>
      <c r="EW129" s="107">
        <f>IF(SeilBeregnet=0,EW128,((Loa+Lwl)/Bredde/6)^EW$3)</f>
        <v>1.0238711517816879</v>
      </c>
      <c r="EX129" s="107">
        <f>IF(SeilBeregnet=0,EX128,(Lwl*0.7+Loa*0.3)^EX$3)</f>
        <v>1.5778397502725663</v>
      </c>
      <c r="EY129" s="107">
        <f t="shared" si="952"/>
        <v>0.97067569742312398</v>
      </c>
      <c r="FA129" s="107">
        <f t="shared" si="941"/>
        <v>1.8672582914206559</v>
      </c>
      <c r="FB129" s="107">
        <f>IF(SeilBeregnet=0,FB128,SeilBeregnet^0.5/Depl^0.3333)</f>
        <v>3.4053635760826859</v>
      </c>
      <c r="FC129" s="107">
        <f>IF(SeilBeregnet=0,FC128,((Loa+Lwl)/Bredde/6)^FC$3)</f>
        <v>1.0238711517816879</v>
      </c>
      <c r="FD129" s="107">
        <f>IF(SeilBeregnet=0,FD128,(Lwl*0.7+Loa*0.3)^FD$3)</f>
        <v>1.5778397502725663</v>
      </c>
      <c r="FE129" s="107">
        <f t="shared" si="953"/>
        <v>1.0178350538446899</v>
      </c>
      <c r="FF129" s="141" t="str">
        <f t="shared" si="1122"/>
        <v>-</v>
      </c>
      <c r="FG129" s="107">
        <f t="shared" si="942"/>
        <v>3.5698839624294783</v>
      </c>
      <c r="FH129" s="133">
        <f>IF(SeilBeregnet=0,FH128,(SeilBeregnet^0.5/(Depl^0.3333))^FH$3)</f>
        <v>3.4053635760826859</v>
      </c>
      <c r="FI129" s="133">
        <f>IF(SeilBeregnet=0,FI128,((Loa+Lwl)/Bredde/6)^FI$3)</f>
        <v>1.0483121354507603</v>
      </c>
      <c r="FJ129" s="107">
        <f>IF(SeilBeregnet=0,FJ128,(Lwl*0.07+Loa*0.03)^FJ$3)</f>
        <v>0.88728449610628435</v>
      </c>
      <c r="FK129" s="107">
        <f t="shared" si="954"/>
        <v>1.0125816171212971</v>
      </c>
      <c r="FL129" s="141" t="str">
        <f t="shared" si="1123"/>
        <v>-</v>
      </c>
      <c r="FM129" s="107">
        <f t="shared" si="943"/>
        <v>5.5442092758917445</v>
      </c>
      <c r="FN129" s="133">
        <f>IF(SeilBeregnet=0,FN128,(SeilBeregnet^0.5/(Depl^0.3333))^FN$3)</f>
        <v>3.4053635760826859</v>
      </c>
      <c r="FO129" s="133">
        <f>IF(SeilBeregnet=0,FO128,(SeilBeregnet^0.5/Lwl*FO$7)^FO$3)</f>
        <v>0.77638764659014114</v>
      </c>
      <c r="FP129" s="133">
        <f>IF(SeilBeregnet=0,FP128,((Loa)/Bredde)^FP$3*FP$7)</f>
        <v>1.8624580532189174</v>
      </c>
      <c r="FQ129" s="107">
        <f>IF(SeilBeregnet=0,FQ128,(Lwl)^FQ$3)</f>
        <v>1.5650845800732873</v>
      </c>
      <c r="FR129" s="107">
        <f t="shared" si="955"/>
        <v>1.0159454415448916</v>
      </c>
      <c r="FS129" s="141" t="str">
        <f t="shared" si="1124"/>
        <v>-</v>
      </c>
      <c r="FT129" s="107">
        <f t="shared" si="944"/>
        <v>6.3423468164135697</v>
      </c>
      <c r="FU129" s="133">
        <f>IF(SeilBeregnet=0,FU128,(SeilBeregnet^0.5/(Depl^0.3333))^FU$3)</f>
        <v>3.4053635760826859</v>
      </c>
      <c r="FV129" s="133">
        <f>IF(SeilBeregnet=0,FV128,(Loa/Bredde)^FV$3)</f>
        <v>1.8624580532189174</v>
      </c>
      <c r="FW129" s="107">
        <f>IF(SeilBeregnet=0,FW128,Lwl^FW$3)</f>
        <v>1.5650845800732873</v>
      </c>
      <c r="FX129" s="126">
        <v>0.88</v>
      </c>
      <c r="FY129">
        <v>0.95</v>
      </c>
      <c r="FZ129" s="62">
        <f t="shared" si="711"/>
        <v>1.0397507494393676</v>
      </c>
      <c r="GA129" s="62">
        <f t="shared" si="712"/>
        <v>2.2090450153584196</v>
      </c>
      <c r="GB129" s="107">
        <f t="shared" si="798"/>
        <v>1.6458109899446067</v>
      </c>
      <c r="GC129" s="440"/>
      <c r="GD129" s="17"/>
      <c r="GE129" s="442"/>
      <c r="GF129" s="462"/>
      <c r="GG129" s="17"/>
      <c r="GH129" s="17"/>
      <c r="GI129" s="17"/>
      <c r="GJ129" s="17"/>
      <c r="GL129" s="17"/>
      <c r="GM129" s="442"/>
      <c r="GN129" s="8"/>
      <c r="GO129" s="8"/>
      <c r="GP129" s="8"/>
      <c r="GQ129" s="8"/>
      <c r="GS129" s="17"/>
      <c r="GT129" s="17"/>
      <c r="GU129" s="17"/>
      <c r="GV129" s="629"/>
      <c r="GW129" s="17"/>
      <c r="GX129" s="17"/>
      <c r="GY129" s="17"/>
      <c r="GZ129" s="17"/>
    </row>
    <row r="130" spans="1:208" ht="15.6" x14ac:dyDescent="0.3">
      <c r="A130" s="60" t="s">
        <v>33</v>
      </c>
      <c r="B130" s="218"/>
      <c r="C130" s="61" t="str">
        <f t="shared" si="1166"/>
        <v>SPRI</v>
      </c>
      <c r="D130" s="61"/>
      <c r="E130" s="61"/>
      <c r="F130" s="61"/>
      <c r="G130" s="54"/>
      <c r="H130" s="204">
        <f>TBFavrundet</f>
        <v>95</v>
      </c>
      <c r="I130" s="63">
        <f>COUNTA(O130:AG130)</f>
        <v>2</v>
      </c>
      <c r="J130" s="222">
        <f>SUM(O130:AG130)</f>
        <v>21</v>
      </c>
      <c r="K130" s="116">
        <f>Seilareal/Depl^0.667/K$7</f>
        <v>1.0396300075372318</v>
      </c>
      <c r="L130" s="116">
        <f>Seilareal/Lwl/Lwl/L$7</f>
        <v>0.8851029082774049</v>
      </c>
      <c r="M130" s="92">
        <f>RiggF</f>
        <v>0.86666666666666681</v>
      </c>
      <c r="N130" s="242">
        <f>StHfaktor</f>
        <v>0.99790131553475481</v>
      </c>
      <c r="O130" s="143"/>
      <c r="P130" s="143"/>
      <c r="Q130" s="143"/>
      <c r="R130" s="143"/>
      <c r="S130" s="143"/>
      <c r="T130" s="143"/>
      <c r="U130" s="165">
        <v>7</v>
      </c>
      <c r="V130" s="559"/>
      <c r="W130" s="559"/>
      <c r="X130" s="165">
        <v>14</v>
      </c>
      <c r="Y130" s="143"/>
      <c r="Z130" s="143"/>
      <c r="AA130" s="143"/>
      <c r="AB130" s="143"/>
      <c r="AC130" s="143"/>
      <c r="AD130" s="143"/>
      <c r="AE130" s="143"/>
      <c r="AF130" s="143"/>
      <c r="AG130" s="551"/>
      <c r="AH130" s="557"/>
      <c r="AI130" s="557">
        <f t="shared" si="1154"/>
        <v>5.9</v>
      </c>
      <c r="AJ130" s="337">
        <f t="shared" ref="AJ130" si="1174" xml:space="preserve"> AJ129</f>
        <v>0</v>
      </c>
      <c r="AK130" s="339"/>
      <c r="AL130" s="337">
        <f t="shared" ref="AL130" si="1175" xml:space="preserve"> AL129</f>
        <v>0</v>
      </c>
      <c r="AM130" s="339"/>
      <c r="AN130" s="267" t="str">
        <f t="shared" si="1157"/>
        <v>Los</v>
      </c>
      <c r="AO130" s="45">
        <f>VLOOKUP(AN130,Skrogform!$1:$1048576,3,FALSE)</f>
        <v>0.97</v>
      </c>
      <c r="AP130" s="64">
        <f t="shared" ref="AP130:AZ130" si="1176">AP129</f>
        <v>6.66</v>
      </c>
      <c r="AQ130" s="64">
        <f t="shared" si="1176"/>
        <v>6</v>
      </c>
      <c r="AR130" s="64">
        <f t="shared" si="1176"/>
        <v>1.92</v>
      </c>
      <c r="AS130" s="64">
        <f t="shared" si="1176"/>
        <v>1.3</v>
      </c>
      <c r="AT130" s="64">
        <f t="shared" ref="AT130" si="1177">AT129</f>
        <v>2.56</v>
      </c>
      <c r="AU130" s="64">
        <f t="shared" si="1176"/>
        <v>2.56</v>
      </c>
      <c r="AV130" s="64">
        <f t="shared" si="1176"/>
        <v>0.9</v>
      </c>
      <c r="AW130" s="64">
        <f t="shared" si="1176"/>
        <v>0.26</v>
      </c>
      <c r="AX130" s="256">
        <f>AX129</f>
        <v>0</v>
      </c>
      <c r="AY130" s="256">
        <f t="shared" si="1176"/>
        <v>10</v>
      </c>
      <c r="AZ130" s="256">
        <f t="shared" si="1176"/>
        <v>70</v>
      </c>
      <c r="BA130" s="256">
        <f t="shared" ref="BA130:BB130" si="1178">BA129</f>
        <v>0</v>
      </c>
      <c r="BB130" s="256">
        <f t="shared" si="1178"/>
        <v>0</v>
      </c>
      <c r="BC130" s="256"/>
      <c r="BD130" s="66"/>
      <c r="BE130" s="66"/>
      <c r="BF130" s="261"/>
      <c r="BG130" s="66"/>
      <c r="BH130" s="175"/>
      <c r="BI130" s="66"/>
      <c r="BJ130" s="66"/>
      <c r="BK130" s="65" t="str">
        <f t="shared" ref="BK130:BM130" si="1179" xml:space="preserve"> BK129</f>
        <v>Seilrett</v>
      </c>
      <c r="BL130" s="267">
        <f t="shared" si="1179"/>
        <v>3</v>
      </c>
      <c r="BM130" s="267">
        <f t="shared" si="1179"/>
        <v>33</v>
      </c>
      <c r="BN130" s="45">
        <f t="shared" si="991"/>
        <v>1</v>
      </c>
      <c r="BO130" s="59">
        <f t="shared" si="1173"/>
        <v>-0.02</v>
      </c>
      <c r="BP130" s="59"/>
      <c r="BR130" s="49">
        <f t="shared" si="1162"/>
        <v>0</v>
      </c>
      <c r="BS130" s="49">
        <f t="shared" si="1162"/>
        <v>0</v>
      </c>
      <c r="BT130" s="49">
        <f t="shared" si="1162"/>
        <v>0</v>
      </c>
      <c r="BU130" s="49">
        <f t="shared" si="1162"/>
        <v>0</v>
      </c>
      <c r="BV130" s="49">
        <f t="shared" si="1162"/>
        <v>0</v>
      </c>
      <c r="BW130" s="49">
        <f t="shared" si="1162"/>
        <v>0</v>
      </c>
      <c r="BX130" s="49">
        <f t="shared" si="1162"/>
        <v>7</v>
      </c>
      <c r="BY130" s="549">
        <f>IF(COUNT(Q130:U130)&gt;1,MINA(Q130:U130)*BY$9,0)</f>
        <v>0</v>
      </c>
      <c r="BZ130" s="85">
        <f t="shared" si="1163"/>
        <v>0</v>
      </c>
      <c r="CA130" s="85">
        <f t="shared" si="1163"/>
        <v>0</v>
      </c>
      <c r="CB130" s="85">
        <f t="shared" si="1163"/>
        <v>11.200000000000001</v>
      </c>
      <c r="CC130" s="85">
        <f t="shared" si="1163"/>
        <v>0</v>
      </c>
      <c r="CD130" s="85">
        <f t="shared" si="1163"/>
        <v>0</v>
      </c>
      <c r="CE130" s="85">
        <f>IF(AC130=0,0,AC130*CE$9)</f>
        <v>0</v>
      </c>
      <c r="CF130" s="85">
        <f t="shared" si="1164"/>
        <v>0</v>
      </c>
      <c r="CG130" s="85">
        <f t="shared" si="1164"/>
        <v>0</v>
      </c>
      <c r="CH130" s="85">
        <f t="shared" si="1165"/>
        <v>0</v>
      </c>
      <c r="CI130" s="85">
        <f t="shared" si="1165"/>
        <v>0</v>
      </c>
      <c r="CJ130" s="85">
        <f t="shared" si="1165"/>
        <v>0</v>
      </c>
      <c r="CK130" s="85">
        <f t="shared" si="1165"/>
        <v>0</v>
      </c>
      <c r="CL130" s="100">
        <f>SUM(BR130:CK130)</f>
        <v>18.200000000000003</v>
      </c>
      <c r="CM130" s="50"/>
      <c r="CN130" s="104">
        <f>J130</f>
        <v>21</v>
      </c>
      <c r="CO130" s="101">
        <f>CL130/CN130</f>
        <v>0.86666666666666681</v>
      </c>
      <c r="CP130" s="51">
        <f>Seilareal/Lwl/Lwl</f>
        <v>0.58333333333333337</v>
      </c>
      <c r="CQ130" s="116">
        <f>Seilareal/Depl^0.667/K$7</f>
        <v>1.0396300075372318</v>
      </c>
      <c r="CR130" s="51">
        <f>Seilareal/Lwl/Lwl/SApRS1</f>
        <v>0.8851029082774049</v>
      </c>
      <c r="CS130" s="204"/>
      <c r="CT130" s="204">
        <f>(ROUND(TBF/CT$6,3)*CT$6)*CT$4</f>
        <v>95</v>
      </c>
      <c r="CU130" s="107">
        <f t="shared" si="36"/>
        <v>0.9483652573674729</v>
      </c>
      <c r="CV130" s="62">
        <f t="shared" si="789"/>
        <v>3.034964357667068</v>
      </c>
      <c r="CW130" s="62">
        <f t="shared" si="14"/>
        <v>1.8157298807917437</v>
      </c>
      <c r="CX130" s="62">
        <f t="shared" si="790"/>
        <v>1.5650845800732873</v>
      </c>
      <c r="CY130" s="107">
        <f t="shared" si="16"/>
        <v>0.99790131553475481</v>
      </c>
      <c r="CZ130" s="168" t="str">
        <f t="shared" si="1112"/>
        <v>-</v>
      </c>
      <c r="DA130" s="158"/>
      <c r="DB130" s="168" t="str">
        <f t="shared" si="1113"/>
        <v>-</v>
      </c>
      <c r="DC130" s="160"/>
      <c r="DD130" s="190" t="s">
        <v>134</v>
      </c>
      <c r="DE130" s="62" t="s">
        <v>102</v>
      </c>
      <c r="DF130" s="62" t="s">
        <v>102</v>
      </c>
      <c r="DG130" s="62" t="s">
        <v>102</v>
      </c>
      <c r="DH130" s="150" t="s">
        <v>102</v>
      </c>
      <c r="DI130" s="62">
        <f t="shared" si="695"/>
        <v>2.2109125593033214</v>
      </c>
      <c r="DJ130" s="47">
        <f t="shared" si="696"/>
        <v>14.573991031390134</v>
      </c>
      <c r="DK130" s="48">
        <f t="shared" si="1114"/>
        <v>0</v>
      </c>
      <c r="DM130" s="107">
        <f t="shared" si="950"/>
        <v>0.94668979974931189</v>
      </c>
      <c r="DN130" s="141" t="str">
        <f t="shared" si="1115"/>
        <v>-</v>
      </c>
      <c r="DO130" s="107">
        <f t="shared" si="1116"/>
        <v>4.9811272701212328</v>
      </c>
      <c r="DP130" s="133">
        <f>IF(SeilBeregnet=0,DP129,(SeilBeregnet^0.5/(Depl^0.3333))^DP$3*DP$7)</f>
        <v>3.1186692169023154</v>
      </c>
      <c r="DQ130" s="133">
        <f>IF(SeilBeregnet=0,DQ129,(SeilBeregnet^0.5/Lwl)^DQ$3*DQ$7)</f>
        <v>0</v>
      </c>
      <c r="DR130" s="133">
        <f>IF(SeilBeregnet=0,DR129,(0.1*Loa/Depl^0.3333)^DR$3*DR$7)</f>
        <v>0</v>
      </c>
      <c r="DS130" s="133">
        <f>IF(SeilBeregnet=0,DS129,((Loa)/Bredde)^DS$3*DS$7)</f>
        <v>1.8624580532189174</v>
      </c>
      <c r="DT130" s="107">
        <f>IF(SeilBeregnet=0,DT129,(Lwl)^DT$3)</f>
        <v>1.5650845800732873</v>
      </c>
      <c r="DU130" s="133">
        <f>IF(SeilBeregnet=0,DU129,(Dypg/Loa)^DU$3*5*DU$7)</f>
        <v>2.2090450153584196</v>
      </c>
      <c r="DW130" s="107">
        <f t="shared" si="417"/>
        <v>0.97831469831698237</v>
      </c>
      <c r="DX130" s="107">
        <f t="shared" si="699"/>
        <v>0.93421434457023933</v>
      </c>
      <c r="DZ130" s="107">
        <f t="shared" si="700"/>
        <v>0.97540863869039662</v>
      </c>
      <c r="EA130" s="122" t="str">
        <f t="shared" si="1117"/>
        <v>-</v>
      </c>
      <c r="EB130" s="107">
        <f t="shared" si="1118"/>
        <v>0.9658410063532139</v>
      </c>
      <c r="EC130" s="122" t="str">
        <f t="shared" si="1119"/>
        <v>-</v>
      </c>
      <c r="ED130" s="107">
        <f>IF(SeilBeregnet=0,ED129,SeilBeregnet^0.5/Depl^0.33333)</f>
        <v>3.1185812709913461</v>
      </c>
      <c r="EE130" s="107">
        <f>IF(SeilBeregnet=0,EE129,Lwl^0.3333)</f>
        <v>1.8170120679720481</v>
      </c>
      <c r="EF130" s="107">
        <f>IF(SeilBeregnet=0,EF129,((Loa+Lwl)/Bredde)^EF$3)</f>
        <v>1.6024449516353962</v>
      </c>
      <c r="EH130" s="107">
        <f t="shared" si="1120"/>
        <v>0.98123708631036188</v>
      </c>
      <c r="EJ130" s="107">
        <f>IF(SeilBeregnet=0,EJ129,SeilBeregnet^0.5/Depl^0.33333)</f>
        <v>3.1185812709913461</v>
      </c>
      <c r="EK130" s="107">
        <f>IF(SeilBeregnet=0,EK129,Lwl^EK$3)</f>
        <v>1.8171097400544527</v>
      </c>
      <c r="EL130" s="107">
        <f>IF(SeilBeregnet=0,EL129,((Loa+Lwl)/Bredde)^EL$3)</f>
        <v>1.8750672763232756</v>
      </c>
      <c r="EM130" s="107">
        <f t="shared" si="1121"/>
        <v>0.95611581006534874</v>
      </c>
      <c r="EO130" s="107">
        <f>IF(SeilBeregnet=0,EO129,(EP130*EQ130)^EO$3)</f>
        <v>4.9973548139647805</v>
      </c>
      <c r="EP130" s="107">
        <f>IF(SeilBeregnet=0,EP129,SeilBeregnet^0.5/Depl^0.33333)</f>
        <v>3.1185812709913461</v>
      </c>
      <c r="EQ130" s="107">
        <f>IF(SeilBeregnet=0,EQ129,((Loa+Lwl)/Bredde)^EQ$3)</f>
        <v>1.6024449516353962</v>
      </c>
      <c r="ER130" s="107">
        <f>IF(SeilBeregnet=0,ER129,Lwl^ER$3)</f>
        <v>1.5650845800732873</v>
      </c>
      <c r="ES130" s="107">
        <f t="shared" si="951"/>
        <v>0.95701684054180136</v>
      </c>
      <c r="EU130" s="107">
        <f>IF(SeilBeregnet=0,EU129,(EV:EV*EW:EW)^EU$3)</f>
        <v>1.7869038580334169</v>
      </c>
      <c r="EV130" s="107">
        <f>IF(SeilBeregnet=0,EV129,SeilBeregnet^0.5/Depl^0.33333)</f>
        <v>3.1185812709913461</v>
      </c>
      <c r="EW130" s="107">
        <f>IF(SeilBeregnet=0,EW129,((Loa+Lwl)/Bredde/6)^EW$3)</f>
        <v>1.0238711517816879</v>
      </c>
      <c r="EX130" s="107">
        <f>IF(SeilBeregnet=0,EX129,(Lwl*0.7+Loa*0.3)^EX$3)</f>
        <v>1.5778397502725663</v>
      </c>
      <c r="EY130" s="107">
        <f t="shared" si="952"/>
        <v>0.92805694247182091</v>
      </c>
      <c r="FA130" s="107">
        <f t="shared" si="941"/>
        <v>1.7869290537499993</v>
      </c>
      <c r="FB130" s="107">
        <f>IF(SeilBeregnet=0,FB129,SeilBeregnet^0.5/Depl^0.3333)</f>
        <v>3.1186692169023154</v>
      </c>
      <c r="FC130" s="107">
        <f>IF(SeilBeregnet=0,FC129,((Loa+Lwl)/Bredde/6)^FC$3)</f>
        <v>1.0238711517816879</v>
      </c>
      <c r="FD130" s="107">
        <f>IF(SeilBeregnet=0,FD129,(Lwl*0.7+Loa*0.3)^FD$3)</f>
        <v>1.5778397502725663</v>
      </c>
      <c r="FE130" s="107">
        <f t="shared" si="953"/>
        <v>0.96183454810511915</v>
      </c>
      <c r="FF130" s="141" t="str">
        <f t="shared" si="1122"/>
        <v>-</v>
      </c>
      <c r="FG130" s="107">
        <f t="shared" si="942"/>
        <v>3.2693387865354167</v>
      </c>
      <c r="FH130" s="133">
        <f>IF(SeilBeregnet=0,FH129,(SeilBeregnet^0.5/(Depl^0.3333))^FH$3)</f>
        <v>3.1186692169023154</v>
      </c>
      <c r="FI130" s="133">
        <f>IF(SeilBeregnet=0,FI129,((Loa+Lwl)/Bredde/6)^FI$3)</f>
        <v>1.0483121354507603</v>
      </c>
      <c r="FJ130" s="107">
        <f>IF(SeilBeregnet=0,FJ129,(Lwl*0.07+Loa*0.03)^FJ$3)</f>
        <v>0.88728449610628435</v>
      </c>
      <c r="FK130" s="107">
        <f t="shared" si="954"/>
        <v>0.94701260686401822</v>
      </c>
      <c r="FL130" s="141" t="str">
        <f t="shared" si="1123"/>
        <v>-</v>
      </c>
      <c r="FM130" s="107">
        <f t="shared" si="943"/>
        <v>5.1921515703779511</v>
      </c>
      <c r="FN130" s="133">
        <f>IF(SeilBeregnet=0,FN129,(SeilBeregnet^0.5/(Depl^0.3333))^FN$3)</f>
        <v>3.1186692169023154</v>
      </c>
      <c r="FO130" s="133">
        <f>IF(SeilBeregnet=0,FO129,(SeilBeregnet^0.5/Lwl*FO$7)^FO$3)</f>
        <v>0.71102430025671814</v>
      </c>
      <c r="FP130" s="133">
        <f>IF(SeilBeregnet=0,FP129,((Loa)/Bredde)^FP$3*FP$7)</f>
        <v>1.8624580532189174</v>
      </c>
      <c r="FQ130" s="107">
        <f>IF(SeilBeregnet=0,FQ129,(Lwl)^FQ$3)</f>
        <v>1.5650845800732873</v>
      </c>
      <c r="FR130" s="107">
        <f t="shared" si="955"/>
        <v>0.96246149637162148</v>
      </c>
      <c r="FS130" s="141" t="str">
        <f t="shared" si="1124"/>
        <v>-</v>
      </c>
      <c r="FT130" s="107">
        <f t="shared" si="944"/>
        <v>5.8083905983456523</v>
      </c>
      <c r="FU130" s="133">
        <f>IF(SeilBeregnet=0,FU129,(SeilBeregnet^0.5/(Depl^0.3333))^FU$3)</f>
        <v>3.1186692169023154</v>
      </c>
      <c r="FV130" s="133">
        <f>IF(SeilBeregnet=0,FV129,(Loa/Bredde)^FV$3)</f>
        <v>1.8624580532189174</v>
      </c>
      <c r="FW130" s="107">
        <f>IF(SeilBeregnet=0,FW129,Lwl^FW$3)</f>
        <v>1.5650845800732873</v>
      </c>
      <c r="FX130" s="126">
        <v>1.02</v>
      </c>
      <c r="FY130">
        <v>0.95</v>
      </c>
      <c r="FZ130" s="62">
        <f t="shared" si="711"/>
        <v>0.99988303442035709</v>
      </c>
      <c r="GA130" s="62">
        <f t="shared" si="712"/>
        <v>2.2090450153584196</v>
      </c>
      <c r="GB130" s="107">
        <f t="shared" si="798"/>
        <v>1.5976863910976948</v>
      </c>
      <c r="GC130" s="440"/>
      <c r="GD130" s="17"/>
      <c r="GE130" s="442"/>
      <c r="GF130" s="462"/>
      <c r="GG130" s="17"/>
      <c r="GH130" s="17"/>
      <c r="GI130" s="17"/>
      <c r="GJ130" s="17"/>
      <c r="GL130" s="17"/>
      <c r="GM130" s="442"/>
      <c r="GN130" s="8"/>
      <c r="GO130" s="8"/>
      <c r="GP130" s="8"/>
      <c r="GQ130" s="8"/>
      <c r="GS130" s="17"/>
      <c r="GT130" s="17"/>
      <c r="GU130" s="17"/>
      <c r="GV130" s="629"/>
      <c r="GW130" s="17"/>
      <c r="GX130" s="17"/>
      <c r="GY130" s="17"/>
      <c r="GZ130" s="17"/>
    </row>
    <row r="131" spans="1:208" ht="15.6" x14ac:dyDescent="0.3">
      <c r="A131" s="60" t="s">
        <v>939</v>
      </c>
      <c r="B131" s="218"/>
      <c r="C131" s="61" t="str">
        <f t="shared" si="1166"/>
        <v>SPRI</v>
      </c>
      <c r="D131" s="61"/>
      <c r="E131" s="61"/>
      <c r="F131" s="61"/>
      <c r="G131" s="54"/>
      <c r="H131" s="204">
        <f>TBFavrundet</f>
        <v>90.999999999999986</v>
      </c>
      <c r="I131" s="63">
        <f>COUNTA(O131:AG131)</f>
        <v>2</v>
      </c>
      <c r="J131" s="222">
        <f>SUM(O131:AG131)</f>
        <v>18.666666666666664</v>
      </c>
      <c r="K131" s="116">
        <f>Seilareal/Depl^0.667/K$7</f>
        <v>0.92411556225531688</v>
      </c>
      <c r="L131" s="116">
        <f>Seilareal/Lwl/Lwl/L$7</f>
        <v>0.78675814069102645</v>
      </c>
      <c r="M131" s="92">
        <f>RiggF</f>
        <v>0.86250000000000016</v>
      </c>
      <c r="N131" s="242">
        <f>StHfaktor</f>
        <v>0.99790131553475481</v>
      </c>
      <c r="O131" s="143"/>
      <c r="P131" s="143"/>
      <c r="Q131" s="143"/>
      <c r="R131" s="143"/>
      <c r="S131" s="143"/>
      <c r="T131" s="143"/>
      <c r="U131" s="165">
        <v>7</v>
      </c>
      <c r="V131" s="143"/>
      <c r="W131" s="143"/>
      <c r="X131" s="143"/>
      <c r="Y131" s="177">
        <f>Y127</f>
        <v>11.666666666666666</v>
      </c>
      <c r="Z131" s="143"/>
      <c r="AA131" s="143"/>
      <c r="AB131" s="143"/>
      <c r="AC131" s="143"/>
      <c r="AD131" s="143"/>
      <c r="AE131" s="143"/>
      <c r="AF131" s="143"/>
      <c r="AG131" s="551"/>
      <c r="AH131" s="557"/>
      <c r="AI131" s="557">
        <f t="shared" si="1154"/>
        <v>5.9</v>
      </c>
      <c r="AJ131" s="337">
        <f t="shared" ref="AJ131" si="1180" xml:space="preserve"> AJ130</f>
        <v>0</v>
      </c>
      <c r="AK131" s="339"/>
      <c r="AL131" s="337">
        <f t="shared" ref="AL131" si="1181" xml:space="preserve"> AL130</f>
        <v>0</v>
      </c>
      <c r="AM131" s="339"/>
      <c r="AN131" s="267" t="str">
        <f t="shared" si="1157"/>
        <v>Los</v>
      </c>
      <c r="AO131" s="45">
        <f>VLOOKUP(AN131,Skrogform!$1:$1048576,3,FALSE)</f>
        <v>0.97</v>
      </c>
      <c r="AP131" s="64">
        <f t="shared" ref="AP131:AZ131" si="1182">AP130</f>
        <v>6.66</v>
      </c>
      <c r="AQ131" s="64">
        <f t="shared" si="1182"/>
        <v>6</v>
      </c>
      <c r="AR131" s="64">
        <f t="shared" si="1182"/>
        <v>1.92</v>
      </c>
      <c r="AS131" s="64">
        <f t="shared" si="1182"/>
        <v>1.3</v>
      </c>
      <c r="AT131" s="64">
        <f t="shared" ref="AT131" si="1183">AT130</f>
        <v>2.56</v>
      </c>
      <c r="AU131" s="64">
        <f t="shared" si="1182"/>
        <v>2.56</v>
      </c>
      <c r="AV131" s="64">
        <f t="shared" si="1182"/>
        <v>0.9</v>
      </c>
      <c r="AW131" s="64">
        <f t="shared" si="1182"/>
        <v>0.26</v>
      </c>
      <c r="AX131" s="256">
        <f>AX130</f>
        <v>0</v>
      </c>
      <c r="AY131" s="256">
        <f t="shared" si="1182"/>
        <v>10</v>
      </c>
      <c r="AZ131" s="256">
        <f t="shared" si="1182"/>
        <v>70</v>
      </c>
      <c r="BA131" s="256">
        <f t="shared" ref="BA131:BB131" si="1184">BA130</f>
        <v>0</v>
      </c>
      <c r="BB131" s="256">
        <f t="shared" si="1184"/>
        <v>0</v>
      </c>
      <c r="BC131" s="256"/>
      <c r="BD131" s="66"/>
      <c r="BE131" s="66"/>
      <c r="BF131" s="261"/>
      <c r="BG131" s="66"/>
      <c r="BH131" s="175"/>
      <c r="BI131" s="66"/>
      <c r="BJ131" s="66"/>
      <c r="BK131" s="65" t="str">
        <f t="shared" ref="BK131:BM131" si="1185" xml:space="preserve"> BK130</f>
        <v>Seilrett</v>
      </c>
      <c r="BL131" s="267">
        <f t="shared" si="1185"/>
        <v>3</v>
      </c>
      <c r="BM131" s="267">
        <f t="shared" si="1185"/>
        <v>33</v>
      </c>
      <c r="BN131" s="45">
        <f t="shared" si="991"/>
        <v>1</v>
      </c>
      <c r="BO131" s="59">
        <f t="shared" si="1173"/>
        <v>-0.02</v>
      </c>
      <c r="BP131" s="59"/>
      <c r="BR131" s="49">
        <f t="shared" si="1162"/>
        <v>0</v>
      </c>
      <c r="BS131" s="49">
        <f t="shared" si="1162"/>
        <v>0</v>
      </c>
      <c r="BT131" s="49">
        <f t="shared" si="1162"/>
        <v>0</v>
      </c>
      <c r="BU131" s="49">
        <f t="shared" si="1162"/>
        <v>0</v>
      </c>
      <c r="BV131" s="49">
        <f t="shared" si="1162"/>
        <v>0</v>
      </c>
      <c r="BW131" s="49">
        <f t="shared" si="1162"/>
        <v>0</v>
      </c>
      <c r="BX131" s="49">
        <f t="shared" si="1162"/>
        <v>7</v>
      </c>
      <c r="BY131" s="549">
        <f>IF(COUNT(Q131:U131)&gt;1,MINA(Q131:U131)*BY$9,0)</f>
        <v>0</v>
      </c>
      <c r="BZ131" s="85">
        <f t="shared" si="1163"/>
        <v>0</v>
      </c>
      <c r="CA131" s="85">
        <f t="shared" si="1163"/>
        <v>0</v>
      </c>
      <c r="CB131" s="85">
        <f t="shared" si="1163"/>
        <v>0</v>
      </c>
      <c r="CC131" s="85">
        <f t="shared" si="1163"/>
        <v>9.1</v>
      </c>
      <c r="CD131" s="85">
        <f t="shared" si="1163"/>
        <v>0</v>
      </c>
      <c r="CE131" s="85">
        <f>IF(AC131=0,0,AC131*CE$9)</f>
        <v>0</v>
      </c>
      <c r="CF131" s="85">
        <f t="shared" si="1164"/>
        <v>0</v>
      </c>
      <c r="CG131" s="85">
        <f t="shared" si="1164"/>
        <v>0</v>
      </c>
      <c r="CH131" s="85">
        <f t="shared" si="1165"/>
        <v>0</v>
      </c>
      <c r="CI131" s="85">
        <f t="shared" si="1165"/>
        <v>0</v>
      </c>
      <c r="CJ131" s="85">
        <f t="shared" si="1165"/>
        <v>0</v>
      </c>
      <c r="CK131" s="85">
        <f t="shared" si="1165"/>
        <v>0</v>
      </c>
      <c r="CL131" s="100">
        <f>SUM(BR131:CK131)</f>
        <v>16.100000000000001</v>
      </c>
      <c r="CM131" s="50"/>
      <c r="CN131" s="104">
        <f>J131</f>
        <v>18.666666666666664</v>
      </c>
      <c r="CO131" s="101">
        <f>CL131/CN131</f>
        <v>0.86250000000000016</v>
      </c>
      <c r="CP131" s="51">
        <f>Seilareal/Lwl/Lwl</f>
        <v>0.51851851851851849</v>
      </c>
      <c r="CQ131" s="116">
        <f>Seilareal/Depl^0.667/K$7</f>
        <v>0.92411556225531688</v>
      </c>
      <c r="CR131" s="51">
        <f>Seilareal/Lwl/Lwl/SApRS1</f>
        <v>0.78675814069102645</v>
      </c>
      <c r="CS131" s="204"/>
      <c r="CT131" s="204">
        <f>(ROUND(TBF/CT$6,3)*CT$6)*CT$4</f>
        <v>90.999999999999986</v>
      </c>
      <c r="CU131" s="107">
        <f t="shared" si="36"/>
        <v>0.91233940913709588</v>
      </c>
      <c r="CV131" s="62">
        <f t="shared" si="789"/>
        <v>2.8545052043495009</v>
      </c>
      <c r="CW131" s="62">
        <f t="shared" si="14"/>
        <v>1.8157298807917437</v>
      </c>
      <c r="CX131" s="62">
        <f t="shared" si="790"/>
        <v>1.5650845800732873</v>
      </c>
      <c r="CY131" s="107">
        <f t="shared" si="16"/>
        <v>0.99790131553475481</v>
      </c>
      <c r="CZ131" s="168" t="str">
        <f t="shared" si="1112"/>
        <v>-</v>
      </c>
      <c r="DA131" s="158"/>
      <c r="DB131" s="168" t="str">
        <f t="shared" si="1113"/>
        <v>-</v>
      </c>
      <c r="DC131" s="160"/>
      <c r="DD131" s="190" t="s">
        <v>134</v>
      </c>
      <c r="DE131" s="62" t="s">
        <v>102</v>
      </c>
      <c r="DF131" s="62" t="s">
        <v>102</v>
      </c>
      <c r="DG131" s="62" t="s">
        <v>102</v>
      </c>
      <c r="DH131" s="150" t="s">
        <v>102</v>
      </c>
      <c r="DI131" s="62">
        <f t="shared" si="695"/>
        <v>2.2109125593033214</v>
      </c>
      <c r="DJ131" s="47">
        <f t="shared" si="696"/>
        <v>14.573991031390134</v>
      </c>
      <c r="DK131" s="48">
        <f t="shared" si="1114"/>
        <v>0</v>
      </c>
      <c r="DM131" s="107">
        <f t="shared" si="950"/>
        <v>0.91070209642452593</v>
      </c>
      <c r="DN131" s="141" t="str">
        <f t="shared" si="1115"/>
        <v>-</v>
      </c>
      <c r="DO131" s="107">
        <f t="shared" si="1116"/>
        <v>4.7956910211129049</v>
      </c>
      <c r="DP131" s="133">
        <f>IF(SeilBeregnet=0,DP130,(SeilBeregnet^0.5/(Depl^0.3333))^DP$3*DP$7)</f>
        <v>2.933232967893987</v>
      </c>
      <c r="DQ131" s="133">
        <f>IF(SeilBeregnet=0,DQ130,(SeilBeregnet^0.5/Lwl)^DQ$3*DQ$7)</f>
        <v>0</v>
      </c>
      <c r="DR131" s="133">
        <f>IF(SeilBeregnet=0,DR130,(0.1*Loa/Depl^0.3333)^DR$3*DR$7)</f>
        <v>0</v>
      </c>
      <c r="DS131" s="133">
        <f>IF(SeilBeregnet=0,DS130,((Loa)/Bredde)^DS$3*DS$7)</f>
        <v>1.8624580532189174</v>
      </c>
      <c r="DT131" s="107">
        <f>IF(SeilBeregnet=0,DT130,(Lwl)^DT$3)</f>
        <v>1.5650845800732873</v>
      </c>
      <c r="DU131" s="133">
        <f>IF(SeilBeregnet=0,DU130,(Dypg/Loa)^DU$3*5*DU$7)</f>
        <v>2.2090450153584196</v>
      </c>
      <c r="DW131" s="107">
        <f t="shared" si="417"/>
        <v>0.94117464859494415</v>
      </c>
      <c r="DX131" s="107">
        <f t="shared" si="699"/>
        <v>0.89200058004563509</v>
      </c>
      <c r="DZ131" s="107">
        <f t="shared" si="700"/>
        <v>0.94081030747678085</v>
      </c>
      <c r="EA131" s="122" t="str">
        <f t="shared" si="1117"/>
        <v>-</v>
      </c>
      <c r="EB131" s="107">
        <f t="shared" si="1118"/>
        <v>0.9238648911398909</v>
      </c>
      <c r="EC131" s="122" t="str">
        <f t="shared" si="1119"/>
        <v>-</v>
      </c>
      <c r="ED131" s="107">
        <f>IF(SeilBeregnet=0,ED130,SeilBeregnet^0.5/Depl^0.33333)</f>
        <v>2.9331502512518854</v>
      </c>
      <c r="EE131" s="107">
        <f>IF(SeilBeregnet=0,EE130,Lwl^0.3333)</f>
        <v>1.8170120679720481</v>
      </c>
      <c r="EF131" s="107">
        <f>IF(SeilBeregnet=0,EF130,((Loa+Lwl)/Bredde)^EF$3)</f>
        <v>1.6024449516353962</v>
      </c>
      <c r="EH131" s="107">
        <f t="shared" si="1120"/>
        <v>0.9431884613867183</v>
      </c>
      <c r="EJ131" s="107">
        <f>IF(SeilBeregnet=0,EJ130,SeilBeregnet^0.5/Depl^0.33333)</f>
        <v>2.9331502512518854</v>
      </c>
      <c r="EK131" s="107">
        <f>IF(SeilBeregnet=0,EK130,Lwl^EK$3)</f>
        <v>1.8171097400544527</v>
      </c>
      <c r="EL131" s="107">
        <f>IF(SeilBeregnet=0,EL130,((Loa+Lwl)/Bredde)^EL$3)</f>
        <v>1.8750672763232756</v>
      </c>
      <c r="EM131" s="107">
        <f t="shared" si="1121"/>
        <v>0.91466500625664748</v>
      </c>
      <c r="EO131" s="107">
        <f>IF(SeilBeregnet=0,EO130,(EP131*EQ131)^EO$3)</f>
        <v>4.7002118125066783</v>
      </c>
      <c r="EP131" s="107">
        <f>IF(SeilBeregnet=0,EP130,SeilBeregnet^0.5/Depl^0.33333)</f>
        <v>2.9331502512518854</v>
      </c>
      <c r="EQ131" s="107">
        <f>IF(SeilBeregnet=0,EQ130,((Loa+Lwl)/Bredde)^EQ$3)</f>
        <v>1.6024449516353962</v>
      </c>
      <c r="ER131" s="107">
        <f>IF(SeilBeregnet=0,ER130,Lwl^ER$3)</f>
        <v>1.5650845800732873</v>
      </c>
      <c r="ES131" s="107">
        <f t="shared" si="951"/>
        <v>0.91606653479788513</v>
      </c>
      <c r="EU131" s="107">
        <f>IF(SeilBeregnet=0,EU130,(EV:EV*EW:EW)^EU$3)</f>
        <v>1.7329650677662303</v>
      </c>
      <c r="EV131" s="107">
        <f>IF(SeilBeregnet=0,EV130,SeilBeregnet^0.5/Depl^0.33333)</f>
        <v>2.9331502512518854</v>
      </c>
      <c r="EW131" s="107">
        <f>IF(SeilBeregnet=0,EW130,((Loa+Lwl)/Bredde/6)^EW$3)</f>
        <v>1.0238711517816879</v>
      </c>
      <c r="EX131" s="107">
        <f>IF(SeilBeregnet=0,EX130,(Lwl*0.7+Loa*0.3)^EX$3)</f>
        <v>1.5778397502725663</v>
      </c>
      <c r="EY131" s="107">
        <f t="shared" si="952"/>
        <v>0.89943926147491682</v>
      </c>
      <c r="FA131" s="107">
        <f t="shared" si="941"/>
        <v>1.7329895029346354</v>
      </c>
      <c r="FB131" s="107">
        <f>IF(SeilBeregnet=0,FB130,SeilBeregnet^0.5/Depl^0.3333)</f>
        <v>2.933232967893987</v>
      </c>
      <c r="FC131" s="107">
        <f>IF(SeilBeregnet=0,FC130,((Loa+Lwl)/Bredde/6)^FC$3)</f>
        <v>1.0238711517816879</v>
      </c>
      <c r="FD131" s="107">
        <f>IF(SeilBeregnet=0,FD130,(Lwl*0.7+Loa*0.3)^FD$3)</f>
        <v>1.5778397502725663</v>
      </c>
      <c r="FE131" s="107">
        <f t="shared" si="953"/>
        <v>0.92561296440670382</v>
      </c>
      <c r="FF131" s="141" t="str">
        <f t="shared" si="1122"/>
        <v>-</v>
      </c>
      <c r="FG131" s="107">
        <f t="shared" si="942"/>
        <v>3.0749437163475171</v>
      </c>
      <c r="FH131" s="133">
        <f>IF(SeilBeregnet=0,FH130,(SeilBeregnet^0.5/(Depl^0.3333))^FH$3)</f>
        <v>2.933232967893987</v>
      </c>
      <c r="FI131" s="133">
        <f>IF(SeilBeregnet=0,FI130,((Loa+Lwl)/Bredde/6)^FI$3)</f>
        <v>1.0483121354507603</v>
      </c>
      <c r="FJ131" s="107">
        <f>IF(SeilBeregnet=0,FJ130,(Lwl*0.07+Loa*0.03)^FJ$3)</f>
        <v>0.88728449610628435</v>
      </c>
      <c r="FK131" s="107">
        <f t="shared" si="954"/>
        <v>0.90460203642915049</v>
      </c>
      <c r="FL131" s="141" t="str">
        <f t="shared" si="1123"/>
        <v>-</v>
      </c>
      <c r="FM131" s="107">
        <f t="shared" si="943"/>
        <v>4.964437776037534</v>
      </c>
      <c r="FN131" s="133">
        <f>IF(SeilBeregnet=0,FN130,(SeilBeregnet^0.5/(Depl^0.3333))^FN$3)</f>
        <v>2.933232967893987</v>
      </c>
      <c r="FO131" s="133">
        <f>IF(SeilBeregnet=0,FO130,(SeilBeregnet^0.5/Lwl*FO$7)^FO$3)</f>
        <v>0.66874675492462943</v>
      </c>
      <c r="FP131" s="133">
        <f>IF(SeilBeregnet=0,FP130,((Loa)/Bredde)^FP$3*FP$7)</f>
        <v>1.8624580532189174</v>
      </c>
      <c r="FQ131" s="107">
        <f>IF(SeilBeregnet=0,FQ130,(Lwl)^FQ$3)</f>
        <v>1.5650845800732873</v>
      </c>
      <c r="FR131" s="107">
        <f t="shared" si="955"/>
        <v>0.92786764456563364</v>
      </c>
      <c r="FS131" s="141" t="str">
        <f t="shared" si="1124"/>
        <v>-</v>
      </c>
      <c r="FT131" s="107">
        <f t="shared" si="944"/>
        <v>5.4630233630213825</v>
      </c>
      <c r="FU131" s="133">
        <f>IF(SeilBeregnet=0,FU130,(SeilBeregnet^0.5/(Depl^0.3333))^FU$3)</f>
        <v>2.933232967893987</v>
      </c>
      <c r="FV131" s="133">
        <f>IF(SeilBeregnet=0,FV130,(Loa/Bredde)^FV$3)</f>
        <v>1.8624580532189174</v>
      </c>
      <c r="FW131" s="107">
        <f>IF(SeilBeregnet=0,FW130,Lwl^FW$3)</f>
        <v>1.5650845800732873</v>
      </c>
      <c r="FY131">
        <v>0.95</v>
      </c>
      <c r="FZ131" s="62">
        <f t="shared" si="711"/>
        <v>0.97409627129465792</v>
      </c>
      <c r="GA131" s="62">
        <f t="shared" si="712"/>
        <v>2.2090450153584196</v>
      </c>
      <c r="GB131" s="107">
        <f t="shared" si="798"/>
        <v>1.564966473070716</v>
      </c>
      <c r="GC131" s="440"/>
      <c r="GD131" s="17"/>
      <c r="GE131" s="442"/>
      <c r="GF131" s="462"/>
      <c r="GG131" s="17"/>
      <c r="GH131" s="17"/>
      <c r="GI131" s="17"/>
      <c r="GJ131" s="17"/>
      <c r="GL131" s="17"/>
      <c r="GM131" s="442"/>
      <c r="GN131" s="8"/>
      <c r="GO131" s="8"/>
      <c r="GP131" s="8"/>
      <c r="GQ131" s="8"/>
      <c r="GS131" s="17"/>
      <c r="GT131" s="17"/>
      <c r="GU131" s="17"/>
      <c r="GV131" s="629"/>
      <c r="GW131" s="17"/>
      <c r="GX131" s="17"/>
      <c r="GY131" s="17"/>
      <c r="GZ131" s="17"/>
    </row>
    <row r="132" spans="1:208" ht="15.6" x14ac:dyDescent="0.3">
      <c r="A132" s="52" t="s">
        <v>667</v>
      </c>
      <c r="B132" s="218">
        <f t="shared" si="10"/>
        <v>31.824146981627294</v>
      </c>
      <c r="C132" s="53" t="s">
        <v>38</v>
      </c>
      <c r="D132" s="53"/>
      <c r="E132" s="53"/>
      <c r="F132" s="53"/>
      <c r="G132" s="54"/>
      <c r="H132" s="112">
        <f>J133</f>
        <v>61</v>
      </c>
      <c r="I132" s="601">
        <f>H133/100</f>
        <v>1.3250000000000002</v>
      </c>
      <c r="J132" s="651">
        <f>IF(DC133=0,"-",DC133)</f>
        <v>1.26</v>
      </c>
      <c r="K132" s="123" t="str">
        <f>A132</f>
        <v>Taralden</v>
      </c>
      <c r="L132" s="116"/>
      <c r="M132" s="116"/>
      <c r="N132" s="92"/>
      <c r="O132" s="165"/>
      <c r="P132" s="165"/>
      <c r="Q132" s="165">
        <v>27</v>
      </c>
      <c r="R132" s="165">
        <v>10</v>
      </c>
      <c r="S132" s="165"/>
      <c r="T132" s="165"/>
      <c r="U132" s="165">
        <v>17</v>
      </c>
      <c r="V132" s="559"/>
      <c r="W132" s="559"/>
      <c r="X132" s="165"/>
      <c r="Y132" s="165"/>
      <c r="Z132" s="165"/>
      <c r="AA132" s="165"/>
      <c r="AB132" s="165"/>
      <c r="AC132" s="165"/>
      <c r="AD132" s="165"/>
      <c r="AE132" s="165">
        <v>17</v>
      </c>
      <c r="AF132" s="165"/>
      <c r="AG132" s="552"/>
      <c r="AH132" s="244"/>
      <c r="AI132" s="244">
        <v>9.8000000000000007</v>
      </c>
      <c r="AJ132" s="554"/>
      <c r="AK132" s="339"/>
      <c r="AL132" s="268"/>
      <c r="AM132" s="339"/>
      <c r="AN132" s="268" t="s">
        <v>214</v>
      </c>
      <c r="AO132" s="45">
        <f>VLOOKUP(AN132,Skrogform!$1:$1048576,3,FALSE)</f>
        <v>1</v>
      </c>
      <c r="AP132" s="55">
        <v>9.6999999999999993</v>
      </c>
      <c r="AQ132" s="55">
        <v>8.8000000000000007</v>
      </c>
      <c r="AR132" s="55">
        <v>2.7</v>
      </c>
      <c r="AS132" s="55">
        <v>1.4</v>
      </c>
      <c r="AT132" s="637">
        <v>5.8</v>
      </c>
      <c r="AU132" s="55">
        <v>5.8</v>
      </c>
      <c r="AV132" s="55">
        <v>2.6</v>
      </c>
      <c r="AW132" s="55">
        <v>0.03</v>
      </c>
      <c r="AX132" s="253"/>
      <c r="AY132" s="253">
        <v>31</v>
      </c>
      <c r="AZ132" s="253">
        <v>150</v>
      </c>
      <c r="BA132" s="253"/>
      <c r="BB132" s="253"/>
      <c r="BC132" s="244">
        <f>Depl+Diesel/1000*0.84+Vann/1000</f>
        <v>5.8</v>
      </c>
      <c r="BD132" s="95">
        <f>Bredde/(Loa+Lwl)*2</f>
        <v>0.29189189189189191</v>
      </c>
      <c r="BE132" s="95">
        <f>(Kjøl+Ballast)/Depl</f>
        <v>0.45344827586206898</v>
      </c>
      <c r="BF132" s="260">
        <f>BF$7*((Depl-Kjøl-Ballast-VektMotor/1000-VektAnnet/1000)/Lwl/Lwl/Bredde)</f>
        <v>0.54507649955263582</v>
      </c>
      <c r="BG132" s="95">
        <f>BG$7*(Depl/Loa/Lwl/Lwl)</f>
        <v>0.56820512961148495</v>
      </c>
      <c r="BH132" s="174">
        <f>BH$7*(Depl/Loa/Lwl/Bredde)</f>
        <v>0.68453612152452359</v>
      </c>
      <c r="BI132" s="95">
        <f>BI$7*Bredde/(Loa+Lwl)*2</f>
        <v>0.83267654751525721</v>
      </c>
      <c r="BJ132" s="95">
        <f>BJ$7*(Dypg/Lwl)</f>
        <v>0.87015810276679828</v>
      </c>
      <c r="BK132" s="56" t="s">
        <v>21</v>
      </c>
      <c r="BL132" s="268">
        <v>2</v>
      </c>
      <c r="BM132" s="268">
        <v>43</v>
      </c>
      <c r="BN132" s="45">
        <f>IF((BK132="Fast"),(1.006248-(0.06415*((BM132/100*SQRT(BL132))/POWER(AU132,(1/3))))),1)</f>
        <v>1</v>
      </c>
      <c r="BO132" s="59"/>
      <c r="BP132" s="59"/>
      <c r="BR132" s="209"/>
      <c r="BS132" s="209"/>
      <c r="BT132" s="209" t="str">
        <f>$A132</f>
        <v>Taralden</v>
      </c>
      <c r="BU132" s="10"/>
      <c r="BV132" s="10"/>
      <c r="BW132" s="10"/>
      <c r="BX132" s="10"/>
      <c r="BY132" s="549"/>
      <c r="BZ132" s="10"/>
      <c r="CA132" s="10"/>
      <c r="CB132" s="209" t="str">
        <f>$A132</f>
        <v>Taralden</v>
      </c>
      <c r="CC132" s="10"/>
      <c r="CD132" s="10"/>
      <c r="CE132" s="10"/>
      <c r="CF132" s="10"/>
      <c r="CG132" s="10"/>
      <c r="CH132" s="10"/>
      <c r="CI132" s="10"/>
      <c r="CJ132" s="10"/>
      <c r="CK132" s="10"/>
      <c r="CL132" s="209"/>
      <c r="CM132" s="10"/>
      <c r="CN132" s="209" t="str">
        <f>$A132</f>
        <v>Taralden</v>
      </c>
      <c r="CO132" s="207"/>
      <c r="CP132" s="207"/>
      <c r="CQ132" s="116"/>
      <c r="CR132" s="207"/>
      <c r="CS132" s="203"/>
      <c r="CT132" s="203" t="s">
        <v>23</v>
      </c>
      <c r="CU132" s="107" t="str">
        <f t="shared" si="36"/>
        <v>-</v>
      </c>
      <c r="CV132" s="62" t="str">
        <f t="shared" si="789"/>
        <v>-</v>
      </c>
      <c r="CW132" s="62" t="str">
        <f t="shared" si="14"/>
        <v>-</v>
      </c>
      <c r="CX132" s="62" t="str">
        <f t="shared" si="790"/>
        <v>-</v>
      </c>
      <c r="CY132" s="107" t="str">
        <f t="shared" si="16"/>
        <v>-</v>
      </c>
      <c r="CZ132" s="168" t="str">
        <f>IF(DA132=0,"-",IF(CP132="TBF","-",CZ$7*DA132))</f>
        <v>-</v>
      </c>
      <c r="DA132" s="158"/>
      <c r="DB132" s="168" t="str">
        <f>IF(DC132=0,"-",IF(CT132="TBF","-",DB$7*DC132))</f>
        <v>-</v>
      </c>
      <c r="DC132" s="160">
        <v>1.26</v>
      </c>
      <c r="DD132" s="190" t="s">
        <v>134</v>
      </c>
      <c r="DE132" s="29" t="s">
        <v>23</v>
      </c>
      <c r="DF132" s="29" t="s">
        <v>23</v>
      </c>
      <c r="DG132" s="29" t="s">
        <v>23</v>
      </c>
      <c r="DH132" s="149">
        <v>2022</v>
      </c>
      <c r="DI132" s="62" t="str">
        <f t="shared" si="39"/>
        <v>-</v>
      </c>
      <c r="DJ132" s="47">
        <f t="shared" si="17"/>
        <v>11.2</v>
      </c>
      <c r="DK132" s="48">
        <f>DJ$7*IF(DJ132&lt;DJ$5,-0.04,IF(DJ132&lt;DJ$5*1.1,-0.03,IF(DJ132&lt;DJ$5*1.2,-0.02,IF(DJ132&lt;DJ$5*1.3,-0.01,0))))</f>
        <v>0</v>
      </c>
      <c r="DM132" s="107" t="str">
        <f t="shared" si="950"/>
        <v>-</v>
      </c>
      <c r="DN132" s="141" t="str">
        <f>IF($DY132=0,"-",(DM132-$DW132)*100)</f>
        <v>-</v>
      </c>
      <c r="DO132" s="107">
        <f>SUM(DP132:DS132)^DO$3+DO$7</f>
        <v>5.2182450623375232</v>
      </c>
      <c r="DP132" s="133">
        <f>IF(SeilBeregnet=0,DP82,(SeilBeregnet^0.5/(Depl^0.3333))^DP$3*DP$7)</f>
        <v>3.3536421056610863</v>
      </c>
      <c r="DQ132" s="133">
        <f>IF(SeilBeregnet=0,DQ82,(SeilBeregnet^0.5/Lwl)^DQ$3*DQ$7)</f>
        <v>0</v>
      </c>
      <c r="DR132" s="133">
        <f>IF(SeilBeregnet=0,DR82,(0.1*Loa/Depl^0.3333)^DR$3*DR$7)</f>
        <v>0</v>
      </c>
      <c r="DS132" s="133">
        <f>IF(SeilBeregnet=0,DS82,((Loa)/Bredde)^DS$3*DS$7)</f>
        <v>1.8646029566764373</v>
      </c>
      <c r="DT132" s="107">
        <f>IF(SeilBeregnet=0,DT82,(Lwl)^DT$3)</f>
        <v>1.8859172433475835</v>
      </c>
      <c r="DU132" s="133">
        <f>IF(SeilBeregnet=0,DU82,(Dypg/Loa)^DU$3*5*DU$7)</f>
        <v>2.0446520502738266</v>
      </c>
      <c r="DW132" s="107" t="str">
        <f t="shared" si="769"/>
        <v>-</v>
      </c>
      <c r="DX132" s="107" t="str">
        <f t="shared" si="40"/>
        <v>-</v>
      </c>
      <c r="DZ132" s="107" t="str">
        <f t="shared" si="41"/>
        <v>-</v>
      </c>
      <c r="EA132" s="122" t="str">
        <f>IF($DY132=0,"-",DZ132-$DW132)</f>
        <v>-</v>
      </c>
      <c r="EB132" s="107" t="str">
        <f>IF(SeilBeregnet=0,"-",EB$7*(EB$4*ED132*EE132*EF132*PropF+EB$6)+ErfaringsF+Dyp_F)</f>
        <v>-</v>
      </c>
      <c r="EC132" s="122" t="str">
        <f>IF($DY132=0,"-",EB132-$DW132)</f>
        <v>-</v>
      </c>
      <c r="ED132" s="107">
        <f>IF(SeilBeregnet=0,ED82,SeilBeregnet^0.5/Depl^0.33333)</f>
        <v>3.3533105303350115</v>
      </c>
      <c r="EE132" s="107">
        <f>IF(SeilBeregnet=0,EE82,Lwl^0.3333)</f>
        <v>2.3298436208665341</v>
      </c>
      <c r="EF132" s="107">
        <f>IF(SeilBeregnet=0,EF82,((Loa+Lwl)/Bredde)^EF$3)</f>
        <v>1.5916961163398649</v>
      </c>
      <c r="EH132" s="107" t="str">
        <f>IF(SeilBeregnet=0,"-",EH$7*(EH$4*EJ132*EK132*EL132*PropF+EH$6)+ErfaringsF+Dyp_F)</f>
        <v>-</v>
      </c>
      <c r="EJ132" s="107">
        <f>IF(SeilBeregnet=0,EJ82,SeilBeregnet^0.5/Depl^0.33333)</f>
        <v>3.3533105303350115</v>
      </c>
      <c r="EK132" s="107">
        <f>IF(SeilBeregnet=0,EK82,Lwl^EK$3)</f>
        <v>2.3300209979525235</v>
      </c>
      <c r="EL132" s="107">
        <f>IF(SeilBeregnet=0,EL82,((Loa+Lwl)/Bredde)^EL$3)</f>
        <v>1.8583176886572534</v>
      </c>
      <c r="EM132" s="107" t="str">
        <f>IF(SeilBeregnet=0,"-",EM$7*(EM$4*EO132+EM$6)*ER132*PropF+ErfaringsF+Dyp_F)</f>
        <v>-</v>
      </c>
      <c r="EO132" s="107">
        <f>IF(SeilBeregnet=0,EO82,(EP132*EQ132)^EO$3)</f>
        <v>5.3374513480158106</v>
      </c>
      <c r="EP132" s="107">
        <f>IF(SeilBeregnet=0,EP82,SeilBeregnet^0.5/Depl^0.33333)</f>
        <v>3.3533105303350115</v>
      </c>
      <c r="EQ132" s="107">
        <f>IF(SeilBeregnet=0,EQ82,((Loa+Lwl)/Bredde)^EQ$3)</f>
        <v>1.5916961163398649</v>
      </c>
      <c r="ER132" s="107">
        <f>IF(SeilBeregnet=0,ER82,Lwl^ER$3)</f>
        <v>1.8859172433475835</v>
      </c>
      <c r="ES132" s="107" t="str">
        <f t="shared" si="951"/>
        <v>-</v>
      </c>
      <c r="EU132" s="107">
        <f>IF(SeilBeregnet=0,EU82,(EV:EV*EW:EW)^EU$3)</f>
        <v>1.8467072678323095</v>
      </c>
      <c r="EV132" s="107">
        <f>IF(SeilBeregnet=0,EV82,SeilBeregnet^0.5/Depl^0.33333)</f>
        <v>3.3533105303350115</v>
      </c>
      <c r="EW132" s="107">
        <f>IF(SeilBeregnet=0,EW82,((Loa+Lwl)/Bredde/6)^EW$3)</f>
        <v>1.0170032575909294</v>
      </c>
      <c r="EX132" s="107">
        <f>IF(SeilBeregnet=0,EX82,(Lwl*0.7+Loa*0.3)^EX$3)</f>
        <v>1.9111244003334622</v>
      </c>
      <c r="EY132" s="107" t="str">
        <f t="shared" si="952"/>
        <v>-</v>
      </c>
      <c r="FA132" s="107">
        <f t="shared" si="941"/>
        <v>1.8467985667775</v>
      </c>
      <c r="FB132" s="107">
        <f>IF(SeilBeregnet=0,FB82,SeilBeregnet^0.5/Depl^0.3333)</f>
        <v>3.3536421056610863</v>
      </c>
      <c r="FC132" s="107">
        <f>IF(SeilBeregnet=0,FC82,((Loa+Lwl)/Bredde/6)^FC$3)</f>
        <v>1.0170032575909294</v>
      </c>
      <c r="FD132" s="107">
        <f>IF(SeilBeregnet=0,FD82,(Lwl*0.7+Loa*0.3)^FD$3)</f>
        <v>1.9111244003334622</v>
      </c>
      <c r="FE132" s="107" t="str">
        <f t="shared" si="953"/>
        <v>-</v>
      </c>
      <c r="FF132" s="141" t="str">
        <f>IF($DY132=0,"-",(FE132-$DW132)*100)</f>
        <v>-</v>
      </c>
      <c r="FG132" s="107">
        <f t="shared" si="942"/>
        <v>3.4686573608888951</v>
      </c>
      <c r="FH132" s="133">
        <f>IF(SeilBeregnet=0,FH82,(SeilBeregnet^0.5/(Depl^0.3333))^FH$3)</f>
        <v>3.3536421056610863</v>
      </c>
      <c r="FI132" s="133">
        <f>IF(SeilBeregnet=0,FI82,((Loa+Lwl)/Bredde/6)^FI$3)</f>
        <v>1.0342956259505622</v>
      </c>
      <c r="FJ132" s="107">
        <f>IF(SeilBeregnet=0,FJ82,(Lwl*0.07+Loa*0.03)^FJ$3)</f>
        <v>1.0747042278871302</v>
      </c>
      <c r="FK132" s="107" t="str">
        <f t="shared" si="954"/>
        <v>-</v>
      </c>
      <c r="FL132" s="141" t="str">
        <f>IF($DY132=0,"-",(FK132-$DW132)*100)</f>
        <v>-</v>
      </c>
      <c r="FM132" s="107">
        <f t="shared" si="943"/>
        <v>5.5134878348250673</v>
      </c>
      <c r="FN132" s="133">
        <f>IF(SeilBeregnet=0,FN82,(SeilBeregnet^0.5/(Depl^0.3333))^FN$3)</f>
        <v>3.3536421056610863</v>
      </c>
      <c r="FO132" s="133">
        <f>IF(SeilBeregnet=0,FO82,(SeilBeregnet^0.5/Lwl*FO$7)^FO$3)</f>
        <v>0.79524277248754416</v>
      </c>
      <c r="FP132" s="133">
        <f>IF(SeilBeregnet=0,FP82,((Loa)/Bredde)^FP$3*FP$7)</f>
        <v>1.8646029566764373</v>
      </c>
      <c r="FQ132" s="107">
        <f>IF(SeilBeregnet=0,FQ82,(Lwl)^FQ$3)</f>
        <v>1.8859172433475835</v>
      </c>
      <c r="FR132" s="107" t="str">
        <f t="shared" si="955"/>
        <v>-</v>
      </c>
      <c r="FS132" s="141" t="str">
        <f>IF($DY132=0,"-",(FR132-$DW132)*100)</f>
        <v>-</v>
      </c>
      <c r="FT132" s="107">
        <f t="shared" si="944"/>
        <v>6.253210985850254</v>
      </c>
      <c r="FU132" s="133">
        <f>IF(SeilBeregnet=0,FU82,(SeilBeregnet^0.5/(Depl^0.3333))^FU$3)</f>
        <v>3.3536421056610863</v>
      </c>
      <c r="FV132" s="133">
        <f>IF(SeilBeregnet=0,FV82,(Loa/Bredde)^FV$3)</f>
        <v>1.8646029566764373</v>
      </c>
      <c r="FW132" s="107">
        <f>IF(SeilBeregnet=0,FW82,Lwl^FW$3)</f>
        <v>1.8859172433475835</v>
      </c>
      <c r="FY132" s="336">
        <v>1</v>
      </c>
      <c r="FZ132" s="62" t="str">
        <f t="shared" si="711"/>
        <v>-</v>
      </c>
      <c r="GA132" s="62">
        <f t="shared" si="712"/>
        <v>1.8995387394523999</v>
      </c>
      <c r="GB132" s="107" t="str">
        <f t="shared" si="798"/>
        <v>-</v>
      </c>
      <c r="GC132" s="441" t="s">
        <v>669</v>
      </c>
      <c r="GD132" s="57" t="s">
        <v>670</v>
      </c>
      <c r="GE132" s="436" t="s">
        <v>671</v>
      </c>
      <c r="GF132" s="496" t="s">
        <v>672</v>
      </c>
      <c r="GG132" s="57" t="s">
        <v>673</v>
      </c>
      <c r="GH132" s="57" t="s">
        <v>674</v>
      </c>
      <c r="GI132" s="57" t="s">
        <v>416</v>
      </c>
      <c r="GJ132" s="57"/>
      <c r="GL132" s="57" t="s">
        <v>478</v>
      </c>
      <c r="GM132" s="436" t="s">
        <v>478</v>
      </c>
      <c r="GN132" s="58" t="s">
        <v>478</v>
      </c>
      <c r="GO132" s="58" t="s">
        <v>478</v>
      </c>
      <c r="GP132" s="58" t="s">
        <v>478</v>
      </c>
      <c r="GQ132" s="58" t="s">
        <v>478</v>
      </c>
      <c r="GS132" s="57" t="s">
        <v>675</v>
      </c>
      <c r="GT132" s="57" t="s">
        <v>676</v>
      </c>
      <c r="GU132" s="57" t="s">
        <v>677</v>
      </c>
      <c r="GV132" s="632" t="s">
        <v>677</v>
      </c>
      <c r="GW132" s="57" t="s">
        <v>918</v>
      </c>
      <c r="GX132" s="57" t="s">
        <v>431</v>
      </c>
      <c r="GY132" s="57" t="s">
        <v>438</v>
      </c>
      <c r="GZ132" s="57" t="s">
        <v>478</v>
      </c>
    </row>
    <row r="133" spans="1:208" ht="15.6" x14ac:dyDescent="0.3">
      <c r="A133" s="60" t="s">
        <v>668</v>
      </c>
      <c r="B133" s="218"/>
      <c r="C133" s="61" t="str">
        <f>C132</f>
        <v>Bermuda</v>
      </c>
      <c r="D133" s="61"/>
      <c r="E133" s="61"/>
      <c r="F133" s="61"/>
      <c r="G133" s="54"/>
      <c r="H133" s="204">
        <f>TBFavrundet</f>
        <v>132.50000000000003</v>
      </c>
      <c r="I133" s="63">
        <f>COUNTA(O133:AG133)</f>
        <v>3</v>
      </c>
      <c r="J133" s="222">
        <f>SUM(O133:AG133)</f>
        <v>61</v>
      </c>
      <c r="K133" s="116">
        <f>Seilareal/Depl^0.667/K$7</f>
        <v>1.7501647471409378</v>
      </c>
      <c r="L133" s="116">
        <f>Seilareal/Lwl/Lwl/L$7</f>
        <v>1.1952024218917139</v>
      </c>
      <c r="M133" s="92">
        <f>RiggF</f>
        <v>0.84672131147540985</v>
      </c>
      <c r="N133" s="242">
        <f>StHfaktor</f>
        <v>1.0135447430742779</v>
      </c>
      <c r="O133" s="143"/>
      <c r="P133" s="143"/>
      <c r="Q133" s="165">
        <v>27</v>
      </c>
      <c r="R133" s="143"/>
      <c r="S133" s="143"/>
      <c r="T133" s="143"/>
      <c r="U133" s="165">
        <v>17</v>
      </c>
      <c r="V133" s="559"/>
      <c r="W133" s="559"/>
      <c r="X133" s="143"/>
      <c r="Y133" s="143"/>
      <c r="Z133" s="143"/>
      <c r="AA133" s="143"/>
      <c r="AB133" s="143"/>
      <c r="AC133" s="143"/>
      <c r="AD133" s="143"/>
      <c r="AE133" s="165">
        <v>17</v>
      </c>
      <c r="AF133" s="143"/>
      <c r="AG133" s="551"/>
      <c r="AH133" s="557">
        <f>AH132</f>
        <v>0</v>
      </c>
      <c r="AI133" s="557">
        <f>AI132</f>
        <v>9.8000000000000007</v>
      </c>
      <c r="AJ133" s="337">
        <f xml:space="preserve"> AJ132</f>
        <v>0</v>
      </c>
      <c r="AK133" s="339"/>
      <c r="AL133" s="337">
        <f xml:space="preserve"> AL132</f>
        <v>0</v>
      </c>
      <c r="AM133" s="339"/>
      <c r="AN133" s="267" t="str">
        <f xml:space="preserve"> AN132</f>
        <v>Meter</v>
      </c>
      <c r="AO133" s="45">
        <f>VLOOKUP(AN133,Skrogform!$1:$1048576,3,FALSE)</f>
        <v>1</v>
      </c>
      <c r="AP133" s="64">
        <f t="shared" ref="AP133:BB133" si="1186">AP132</f>
        <v>9.6999999999999993</v>
      </c>
      <c r="AQ133" s="64">
        <f t="shared" si="1186"/>
        <v>8.8000000000000007</v>
      </c>
      <c r="AR133" s="64">
        <f t="shared" si="1186"/>
        <v>2.7</v>
      </c>
      <c r="AS133" s="64">
        <f t="shared" si="1186"/>
        <v>1.4</v>
      </c>
      <c r="AT133" s="64">
        <f t="shared" si="1186"/>
        <v>5.8</v>
      </c>
      <c r="AU133" s="64">
        <f t="shared" si="1186"/>
        <v>5.8</v>
      </c>
      <c r="AV133" s="64">
        <f t="shared" si="1186"/>
        <v>2.6</v>
      </c>
      <c r="AW133" s="64">
        <f t="shared" si="1186"/>
        <v>0.03</v>
      </c>
      <c r="AX133" s="256">
        <f t="shared" si="1186"/>
        <v>0</v>
      </c>
      <c r="AY133" s="256">
        <f t="shared" si="1186"/>
        <v>31</v>
      </c>
      <c r="AZ133" s="256">
        <f t="shared" si="1186"/>
        <v>150</v>
      </c>
      <c r="BA133" s="256">
        <f t="shared" si="1186"/>
        <v>0</v>
      </c>
      <c r="BB133" s="256">
        <f t="shared" si="1186"/>
        <v>0</v>
      </c>
      <c r="BC133" s="256"/>
      <c r="BD133" s="66"/>
      <c r="BE133" s="66"/>
      <c r="BF133" s="261"/>
      <c r="BG133" s="66"/>
      <c r="BH133" s="175"/>
      <c r="BI133" s="66"/>
      <c r="BJ133" s="66"/>
      <c r="BK133" s="65" t="str">
        <f xml:space="preserve"> BK132</f>
        <v>Seilrett</v>
      </c>
      <c r="BL133" s="267">
        <f xml:space="preserve"> BL132</f>
        <v>2</v>
      </c>
      <c r="BM133" s="267">
        <f xml:space="preserve"> BM132</f>
        <v>43</v>
      </c>
      <c r="BN133" s="45">
        <f>IF((BK133="Fast"),(1.006248-(0.06415*((BM133/100*SQRT(BL133))/POWER(AU133,(1/3))))),1)</f>
        <v>1</v>
      </c>
      <c r="BO133" s="59"/>
      <c r="BP133" s="59"/>
      <c r="BR133" s="49">
        <f t="shared" ref="BR133:BX136" si="1187">IF(O133=0,0,O133*BR$9)</f>
        <v>0</v>
      </c>
      <c r="BS133" s="49">
        <f t="shared" si="1187"/>
        <v>0</v>
      </c>
      <c r="BT133" s="49">
        <f t="shared" si="1187"/>
        <v>27</v>
      </c>
      <c r="BU133" s="49">
        <f t="shared" si="1187"/>
        <v>0</v>
      </c>
      <c r="BV133" s="49">
        <f t="shared" si="1187"/>
        <v>0</v>
      </c>
      <c r="BW133" s="49">
        <f t="shared" si="1187"/>
        <v>0</v>
      </c>
      <c r="BX133" s="49">
        <f t="shared" si="1187"/>
        <v>17</v>
      </c>
      <c r="BY133" s="549">
        <f>IF(COUNT(Q133:U133)&gt;1,MINA(Q133:U133)*BY$9,0)</f>
        <v>-8.5</v>
      </c>
      <c r="BZ133" s="85">
        <f t="shared" ref="BZ133:CD136" si="1188">IF(V133=0,0,V133*BZ$9)</f>
        <v>0</v>
      </c>
      <c r="CA133" s="85">
        <f t="shared" si="1188"/>
        <v>0</v>
      </c>
      <c r="CB133" s="85">
        <f t="shared" si="1188"/>
        <v>0</v>
      </c>
      <c r="CC133" s="85">
        <f t="shared" si="1188"/>
        <v>0</v>
      </c>
      <c r="CD133" s="85">
        <f t="shared" si="1188"/>
        <v>0</v>
      </c>
      <c r="CE133" s="85">
        <f>IF(AC133=0,0,AC133*CE$9)</f>
        <v>0</v>
      </c>
      <c r="CF133" s="85">
        <f t="shared" ref="CF133:CG136" si="1189">IF(AA133=0,0,AA133*CF$9)</f>
        <v>0</v>
      </c>
      <c r="CG133" s="85">
        <f t="shared" si="1189"/>
        <v>0</v>
      </c>
      <c r="CH133" s="85">
        <f t="shared" ref="CH133:CK136" si="1190">IF(AD133=0,0,AD133*CH$9)</f>
        <v>0</v>
      </c>
      <c r="CI133" s="85">
        <f t="shared" si="1190"/>
        <v>16.149999999999999</v>
      </c>
      <c r="CJ133" s="85">
        <f t="shared" si="1190"/>
        <v>0</v>
      </c>
      <c r="CK133" s="85">
        <f t="shared" si="1190"/>
        <v>0</v>
      </c>
      <c r="CL133" s="100">
        <f>SUM(BR133:CK133)</f>
        <v>51.65</v>
      </c>
      <c r="CM133" s="50"/>
      <c r="CN133" s="104">
        <f>J133</f>
        <v>61</v>
      </c>
      <c r="CO133" s="101">
        <f>CL133/CN133</f>
        <v>0.84672131147540985</v>
      </c>
      <c r="CP133" s="51">
        <f>Seilareal/Lwl/Lwl</f>
        <v>0.78770661157024791</v>
      </c>
      <c r="CQ133" s="116">
        <f>Seilareal/Depl^0.667/K$7</f>
        <v>1.7501647471409378</v>
      </c>
      <c r="CR133" s="51">
        <f>Seilareal/Lwl/Lwl/SApRS1</f>
        <v>1.1952024218917139</v>
      </c>
      <c r="CS133" s="204"/>
      <c r="CT133" s="204">
        <f>(ROUND(TBF/CT$6,3)*CT$6)*CT$4</f>
        <v>132.50000000000003</v>
      </c>
      <c r="CU133" s="107">
        <f t="shared" si="36"/>
        <v>1.3271193745741012</v>
      </c>
      <c r="CV133" s="62">
        <f t="shared" si="789"/>
        <v>4.0086149169109211</v>
      </c>
      <c r="CW133" s="62">
        <f t="shared" si="14"/>
        <v>1.8509256943286312</v>
      </c>
      <c r="CX133" s="62">
        <f t="shared" si="790"/>
        <v>1.7223470599267343</v>
      </c>
      <c r="CY133" s="107">
        <f t="shared" si="16"/>
        <v>1.0135447430742779</v>
      </c>
      <c r="CZ133" s="168" t="str">
        <f>IF(DA133=0,"-",IF(CP133="TBF","-",CZ$7*DA133))</f>
        <v>-</v>
      </c>
      <c r="DA133" s="159">
        <f>DA132</f>
        <v>0</v>
      </c>
      <c r="DB133" s="168">
        <f>IF(DC133=0,"-",IF(CT133="TBF","-",DB$7*DC133))</f>
        <v>1.1715789473684213</v>
      </c>
      <c r="DC133" s="159">
        <f>DC132</f>
        <v>1.26</v>
      </c>
      <c r="DD133" s="190" t="s">
        <v>134</v>
      </c>
      <c r="DE133" s="62" t="s">
        <v>102</v>
      </c>
      <c r="DF133" s="62" t="s">
        <v>102</v>
      </c>
      <c r="DG133" s="62" t="s">
        <v>102</v>
      </c>
      <c r="DH133" s="150" t="s">
        <v>102</v>
      </c>
      <c r="DI133" s="62">
        <f t="shared" si="39"/>
        <v>1.8898787736558318</v>
      </c>
      <c r="DJ133" s="47">
        <f t="shared" si="17"/>
        <v>11.2</v>
      </c>
      <c r="DK133" s="48">
        <f>DJ$7*IF(DJ133&lt;DJ$5,-0.04,IF(DJ133&lt;DJ$5*1.1,-0.03,IF(DJ133&lt;DJ$5*1.2,-0.02,IF(DJ133&lt;DJ$5*1.3,-0.01,0))))</f>
        <v>0</v>
      </c>
      <c r="DM133" s="107">
        <f t="shared" si="950"/>
        <v>1.2591380130294918</v>
      </c>
      <c r="DN133" s="141" t="str">
        <f>IF($DY133=0,"-",(DM133-$DW133)*100)</f>
        <v>-</v>
      </c>
      <c r="DO133" s="107">
        <f>SUM(DP133:DS133)^DO$3+DO$7</f>
        <v>5.8956403450916062</v>
      </c>
      <c r="DP133" s="133">
        <f>IF(SeilBeregnet=0,DP132,(SeilBeregnet^0.5/(Depl^0.3333))^DP$3*DP$7)</f>
        <v>4.0002267773991642</v>
      </c>
      <c r="DQ133" s="133">
        <f>IF(SeilBeregnet=0,DQ132,(SeilBeregnet^0.5/Lwl)^DQ$3*DQ$7)</f>
        <v>0</v>
      </c>
      <c r="DR133" s="133">
        <f>IF(SeilBeregnet=0,DR132,(0.1*Loa/Depl^0.3333)^DR$3*DR$7)</f>
        <v>0</v>
      </c>
      <c r="DS133" s="133">
        <f>IF(SeilBeregnet=0,DS132,((Loa)/Bredde)^DS$3*DS$7)</f>
        <v>1.8954135676924422</v>
      </c>
      <c r="DT133" s="107">
        <f>IF(SeilBeregnet=0,DT132,(Lwl)^DT$3)</f>
        <v>1.7223470599267343</v>
      </c>
      <c r="DU133" s="133">
        <f>IF(SeilBeregnet=0,DU132,(Dypg/Loa)^DU$3*5*DU$7)</f>
        <v>1.8995387394523999</v>
      </c>
      <c r="DW133" s="107">
        <f t="shared" si="769"/>
        <v>1.3271193745741012</v>
      </c>
      <c r="DX133" s="107">
        <f t="shared" si="40"/>
        <v>1.2171154736727392</v>
      </c>
      <c r="DZ133" s="107">
        <f t="shared" si="41"/>
        <v>1.2201886530581794</v>
      </c>
      <c r="EA133" s="122" t="str">
        <f>IF($DY133=0,"-",DZ133-$DW133)</f>
        <v>-</v>
      </c>
      <c r="EB133" s="107">
        <f>IF(SeilBeregnet=0,"-",EB$7*(EB$4*ED133*EE133*EF133*PropF+EB$6)+ErfaringsF+Dyp_F)</f>
        <v>1.3185827403632144</v>
      </c>
      <c r="EC133" s="122" t="str">
        <f>IF($DY133=0,"-",EB133-$DW133)</f>
        <v>-</v>
      </c>
      <c r="ED133" s="107">
        <f>IF(SeilBeregnet=0,ED132,SeilBeregnet^0.5/Depl^0.33333)</f>
        <v>4.000015828052117</v>
      </c>
      <c r="EE133" s="107">
        <f>IF(SeilBeregnet=0,EE132,Lwl^0.3333)</f>
        <v>2.0644105728067443</v>
      </c>
      <c r="EF133" s="107">
        <f>IF(SeilBeregnet=0,EF132,((Loa+Lwl)/Bredde)^EF$3)</f>
        <v>1.6179011774099146</v>
      </c>
      <c r="EH133" s="107">
        <f>IF(SeilBeregnet=0,"-",EH$7*(EH$4*EJ133*EK133*EL133*PropF+EH$6)+ErfaringsF+Dyp_F)</f>
        <v>1.3058729261771074</v>
      </c>
      <c r="EJ133" s="107">
        <f>IF(SeilBeregnet=0,EJ132,SeilBeregnet^0.5/Depl^0.33333)</f>
        <v>4.000015828052117</v>
      </c>
      <c r="EK133" s="107">
        <f>IF(SeilBeregnet=0,EK132,Lwl^EK$3)</f>
        <v>2.0645452646139271</v>
      </c>
      <c r="EL133" s="107">
        <f>IF(SeilBeregnet=0,EL132,((Loa+Lwl)/Bredde)^EL$3)</f>
        <v>1.8992178984985733</v>
      </c>
      <c r="EM133" s="107">
        <f>IF(SeilBeregnet=0,"-",EM$7*(EM$4*EO133+EM$6)*ER133*PropF+ErfaringsF+Dyp_F)</f>
        <v>1.3005207991573846</v>
      </c>
      <c r="EO133" s="107">
        <f>IF(SeilBeregnet=0,EO132,(EP133*EQ133)^EO$3)</f>
        <v>6.4716303178638146</v>
      </c>
      <c r="EP133" s="107">
        <f>IF(SeilBeregnet=0,EP132,SeilBeregnet^0.5/Depl^0.33333)</f>
        <v>4.000015828052117</v>
      </c>
      <c r="EQ133" s="107">
        <f>IF(SeilBeregnet=0,EQ132,((Loa+Lwl)/Bredde)^EQ$3)</f>
        <v>1.6179011774099146</v>
      </c>
      <c r="ER133" s="107">
        <f>IF(SeilBeregnet=0,ER132,Lwl^ER$3)</f>
        <v>1.7223470599267343</v>
      </c>
      <c r="ES133" s="107">
        <f t="shared" si="951"/>
        <v>1.2804728988421124</v>
      </c>
      <c r="EU133" s="107">
        <f>IF(SeilBeregnet=0,EU132,(EV:EV*EW:EW)^EU$3)</f>
        <v>2.0334708173047864</v>
      </c>
      <c r="EV133" s="107">
        <f>IF(SeilBeregnet=0,EV132,SeilBeregnet^0.5/Depl^0.33333)</f>
        <v>4.000015828052117</v>
      </c>
      <c r="EW133" s="107">
        <f>IF(SeilBeregnet=0,EW132,((Loa+Lwl)/Bredde/6)^EW$3)</f>
        <v>1.03374680065799</v>
      </c>
      <c r="EX133" s="107">
        <f>IF(SeilBeregnet=0,EX132,(Lwl*0.7+Loa*0.3)^EX$3)</f>
        <v>1.7354089054960848</v>
      </c>
      <c r="EY133" s="107">
        <f t="shared" si="952"/>
        <v>1.1866303094776602</v>
      </c>
      <c r="FA133" s="107">
        <f t="shared" si="941"/>
        <v>2.0335244363033378</v>
      </c>
      <c r="FB133" s="107">
        <f>IF(SeilBeregnet=0,FB132,SeilBeregnet^0.5/Depl^0.3333)</f>
        <v>4.0002267773991642</v>
      </c>
      <c r="FC133" s="107">
        <f>IF(SeilBeregnet=0,FC132,((Loa+Lwl)/Bredde/6)^FC$3)</f>
        <v>1.03374680065799</v>
      </c>
      <c r="FD133" s="107">
        <f>IF(SeilBeregnet=0,FD132,(Lwl*0.7+Loa*0.3)^FD$3)</f>
        <v>1.7354089054960848</v>
      </c>
      <c r="FE133" s="107">
        <f t="shared" si="953"/>
        <v>1.2859351738885836</v>
      </c>
      <c r="FF133" s="141" t="str">
        <f>IF($DY133=0,"-",(FE133-$DW133)*100)</f>
        <v>-</v>
      </c>
      <c r="FG133" s="107">
        <f t="shared" si="942"/>
        <v>4.2747721331697113</v>
      </c>
      <c r="FH133" s="133">
        <f>IF(SeilBeregnet=0,FH132,(SeilBeregnet^0.5/(Depl^0.3333))^FH$3)</f>
        <v>4.0002267773991642</v>
      </c>
      <c r="FI133" s="133">
        <f>IF(SeilBeregnet=0,FI132,((Loa+Lwl)/Bredde/6)^FI$3)</f>
        <v>1.0686324478706302</v>
      </c>
      <c r="FJ133" s="107">
        <f>IF(SeilBeregnet=0,FJ132,(Lwl*0.07+Loa*0.03)^FJ$3)</f>
        <v>0.97589214366380161</v>
      </c>
      <c r="FK133" s="107">
        <f t="shared" si="954"/>
        <v>1.273273050068999</v>
      </c>
      <c r="FL133" s="141" t="str">
        <f>IF($DY133=0,"-",(FK133-$DW133)*100)</f>
        <v>-</v>
      </c>
      <c r="FM133" s="107">
        <f t="shared" si="943"/>
        <v>6.2123214182202853</v>
      </c>
      <c r="FN133" s="133">
        <f>IF(SeilBeregnet=0,FN132,(SeilBeregnet^0.5/(Depl^0.3333))^FN$3)</f>
        <v>4.0002267773991642</v>
      </c>
      <c r="FO133" s="133">
        <f>IF(SeilBeregnet=0,FO132,(SeilBeregnet^0.5/Lwl*FO$7)^FO$3)</f>
        <v>0.81668107312867944</v>
      </c>
      <c r="FP133" s="133">
        <f>IF(SeilBeregnet=0,FP132,((Loa)/Bredde)^FP$3*FP$7)</f>
        <v>1.8954135676924422</v>
      </c>
      <c r="FQ133" s="107">
        <f>IF(SeilBeregnet=0,FQ132,(Lwl)^FQ$3)</f>
        <v>1.7223470599267343</v>
      </c>
      <c r="FR133" s="107">
        <f t="shared" si="955"/>
        <v>1.2766955846893555</v>
      </c>
      <c r="FS133" s="141" t="str">
        <f>IF($DY133=0,"-",(FR133-$DW133)*100)</f>
        <v>-</v>
      </c>
      <c r="FT133" s="107">
        <f t="shared" si="944"/>
        <v>7.5820841077289902</v>
      </c>
      <c r="FU133" s="133">
        <f>IF(SeilBeregnet=0,FU132,(SeilBeregnet^0.5/(Depl^0.3333))^FU$3)</f>
        <v>4.0002267773991642</v>
      </c>
      <c r="FV133" s="133">
        <f>IF(SeilBeregnet=0,FV132,(Loa/Bredde)^FV$3)</f>
        <v>1.8954135676924422</v>
      </c>
      <c r="FW133" s="107">
        <f>IF(SeilBeregnet=0,FW132,Lwl^FW$3)</f>
        <v>1.7223470599267343</v>
      </c>
      <c r="FY133" s="336">
        <v>1</v>
      </c>
      <c r="FZ133" s="62">
        <f t="shared" si="711"/>
        <v>1.2557063589959045</v>
      </c>
      <c r="GA133" s="62">
        <f t="shared" si="712"/>
        <v>1.8995387394523999</v>
      </c>
      <c r="GB133" s="107">
        <f t="shared" si="798"/>
        <v>1.6221569393153301</v>
      </c>
      <c r="GC133" s="440"/>
      <c r="GD133" s="17"/>
      <c r="GE133" s="442"/>
      <c r="GF133" s="462"/>
      <c r="GG133" s="17"/>
      <c r="GH133" s="17"/>
      <c r="GI133" s="17"/>
      <c r="GJ133" s="17"/>
      <c r="GL133" s="17"/>
      <c r="GM133" s="442"/>
      <c r="GN133" s="8"/>
      <c r="GO133" s="8"/>
      <c r="GP133" s="8"/>
      <c r="GQ133" s="8"/>
      <c r="GS133" s="17"/>
      <c r="GT133" s="17"/>
      <c r="GU133" s="17"/>
      <c r="GV133" s="629"/>
      <c r="GW133" s="17"/>
      <c r="GX133" s="17"/>
      <c r="GY133" s="17"/>
      <c r="GZ133" s="17"/>
    </row>
    <row r="134" spans="1:208" ht="15.6" x14ac:dyDescent="0.3">
      <c r="A134" s="60" t="s">
        <v>68</v>
      </c>
      <c r="B134" s="218"/>
      <c r="C134" s="61" t="str">
        <f>C132</f>
        <v>Bermuda</v>
      </c>
      <c r="D134" s="61"/>
      <c r="E134" s="61"/>
      <c r="F134" s="61"/>
      <c r="G134" s="54"/>
      <c r="H134" s="204">
        <f>TBFavrundet</f>
        <v>125</v>
      </c>
      <c r="I134" s="63">
        <f>COUNTA(O134:AG134)</f>
        <v>2</v>
      </c>
      <c r="J134" s="222">
        <f>SUM(O134:AG134)</f>
        <v>44</v>
      </c>
      <c r="K134" s="116">
        <f>Seilareal/Depl^0.667/K$7</f>
        <v>1.2624139159705123</v>
      </c>
      <c r="L134" s="116">
        <f>Seilareal/Lwl/Lwl/L$7</f>
        <v>0.86211322234812149</v>
      </c>
      <c r="M134" s="92">
        <f>RiggF</f>
        <v>0.9806818181818181</v>
      </c>
      <c r="N134" s="242">
        <f>StHfaktor</f>
        <v>1.0135447430742779</v>
      </c>
      <c r="O134" s="143"/>
      <c r="P134" s="143"/>
      <c r="Q134" s="165">
        <v>27</v>
      </c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65">
        <v>17</v>
      </c>
      <c r="AF134" s="143"/>
      <c r="AG134" s="551"/>
      <c r="AH134" s="557">
        <f>AH132</f>
        <v>0</v>
      </c>
      <c r="AI134" s="557">
        <f>AI132</f>
        <v>9.8000000000000007</v>
      </c>
      <c r="AJ134" s="337">
        <f xml:space="preserve"> AJ132</f>
        <v>0</v>
      </c>
      <c r="AK134" s="339"/>
      <c r="AL134" s="337">
        <f xml:space="preserve"> AL132</f>
        <v>0</v>
      </c>
      <c r="AM134" s="339"/>
      <c r="AN134" s="267" t="str">
        <f xml:space="preserve"> AN132</f>
        <v>Meter</v>
      </c>
      <c r="AO134" s="45">
        <f>VLOOKUP(AN134,Skrogform!$1:$1048576,3,FALSE)</f>
        <v>1</v>
      </c>
      <c r="AP134" s="64">
        <f t="shared" ref="AP134:BB134" si="1191">AP132</f>
        <v>9.6999999999999993</v>
      </c>
      <c r="AQ134" s="64">
        <f t="shared" si="1191"/>
        <v>8.8000000000000007</v>
      </c>
      <c r="AR134" s="64">
        <f t="shared" si="1191"/>
        <v>2.7</v>
      </c>
      <c r="AS134" s="64">
        <f t="shared" si="1191"/>
        <v>1.4</v>
      </c>
      <c r="AT134" s="64">
        <f t="shared" ref="AT134" si="1192">AT132</f>
        <v>5.8</v>
      </c>
      <c r="AU134" s="64">
        <f t="shared" si="1191"/>
        <v>5.8</v>
      </c>
      <c r="AV134" s="64">
        <f t="shared" si="1191"/>
        <v>2.6</v>
      </c>
      <c r="AW134" s="64">
        <f t="shared" si="1191"/>
        <v>0.03</v>
      </c>
      <c r="AX134" s="256">
        <f t="shared" si="1191"/>
        <v>0</v>
      </c>
      <c r="AY134" s="256">
        <f t="shared" si="1191"/>
        <v>31</v>
      </c>
      <c r="AZ134" s="256">
        <f t="shared" si="1191"/>
        <v>150</v>
      </c>
      <c r="BA134" s="256">
        <f t="shared" si="1191"/>
        <v>0</v>
      </c>
      <c r="BB134" s="256">
        <f t="shared" si="1191"/>
        <v>0</v>
      </c>
      <c r="BC134" s="256"/>
      <c r="BD134" s="66"/>
      <c r="BE134" s="66"/>
      <c r="BF134" s="261"/>
      <c r="BG134" s="66"/>
      <c r="BH134" s="175"/>
      <c r="BI134" s="66"/>
      <c r="BJ134" s="66"/>
      <c r="BK134" s="65" t="str">
        <f t="shared" ref="BK134:BM135" si="1193" xml:space="preserve"> BK132</f>
        <v>Seilrett</v>
      </c>
      <c r="BL134" s="267">
        <f t="shared" si="1193"/>
        <v>2</v>
      </c>
      <c r="BM134" s="267">
        <f t="shared" si="1193"/>
        <v>43</v>
      </c>
      <c r="BN134" s="45">
        <f>IF((BK134="Fast"),(1.006248-(0.06415*((BM134/100*SQRT(BL134))/POWER(AU134,(1/3))))),1)</f>
        <v>1</v>
      </c>
      <c r="BO134" s="59"/>
      <c r="BP134" s="59"/>
      <c r="BR134" s="49">
        <f t="shared" si="1187"/>
        <v>0</v>
      </c>
      <c r="BS134" s="49">
        <f t="shared" si="1187"/>
        <v>0</v>
      </c>
      <c r="BT134" s="49">
        <f t="shared" si="1187"/>
        <v>27</v>
      </c>
      <c r="BU134" s="49">
        <f t="shared" si="1187"/>
        <v>0</v>
      </c>
      <c r="BV134" s="49">
        <f t="shared" si="1187"/>
        <v>0</v>
      </c>
      <c r="BW134" s="49">
        <f t="shared" si="1187"/>
        <v>0</v>
      </c>
      <c r="BX134" s="49">
        <f t="shared" si="1187"/>
        <v>0</v>
      </c>
      <c r="BY134" s="549">
        <f>IF(COUNT(Q134:U134)&gt;1,MINA(Q134:U134)*BY$9,0)</f>
        <v>0</v>
      </c>
      <c r="BZ134" s="85">
        <f t="shared" si="1188"/>
        <v>0</v>
      </c>
      <c r="CA134" s="85">
        <f t="shared" si="1188"/>
        <v>0</v>
      </c>
      <c r="CB134" s="85">
        <f t="shared" si="1188"/>
        <v>0</v>
      </c>
      <c r="CC134" s="85">
        <f t="shared" si="1188"/>
        <v>0</v>
      </c>
      <c r="CD134" s="85">
        <f t="shared" si="1188"/>
        <v>0</v>
      </c>
      <c r="CE134" s="85">
        <f>IF(AC134=0,0,AC134*CE$9)</f>
        <v>0</v>
      </c>
      <c r="CF134" s="85">
        <f t="shared" si="1189"/>
        <v>0</v>
      </c>
      <c r="CG134" s="85">
        <f t="shared" si="1189"/>
        <v>0</v>
      </c>
      <c r="CH134" s="85">
        <f t="shared" si="1190"/>
        <v>0</v>
      </c>
      <c r="CI134" s="85">
        <f t="shared" si="1190"/>
        <v>16.149999999999999</v>
      </c>
      <c r="CJ134" s="85">
        <f t="shared" si="1190"/>
        <v>0</v>
      </c>
      <c r="CK134" s="85">
        <f t="shared" si="1190"/>
        <v>0</v>
      </c>
      <c r="CL134" s="100">
        <f>SUM(BR134:CK134)</f>
        <v>43.15</v>
      </c>
      <c r="CM134" s="50"/>
      <c r="CN134" s="104">
        <f>J134</f>
        <v>44</v>
      </c>
      <c r="CO134" s="101">
        <f>CL134/CN134</f>
        <v>0.9806818181818181</v>
      </c>
      <c r="CP134" s="51">
        <f>Seilareal/Lwl/Lwl</f>
        <v>0.56818181818181812</v>
      </c>
      <c r="CQ134" s="116">
        <f>Seilareal/Depl^0.667/K$7</f>
        <v>1.2624139159705123</v>
      </c>
      <c r="CR134" s="51">
        <f>Seilareal/Lwl/Lwl/SApRS1</f>
        <v>0.86211322234812149</v>
      </c>
      <c r="CS134" s="204"/>
      <c r="CT134" s="204">
        <f>(ROUND(TBF/CT$6,3)*CT$6)*CT$4</f>
        <v>125</v>
      </c>
      <c r="CU134" s="107">
        <f t="shared" si="36"/>
        <v>1.24905675733968</v>
      </c>
      <c r="CV134" s="62">
        <f t="shared" si="789"/>
        <v>3.6639503112483509</v>
      </c>
      <c r="CW134" s="62">
        <f t="shared" si="14"/>
        <v>1.8509256943286312</v>
      </c>
      <c r="CX134" s="62">
        <f t="shared" si="790"/>
        <v>1.7223470599267343</v>
      </c>
      <c r="CY134" s="107">
        <f t="shared" si="16"/>
        <v>1.0135447430742779</v>
      </c>
      <c r="CZ134" s="168" t="str">
        <f>IF(DA134=0,"-",IF(CP134="TBF","-",CZ$7*DA134))</f>
        <v>-</v>
      </c>
      <c r="DA134" s="158"/>
      <c r="DB134" s="168" t="str">
        <f>IF(DC134=0,"-",IF(CT134="TBF","-",DB$7*DC134))</f>
        <v>-</v>
      </c>
      <c r="DC134" s="160"/>
      <c r="DD134" s="190" t="s">
        <v>134</v>
      </c>
      <c r="DE134" s="62" t="s">
        <v>102</v>
      </c>
      <c r="DF134" s="62" t="s">
        <v>102</v>
      </c>
      <c r="DG134" s="62" t="s">
        <v>102</v>
      </c>
      <c r="DH134" s="150" t="s">
        <v>102</v>
      </c>
      <c r="DI134" s="62">
        <f t="shared" si="39"/>
        <v>1.8898787736558318</v>
      </c>
      <c r="DJ134" s="47">
        <f t="shared" si="17"/>
        <v>11.2</v>
      </c>
      <c r="DK134" s="48">
        <f>DJ$7*IF(DJ134&lt;DJ$5,-0.04,IF(DJ134&lt;DJ$5*1.1,-0.03,IF(DJ134&lt;DJ$5*1.2,-0.02,IF(DJ134&lt;DJ$5*1.3,-0.01,0))))</f>
        <v>0</v>
      </c>
      <c r="DM134" s="107">
        <f t="shared" si="950"/>
        <v>1.1856816681063267</v>
      </c>
      <c r="DN134" s="141" t="str">
        <f>IF($DY134=0,"-",(DM134-$DW134)*100)</f>
        <v>-</v>
      </c>
      <c r="DO134" s="107">
        <f>SUM(DP134:DS134)^DO$3+DO$7</f>
        <v>5.5516969598148771</v>
      </c>
      <c r="DP134" s="133">
        <f>IF(SeilBeregnet=0,DP132,(SeilBeregnet^0.5/(Depl^0.3333))^DP$3*DP$7)</f>
        <v>3.6562833921224351</v>
      </c>
      <c r="DQ134" s="133">
        <f>IF(SeilBeregnet=0,DQ132,(SeilBeregnet^0.5/Lwl)^DQ$3*DQ$7)</f>
        <v>0</v>
      </c>
      <c r="DR134" s="133">
        <f>IF(SeilBeregnet=0,DR132,(0.1*Loa/Depl^0.3333)^DR$3*DR$7)</f>
        <v>0</v>
      </c>
      <c r="DS134" s="133">
        <f>IF(SeilBeregnet=0,DS132,((Loa)/Bredde)^DS$3*DS$7)</f>
        <v>1.8954135676924422</v>
      </c>
      <c r="DT134" s="107">
        <f>IF(SeilBeregnet=0,DT132,(Lwl)^DT$3)</f>
        <v>1.7223470599267343</v>
      </c>
      <c r="DU134" s="133">
        <f>IF(SeilBeregnet=0,DU132,(Dypg/Loa)^DU$3*5*DU$7)</f>
        <v>1.8995387394523999</v>
      </c>
      <c r="DW134" s="107">
        <f t="shared" si="769"/>
        <v>1.24905675733968</v>
      </c>
      <c r="DX134" s="107">
        <f t="shared" si="40"/>
        <v>1.1334686478115155</v>
      </c>
      <c r="DZ134" s="107">
        <f t="shared" si="41"/>
        <v>1.1508316557522704</v>
      </c>
      <c r="EA134" s="122" t="str">
        <f>IF($DY134=0,"-",DZ134-$DW134)</f>
        <v>-</v>
      </c>
      <c r="EB134" s="107">
        <f>IF(SeilBeregnet=0,"-",EB$7*(EB$4*ED134*EE134*EF134*PropF+EB$6)+ErfaringsF+Dyp_F)</f>
        <v>1.229274599245388</v>
      </c>
      <c r="EC134" s="122" t="str">
        <f>IF($DY134=0,"-",EB134-$DW134)</f>
        <v>-</v>
      </c>
      <c r="ED134" s="107">
        <f>IF(SeilBeregnet=0,ED132,SeilBeregnet^0.5/Depl^0.33333)</f>
        <v>3.6560905804052237</v>
      </c>
      <c r="EE134" s="107">
        <f>IF(SeilBeregnet=0,EE132,Lwl^0.3333)</f>
        <v>2.0644105728067443</v>
      </c>
      <c r="EF134" s="107">
        <f>IF(SeilBeregnet=0,EF132,((Loa+Lwl)/Bredde)^EF$3)</f>
        <v>1.6179011774099146</v>
      </c>
      <c r="EH134" s="107">
        <f>IF(SeilBeregnet=0,"-",EH$7*(EH$4*EJ134*EK134*EL134*PropF+EH$6)+ErfaringsF+Dyp_F)</f>
        <v>1.2246606223408838</v>
      </c>
      <c r="EJ134" s="107">
        <f>IF(SeilBeregnet=0,EJ132,SeilBeregnet^0.5/Depl^0.33333)</f>
        <v>3.6560905804052237</v>
      </c>
      <c r="EK134" s="107">
        <f>IF(SeilBeregnet=0,EK132,Lwl^EK$3)</f>
        <v>2.0645452646139271</v>
      </c>
      <c r="EL134" s="107">
        <f>IF(SeilBeregnet=0,EL132,((Loa+Lwl)/Bredde)^EL$3)</f>
        <v>1.8992178984985733</v>
      </c>
      <c r="EM134" s="107">
        <f>IF(SeilBeregnet=0,"-",EM$7*(EM$4*EO134+EM$6)*ER134*PropF+ErfaringsF+Dyp_F)</f>
        <v>1.2150994638484971</v>
      </c>
      <c r="EO134" s="107">
        <f>IF(SeilBeregnet=0,EO132,(EP134*EQ134)^EO$3)</f>
        <v>5.9151932547549091</v>
      </c>
      <c r="EP134" s="107">
        <f>IF(SeilBeregnet=0,EP132,SeilBeregnet^0.5/Depl^0.33333)</f>
        <v>3.6560905804052237</v>
      </c>
      <c r="EQ134" s="107">
        <f>IF(SeilBeregnet=0,EQ132,((Loa+Lwl)/Bredde)^EQ$3)</f>
        <v>1.6179011774099146</v>
      </c>
      <c r="ER134" s="107">
        <f>IF(SeilBeregnet=0,ER132,Lwl^ER$3)</f>
        <v>1.7223470599267343</v>
      </c>
      <c r="ES134" s="107">
        <f t="shared" si="951"/>
        <v>1.2058354688781405</v>
      </c>
      <c r="EU134" s="107">
        <f>IF(SeilBeregnet=0,EU132,(EV:EV*EW:EW)^EU$3)</f>
        <v>1.9440864025062552</v>
      </c>
      <c r="EV134" s="107">
        <f>IF(SeilBeregnet=0,EV132,SeilBeregnet^0.5/Depl^0.33333)</f>
        <v>3.6560905804052237</v>
      </c>
      <c r="EW134" s="107">
        <f>IF(SeilBeregnet=0,EW132,((Loa+Lwl)/Bredde/6)^EW$3)</f>
        <v>1.03374680065799</v>
      </c>
      <c r="EX134" s="107">
        <f>IF(SeilBeregnet=0,EX132,(Lwl*0.7+Loa*0.3)^EX$3)</f>
        <v>1.7354089054960848</v>
      </c>
      <c r="EY134" s="107">
        <f t="shared" si="952"/>
        <v>1.1344701039353728</v>
      </c>
      <c r="FA134" s="107">
        <f t="shared" si="941"/>
        <v>1.9441376645972142</v>
      </c>
      <c r="FB134" s="107">
        <f>IF(SeilBeregnet=0,FB132,SeilBeregnet^0.5/Depl^0.3333)</f>
        <v>3.6562833921224351</v>
      </c>
      <c r="FC134" s="107">
        <f>IF(SeilBeregnet=0,FC132,((Loa+Lwl)/Bredde/6)^FC$3)</f>
        <v>1.03374680065799</v>
      </c>
      <c r="FD134" s="107">
        <f>IF(SeilBeregnet=0,FD132,(Lwl*0.7+Loa*0.3)^FD$3)</f>
        <v>1.7354089054960848</v>
      </c>
      <c r="FE134" s="107">
        <f t="shared" si="953"/>
        <v>1.210610643118917</v>
      </c>
      <c r="FF134" s="141" t="str">
        <f>IF($DY134=0,"-",(FE134-$DW134)*100)</f>
        <v>-</v>
      </c>
      <c r="FG134" s="107">
        <f t="shared" si="942"/>
        <v>3.9072230714325289</v>
      </c>
      <c r="FH134" s="133">
        <f>IF(SeilBeregnet=0,FH132,(SeilBeregnet^0.5/(Depl^0.3333))^FH$3)</f>
        <v>3.6562833921224351</v>
      </c>
      <c r="FI134" s="133">
        <f>IF(SeilBeregnet=0,FI132,((Loa+Lwl)/Bredde/6)^FI$3)</f>
        <v>1.0686324478706302</v>
      </c>
      <c r="FJ134" s="107">
        <f>IF(SeilBeregnet=0,FJ132,(Lwl*0.07+Loa*0.03)^FJ$3)</f>
        <v>0.97589214366380161</v>
      </c>
      <c r="FK134" s="107">
        <f t="shared" si="954"/>
        <v>1.1883866108374823</v>
      </c>
      <c r="FL134" s="141" t="str">
        <f>IF($DY134=0,"-",(FK134-$DW134)*100)</f>
        <v>-</v>
      </c>
      <c r="FM134" s="107">
        <f t="shared" si="943"/>
        <v>5.798159000720104</v>
      </c>
      <c r="FN134" s="133">
        <f>IF(SeilBeregnet=0,FN132,(SeilBeregnet^0.5/(Depl^0.3333))^FN$3)</f>
        <v>3.6562833921224351</v>
      </c>
      <c r="FO134" s="133">
        <f>IF(SeilBeregnet=0,FO132,(SeilBeregnet^0.5/Lwl*FO$7)^FO$3)</f>
        <v>0.74646204090522683</v>
      </c>
      <c r="FP134" s="133">
        <f>IF(SeilBeregnet=0,FP132,((Loa)/Bredde)^FP$3*FP$7)</f>
        <v>1.8954135676924422</v>
      </c>
      <c r="FQ134" s="107">
        <f>IF(SeilBeregnet=0,FQ132,(Lwl)^FQ$3)</f>
        <v>1.7223470599267343</v>
      </c>
      <c r="FR134" s="107">
        <f t="shared" si="955"/>
        <v>1.2048348606633101</v>
      </c>
      <c r="FS134" s="141" t="str">
        <f>IF($DY134=0,"-",(FR134-$DW134)*100)</f>
        <v>-</v>
      </c>
      <c r="FT134" s="107">
        <f t="shared" si="944"/>
        <v>6.9301691487574093</v>
      </c>
      <c r="FU134" s="133">
        <f>IF(SeilBeregnet=0,FU132,(SeilBeregnet^0.5/(Depl^0.3333))^FU$3)</f>
        <v>3.6562833921224351</v>
      </c>
      <c r="FV134" s="133">
        <f>IF(SeilBeregnet=0,FV132,(Loa/Bredde)^FV$3)</f>
        <v>1.8954135676924422</v>
      </c>
      <c r="FW134" s="107">
        <f>IF(SeilBeregnet=0,FW132,Lwl^FW$3)</f>
        <v>1.7223470599267343</v>
      </c>
      <c r="FY134" s="336">
        <v>1</v>
      </c>
      <c r="FZ134" s="62">
        <f t="shared" si="711"/>
        <v>1.200302939634786</v>
      </c>
      <c r="GA134" s="62">
        <f t="shared" si="712"/>
        <v>1.8995387394523999</v>
      </c>
      <c r="GB134" s="107">
        <f t="shared" si="798"/>
        <v>1.574265390396212</v>
      </c>
      <c r="GC134" s="440"/>
      <c r="GD134" s="17"/>
      <c r="GE134" s="442"/>
      <c r="GF134" s="462"/>
      <c r="GG134" s="17"/>
      <c r="GH134" s="17"/>
      <c r="GI134" s="17"/>
      <c r="GJ134" s="17"/>
      <c r="GL134" s="17"/>
      <c r="GM134" s="442"/>
      <c r="GN134" s="8"/>
      <c r="GO134" s="8"/>
      <c r="GP134" s="8"/>
      <c r="GQ134" s="8"/>
      <c r="GS134" s="17"/>
      <c r="GT134" s="17"/>
      <c r="GU134" s="17"/>
      <c r="GV134" s="629"/>
      <c r="GW134" s="17"/>
      <c r="GX134" s="17"/>
      <c r="GY134" s="17"/>
      <c r="GZ134" s="17"/>
    </row>
    <row r="135" spans="1:208" ht="15.6" x14ac:dyDescent="0.3">
      <c r="A135" s="60" t="s">
        <v>29</v>
      </c>
      <c r="B135" s="218"/>
      <c r="C135" s="61" t="str">
        <f>C133</f>
        <v>Bermuda</v>
      </c>
      <c r="D135" s="61"/>
      <c r="E135" s="61"/>
      <c r="F135" s="61"/>
      <c r="G135" s="54"/>
      <c r="H135" s="204">
        <f>TBFavrundet</f>
        <v>120</v>
      </c>
      <c r="I135" s="63">
        <f>COUNTA(O135:AG135)</f>
        <v>3</v>
      </c>
      <c r="J135" s="222">
        <f>SUM(O135:AG135)</f>
        <v>44</v>
      </c>
      <c r="K135" s="116">
        <f>Seilareal/Depl^0.667/K$7</f>
        <v>1.2624139159705123</v>
      </c>
      <c r="L135" s="116">
        <f>Seilareal/Lwl/Lwl/L$7</f>
        <v>0.86211322234812149</v>
      </c>
      <c r="M135" s="92">
        <f>RiggF</f>
        <v>0.86704545454545456</v>
      </c>
      <c r="N135" s="242">
        <f>StHfaktor</f>
        <v>1.0135447430742779</v>
      </c>
      <c r="O135" s="143"/>
      <c r="P135" s="143"/>
      <c r="Q135" s="143"/>
      <c r="R135" s="165">
        <v>10</v>
      </c>
      <c r="S135" s="143"/>
      <c r="T135" s="143"/>
      <c r="U135" s="165">
        <v>17</v>
      </c>
      <c r="V135" s="559"/>
      <c r="W135" s="559"/>
      <c r="X135" s="143"/>
      <c r="Y135" s="143"/>
      <c r="Z135" s="143"/>
      <c r="AA135" s="143"/>
      <c r="AB135" s="143"/>
      <c r="AC135" s="143"/>
      <c r="AD135" s="143"/>
      <c r="AE135" s="165">
        <v>17</v>
      </c>
      <c r="AF135" s="143"/>
      <c r="AG135" s="551"/>
      <c r="AH135" s="557">
        <f>AH133</f>
        <v>0</v>
      </c>
      <c r="AI135" s="557">
        <f>AI133</f>
        <v>9.8000000000000007</v>
      </c>
      <c r="AJ135" s="337">
        <f xml:space="preserve"> AJ133</f>
        <v>0</v>
      </c>
      <c r="AK135" s="339"/>
      <c r="AL135" s="337">
        <f xml:space="preserve"> AL133</f>
        <v>0</v>
      </c>
      <c r="AM135" s="339"/>
      <c r="AN135" s="267" t="str">
        <f xml:space="preserve"> AN133</f>
        <v>Meter</v>
      </c>
      <c r="AO135" s="45">
        <f>VLOOKUP(AN135,Skrogform!$1:$1048576,3,FALSE)</f>
        <v>1</v>
      </c>
      <c r="AP135" s="64">
        <f t="shared" ref="AP135:BB135" si="1194">AP133</f>
        <v>9.6999999999999993</v>
      </c>
      <c r="AQ135" s="64">
        <f t="shared" si="1194"/>
        <v>8.8000000000000007</v>
      </c>
      <c r="AR135" s="64">
        <f t="shared" si="1194"/>
        <v>2.7</v>
      </c>
      <c r="AS135" s="64">
        <f t="shared" si="1194"/>
        <v>1.4</v>
      </c>
      <c r="AT135" s="64">
        <f t="shared" ref="AT135" si="1195">AT133</f>
        <v>5.8</v>
      </c>
      <c r="AU135" s="64">
        <f t="shared" si="1194"/>
        <v>5.8</v>
      </c>
      <c r="AV135" s="64">
        <f t="shared" si="1194"/>
        <v>2.6</v>
      </c>
      <c r="AW135" s="64">
        <f t="shared" si="1194"/>
        <v>0.03</v>
      </c>
      <c r="AX135" s="256">
        <f t="shared" si="1194"/>
        <v>0</v>
      </c>
      <c r="AY135" s="256">
        <f t="shared" si="1194"/>
        <v>31</v>
      </c>
      <c r="AZ135" s="256">
        <f t="shared" si="1194"/>
        <v>150</v>
      </c>
      <c r="BA135" s="256">
        <f t="shared" si="1194"/>
        <v>0</v>
      </c>
      <c r="BB135" s="256">
        <f t="shared" si="1194"/>
        <v>0</v>
      </c>
      <c r="BC135" s="256"/>
      <c r="BD135" s="66"/>
      <c r="BE135" s="66"/>
      <c r="BF135" s="261"/>
      <c r="BG135" s="66"/>
      <c r="BH135" s="175"/>
      <c r="BI135" s="66"/>
      <c r="BJ135" s="66"/>
      <c r="BK135" s="65" t="str">
        <f t="shared" si="1193"/>
        <v>Seilrett</v>
      </c>
      <c r="BL135" s="267">
        <f t="shared" si="1193"/>
        <v>2</v>
      </c>
      <c r="BM135" s="267">
        <f t="shared" si="1193"/>
        <v>43</v>
      </c>
      <c r="BN135" s="45">
        <f>IF((BK135="Fast"),(1.006248-(0.06415*((BM135/100*SQRT(BL135))/POWER(AU135,(1/3))))),1)</f>
        <v>1</v>
      </c>
      <c r="BO135" s="59"/>
      <c r="BP135" s="59"/>
      <c r="BR135" s="49">
        <f t="shared" si="1187"/>
        <v>0</v>
      </c>
      <c r="BS135" s="49">
        <f t="shared" si="1187"/>
        <v>0</v>
      </c>
      <c r="BT135" s="49">
        <f t="shared" si="1187"/>
        <v>0</v>
      </c>
      <c r="BU135" s="49">
        <f t="shared" si="1187"/>
        <v>10</v>
      </c>
      <c r="BV135" s="49">
        <f t="shared" si="1187"/>
        <v>0</v>
      </c>
      <c r="BW135" s="49">
        <f t="shared" si="1187"/>
        <v>0</v>
      </c>
      <c r="BX135" s="49">
        <f t="shared" si="1187"/>
        <v>17</v>
      </c>
      <c r="BY135" s="549">
        <f>IF(COUNT(Q135:U135)&gt;1,MINA(Q135:U135)*BY$9,0)</f>
        <v>-5</v>
      </c>
      <c r="BZ135" s="85">
        <f t="shared" si="1188"/>
        <v>0</v>
      </c>
      <c r="CA135" s="85">
        <f t="shared" si="1188"/>
        <v>0</v>
      </c>
      <c r="CB135" s="85">
        <f t="shared" si="1188"/>
        <v>0</v>
      </c>
      <c r="CC135" s="85">
        <f t="shared" si="1188"/>
        <v>0</v>
      </c>
      <c r="CD135" s="85">
        <f t="shared" si="1188"/>
        <v>0</v>
      </c>
      <c r="CE135" s="85">
        <f>IF(AC135=0,0,AC135*CE$9)</f>
        <v>0</v>
      </c>
      <c r="CF135" s="85">
        <f t="shared" si="1189"/>
        <v>0</v>
      </c>
      <c r="CG135" s="85">
        <f t="shared" si="1189"/>
        <v>0</v>
      </c>
      <c r="CH135" s="85">
        <f t="shared" si="1190"/>
        <v>0</v>
      </c>
      <c r="CI135" s="85">
        <f t="shared" si="1190"/>
        <v>16.149999999999999</v>
      </c>
      <c r="CJ135" s="85">
        <f t="shared" si="1190"/>
        <v>0</v>
      </c>
      <c r="CK135" s="85">
        <f t="shared" si="1190"/>
        <v>0</v>
      </c>
      <c r="CL135" s="100">
        <f>SUM(BR135:CK135)</f>
        <v>38.15</v>
      </c>
      <c r="CM135" s="50"/>
      <c r="CN135" s="104">
        <f>J135</f>
        <v>44</v>
      </c>
      <c r="CO135" s="101">
        <f>CL135/CN135</f>
        <v>0.86704545454545456</v>
      </c>
      <c r="CP135" s="51">
        <f>Seilareal/Lwl/Lwl</f>
        <v>0.56818181818181812</v>
      </c>
      <c r="CQ135" s="116">
        <f>Seilareal/Depl^0.667/K$7</f>
        <v>1.2624139159705123</v>
      </c>
      <c r="CR135" s="51">
        <f>Seilareal/Lwl/Lwl/SApRS1</f>
        <v>0.86211322234812149</v>
      </c>
      <c r="CS135" s="204"/>
      <c r="CT135" s="204">
        <f>(ROUND(TBF/CT$6,3)*CT$6)*CT$4</f>
        <v>120</v>
      </c>
      <c r="CU135" s="107">
        <f t="shared" si="36"/>
        <v>1.1994979379225585</v>
      </c>
      <c r="CV135" s="62">
        <f t="shared" si="789"/>
        <v>3.4451366004524364</v>
      </c>
      <c r="CW135" s="62">
        <f t="shared" si="14"/>
        <v>1.8509256943286312</v>
      </c>
      <c r="CX135" s="62">
        <f t="shared" si="790"/>
        <v>1.7223470599267343</v>
      </c>
      <c r="CY135" s="107">
        <f t="shared" si="16"/>
        <v>1.0135447430742779</v>
      </c>
      <c r="CZ135" s="168" t="str">
        <f>IF(DA135=0,"-",IF(CP135="TBF","-",CZ$7*DA135))</f>
        <v>-</v>
      </c>
      <c r="DA135" s="158"/>
      <c r="DB135" s="168" t="str">
        <f>IF(DC135=0,"-",IF(CT135="TBF","-",DB$7*DC135))</f>
        <v>-</v>
      </c>
      <c r="DC135" s="160"/>
      <c r="DD135" s="190" t="s">
        <v>134</v>
      </c>
      <c r="DE135" s="62" t="s">
        <v>102</v>
      </c>
      <c r="DF135" s="62" t="s">
        <v>102</v>
      </c>
      <c r="DG135" s="62" t="s">
        <v>102</v>
      </c>
      <c r="DH135" s="150" t="s">
        <v>102</v>
      </c>
      <c r="DI135" s="62">
        <f t="shared" si="39"/>
        <v>1.8898787736558318</v>
      </c>
      <c r="DJ135" s="47">
        <f t="shared" si="17"/>
        <v>11.2</v>
      </c>
      <c r="DK135" s="48">
        <f>DJ$7*IF(DJ135&lt;DJ$5,-0.04,IF(DJ135&lt;DJ$5*1.1,-0.03,IF(DJ135&lt;DJ$5*1.2,-0.02,IF(DJ135&lt;DJ$5*1.3,-0.01,0))))</f>
        <v>0</v>
      </c>
      <c r="DM135" s="107">
        <f t="shared" si="950"/>
        <v>1.1390471859167677</v>
      </c>
      <c r="DN135" s="141" t="str">
        <f>IF($DY135=0,"-",(DM135-$DW135)*100)</f>
        <v>-</v>
      </c>
      <c r="DO135" s="107">
        <f>SUM(DP135:DS135)^DO$3+DO$7</f>
        <v>5.3333411228659857</v>
      </c>
      <c r="DP135" s="133">
        <f>IF(SeilBeregnet=0,DP133,(SeilBeregnet^0.5/(Depl^0.3333))^DP$3*DP$7)</f>
        <v>3.4379275551735438</v>
      </c>
      <c r="DQ135" s="133">
        <f>IF(SeilBeregnet=0,DQ133,(SeilBeregnet^0.5/Lwl)^DQ$3*DQ$7)</f>
        <v>0</v>
      </c>
      <c r="DR135" s="133">
        <f>IF(SeilBeregnet=0,DR133,(0.1*Loa/Depl^0.3333)^DR$3*DR$7)</f>
        <v>0</v>
      </c>
      <c r="DS135" s="133">
        <f>IF(SeilBeregnet=0,DS133,((Loa)/Bredde)^DS$3*DS$7)</f>
        <v>1.8954135676924422</v>
      </c>
      <c r="DT135" s="107">
        <f>IF(SeilBeregnet=0,DT133,(Lwl)^DT$3)</f>
        <v>1.7223470599267343</v>
      </c>
      <c r="DU135" s="133">
        <f>IF(SeilBeregnet=0,DU133,(Dypg/Loa)^DU$3*5*DU$7)</f>
        <v>1.8995387394523999</v>
      </c>
      <c r="DW135" s="107">
        <f t="shared" si="769"/>
        <v>1.1994979379225583</v>
      </c>
      <c r="DX135" s="107">
        <f t="shared" si="40"/>
        <v>1.0803646386899259</v>
      </c>
      <c r="DZ135" s="107">
        <f t="shared" si="41"/>
        <v>1.1067996846683992</v>
      </c>
      <c r="EA135" s="122" t="str">
        <f>IF($DY135=0,"-",DZ135-$DW135)</f>
        <v>-</v>
      </c>
      <c r="EB135" s="107">
        <f>IF(SeilBeregnet=0,"-",EB$7*(EB$4*ED135*EE135*EF135*PropF+EB$6)+ErfaringsF+Dyp_F)</f>
        <v>1.1725764485179284</v>
      </c>
      <c r="EC135" s="122" t="str">
        <f>IF($DY135=0,"-",EB135-$DW135)</f>
        <v>-</v>
      </c>
      <c r="ED135" s="107">
        <f>IF(SeilBeregnet=0,ED133,SeilBeregnet^0.5/Depl^0.33333)</f>
        <v>3.4377462583088123</v>
      </c>
      <c r="EE135" s="107">
        <f>IF(SeilBeregnet=0,EE133,Lwl^0.3333)</f>
        <v>2.0644105728067443</v>
      </c>
      <c r="EF135" s="107">
        <f>IF(SeilBeregnet=0,EF133,((Loa+Lwl)/Bredde)^EF$3)</f>
        <v>1.6179011774099146</v>
      </c>
      <c r="EH135" s="107">
        <f>IF(SeilBeregnet=0,"-",EH$7*(EH$4*EJ135*EK135*EL135*PropF+EH$6)+ErfaringsF+Dyp_F)</f>
        <v>1.1731021934429458</v>
      </c>
      <c r="EJ135" s="107">
        <f>IF(SeilBeregnet=0,EJ133,SeilBeregnet^0.5/Depl^0.33333)</f>
        <v>3.4377462583088123</v>
      </c>
      <c r="EK135" s="107">
        <f>IF(SeilBeregnet=0,EK133,Lwl^EK$3)</f>
        <v>2.0645452646139271</v>
      </c>
      <c r="EL135" s="107">
        <f>IF(SeilBeregnet=0,EL133,((Loa+Lwl)/Bredde)^EL$3)</f>
        <v>1.8992178984985733</v>
      </c>
      <c r="EM135" s="107">
        <f>IF(SeilBeregnet=0,"-",EM$7*(EM$4*EO135+EM$6)*ER135*PropF+ErfaringsF+Dyp_F)</f>
        <v>1.1608688899717621</v>
      </c>
      <c r="EO135" s="107">
        <f>IF(SeilBeregnet=0,EO133,(EP135*EQ135)^EO$3)</f>
        <v>5.5619337189543554</v>
      </c>
      <c r="EP135" s="107">
        <f>IF(SeilBeregnet=0,EP133,SeilBeregnet^0.5/Depl^0.33333)</f>
        <v>3.4377462583088123</v>
      </c>
      <c r="EQ135" s="107">
        <f>IF(SeilBeregnet=0,EQ133,((Loa+Lwl)/Bredde)^EQ$3)</f>
        <v>1.6179011774099146</v>
      </c>
      <c r="ER135" s="107">
        <f>IF(SeilBeregnet=0,ER133,Lwl^ER$3)</f>
        <v>1.7223470599267343</v>
      </c>
      <c r="ES135" s="107">
        <f t="shared" si="951"/>
        <v>1.1566156829702998</v>
      </c>
      <c r="EU135" s="107">
        <f>IF(SeilBeregnet=0,EU133,(EV:EV*EW:EW)^EU$3)</f>
        <v>1.8851416912266066</v>
      </c>
      <c r="EV135" s="107">
        <f>IF(SeilBeregnet=0,EV133,SeilBeregnet^0.5/Depl^0.33333)</f>
        <v>3.4377462583088123</v>
      </c>
      <c r="EW135" s="107">
        <f>IF(SeilBeregnet=0,EW133,((Loa+Lwl)/Bredde/6)^EW$3)</f>
        <v>1.03374680065799</v>
      </c>
      <c r="EX135" s="107">
        <f>IF(SeilBeregnet=0,EX133,(Lwl*0.7+Loa*0.3)^EX$3)</f>
        <v>1.7354089054960848</v>
      </c>
      <c r="EY135" s="107">
        <f t="shared" si="952"/>
        <v>1.1000729636407565</v>
      </c>
      <c r="FA135" s="107">
        <f t="shared" si="941"/>
        <v>1.885191399050663</v>
      </c>
      <c r="FB135" s="107">
        <f>IF(SeilBeregnet=0,FB133,SeilBeregnet^0.5/Depl^0.3333)</f>
        <v>3.4379275551735438</v>
      </c>
      <c r="FC135" s="107">
        <f>IF(SeilBeregnet=0,FC133,((Loa+Lwl)/Bredde/6)^FC$3)</f>
        <v>1.03374680065799</v>
      </c>
      <c r="FD135" s="107">
        <f>IF(SeilBeregnet=0,FD133,(Lwl*0.7+Loa*0.3)^FD$3)</f>
        <v>1.7354089054960848</v>
      </c>
      <c r="FE135" s="107">
        <f t="shared" si="953"/>
        <v>1.1627901247921588</v>
      </c>
      <c r="FF135" s="141" t="str">
        <f>IF($DY135=0,"-",(FE135-$DW135)*100)</f>
        <v>-</v>
      </c>
      <c r="FG135" s="107">
        <f t="shared" si="942"/>
        <v>3.6738809388869949</v>
      </c>
      <c r="FH135" s="133">
        <f>IF(SeilBeregnet=0,FH133,(SeilBeregnet^0.5/(Depl^0.3333))^FH$3)</f>
        <v>3.4379275551735438</v>
      </c>
      <c r="FI135" s="133">
        <f>IF(SeilBeregnet=0,FI133,((Loa+Lwl)/Bredde/6)^FI$3)</f>
        <v>1.0686324478706302</v>
      </c>
      <c r="FJ135" s="107">
        <f>IF(SeilBeregnet=0,FJ133,(Lwl*0.07+Loa*0.03)^FJ$3)</f>
        <v>0.97589214366380161</v>
      </c>
      <c r="FK135" s="107">
        <f t="shared" si="954"/>
        <v>1.1344956209901391</v>
      </c>
      <c r="FL135" s="141" t="str">
        <f>IF($DY135=0,"-",(FK135-$DW135)*100)</f>
        <v>-</v>
      </c>
      <c r="FM135" s="107">
        <f t="shared" si="943"/>
        <v>5.5352239213515428</v>
      </c>
      <c r="FN135" s="133">
        <f>IF(SeilBeregnet=0,FN133,(SeilBeregnet^0.5/(Depl^0.3333))^FN$3)</f>
        <v>3.4379275551735438</v>
      </c>
      <c r="FO135" s="133">
        <f>IF(SeilBeregnet=0,FO133,(SeilBeregnet^0.5/Lwl*FO$7)^FO$3)</f>
        <v>0.70188279848555712</v>
      </c>
      <c r="FP135" s="133">
        <f>IF(SeilBeregnet=0,FP133,((Loa)/Bredde)^FP$3*FP$7)</f>
        <v>1.8954135676924422</v>
      </c>
      <c r="FQ135" s="107">
        <f>IF(SeilBeregnet=0,FQ133,(Lwl)^FQ$3)</f>
        <v>1.7223470599267343</v>
      </c>
      <c r="FR135" s="107">
        <f t="shared" si="955"/>
        <v>1.1592133740752322</v>
      </c>
      <c r="FS135" s="141" t="str">
        <f>IF($DY135=0,"-",(FR135-$DW135)*100)</f>
        <v>-</v>
      </c>
      <c r="FT135" s="107">
        <f t="shared" si="944"/>
        <v>6.516294532819642</v>
      </c>
      <c r="FU135" s="133">
        <f>IF(SeilBeregnet=0,FU133,(SeilBeregnet^0.5/(Depl^0.3333))^FU$3)</f>
        <v>3.4379275551735438</v>
      </c>
      <c r="FV135" s="133">
        <f>IF(SeilBeregnet=0,FV133,(Loa/Bredde)^FV$3)</f>
        <v>1.8954135676924422</v>
      </c>
      <c r="FW135" s="107">
        <f>IF(SeilBeregnet=0,FW133,Lwl^FW$3)</f>
        <v>1.7223470599267343</v>
      </c>
      <c r="FY135" s="336">
        <v>1</v>
      </c>
      <c r="FZ135" s="62">
        <f t="shared" si="711"/>
        <v>1.1651295345853065</v>
      </c>
      <c r="GA135" s="62">
        <f t="shared" si="712"/>
        <v>1.8995387394523999</v>
      </c>
      <c r="GB135" s="107">
        <f t="shared" si="798"/>
        <v>1.5422812240932189</v>
      </c>
      <c r="GC135" s="440"/>
      <c r="GD135" s="17"/>
      <c r="GE135" s="442"/>
      <c r="GF135" s="462"/>
      <c r="GG135" s="17"/>
      <c r="GH135" s="17"/>
      <c r="GI135" s="17"/>
      <c r="GJ135" s="17"/>
      <c r="GL135" s="17"/>
      <c r="GM135" s="442"/>
      <c r="GN135" s="8"/>
      <c r="GO135" s="8"/>
      <c r="GP135" s="8"/>
      <c r="GQ135" s="8"/>
      <c r="GS135" s="17"/>
      <c r="GT135" s="17"/>
      <c r="GU135" s="17"/>
      <c r="GV135" s="629"/>
      <c r="GW135" s="17"/>
      <c r="GX135" s="17"/>
      <c r="GY135" s="17"/>
      <c r="GZ135" s="17"/>
    </row>
    <row r="136" spans="1:208" ht="15.6" x14ac:dyDescent="0.3">
      <c r="A136" s="60" t="s">
        <v>33</v>
      </c>
      <c r="B136" s="218"/>
      <c r="C136" s="61" t="str">
        <f>C135</f>
        <v>Bermuda</v>
      </c>
      <c r="D136" s="61"/>
      <c r="E136" s="61"/>
      <c r="F136" s="61"/>
      <c r="G136" s="54"/>
      <c r="H136" s="204">
        <f>TBFavrundet</f>
        <v>114.5</v>
      </c>
      <c r="I136" s="63">
        <f>COUNTA(O136:AG136)</f>
        <v>2</v>
      </c>
      <c r="J136" s="222">
        <f>SUM(O136:AG136)</f>
        <v>34</v>
      </c>
      <c r="K136" s="116">
        <f>Seilareal/Depl^0.667/K$7</f>
        <v>0.97550166234085056</v>
      </c>
      <c r="L136" s="116">
        <f>Seilareal/Lwl/Lwl/L$7</f>
        <v>0.66617839908718479</v>
      </c>
      <c r="M136" s="92">
        <f>RiggF</f>
        <v>0.97499999999999998</v>
      </c>
      <c r="N136" s="242">
        <f>StHfaktor</f>
        <v>1.0135447430742779</v>
      </c>
      <c r="O136" s="143"/>
      <c r="P136" s="143"/>
      <c r="Q136" s="143"/>
      <c r="R136" s="143"/>
      <c r="S136" s="143"/>
      <c r="T136" s="143"/>
      <c r="U136" s="165">
        <v>17</v>
      </c>
      <c r="V136" s="559"/>
      <c r="W136" s="559"/>
      <c r="X136" s="143"/>
      <c r="Y136" s="143"/>
      <c r="Z136" s="143"/>
      <c r="AA136" s="143"/>
      <c r="AB136" s="143"/>
      <c r="AC136" s="143"/>
      <c r="AD136" s="143"/>
      <c r="AE136" s="165">
        <v>17</v>
      </c>
      <c r="AF136" s="143"/>
      <c r="AG136" s="551"/>
      <c r="AH136" s="557">
        <f>AH135</f>
        <v>0</v>
      </c>
      <c r="AI136" s="557">
        <f>AI135</f>
        <v>9.8000000000000007</v>
      </c>
      <c r="AJ136" s="337">
        <f xml:space="preserve"> AJ135</f>
        <v>0</v>
      </c>
      <c r="AK136" s="339"/>
      <c r="AL136" s="337">
        <f xml:space="preserve"> AL135</f>
        <v>0</v>
      </c>
      <c r="AM136" s="339"/>
      <c r="AN136" s="267" t="str">
        <f xml:space="preserve"> AN135</f>
        <v>Meter</v>
      </c>
      <c r="AO136" s="45">
        <f>VLOOKUP(AN136,Skrogform!$1:$1048576,3,FALSE)</f>
        <v>1</v>
      </c>
      <c r="AP136" s="64">
        <f t="shared" ref="AP136:BB136" si="1196">AP135</f>
        <v>9.6999999999999993</v>
      </c>
      <c r="AQ136" s="64">
        <f t="shared" si="1196"/>
        <v>8.8000000000000007</v>
      </c>
      <c r="AR136" s="64">
        <f t="shared" si="1196"/>
        <v>2.7</v>
      </c>
      <c r="AS136" s="64">
        <f t="shared" si="1196"/>
        <v>1.4</v>
      </c>
      <c r="AT136" s="64">
        <f t="shared" si="1196"/>
        <v>5.8</v>
      </c>
      <c r="AU136" s="64">
        <f t="shared" si="1196"/>
        <v>5.8</v>
      </c>
      <c r="AV136" s="64">
        <f t="shared" si="1196"/>
        <v>2.6</v>
      </c>
      <c r="AW136" s="64">
        <f t="shared" si="1196"/>
        <v>0.03</v>
      </c>
      <c r="AX136" s="256">
        <f t="shared" si="1196"/>
        <v>0</v>
      </c>
      <c r="AY136" s="256">
        <f t="shared" si="1196"/>
        <v>31</v>
      </c>
      <c r="AZ136" s="256">
        <f t="shared" si="1196"/>
        <v>150</v>
      </c>
      <c r="BA136" s="256">
        <f t="shared" si="1196"/>
        <v>0</v>
      </c>
      <c r="BB136" s="256">
        <f t="shared" si="1196"/>
        <v>0</v>
      </c>
      <c r="BC136" s="256"/>
      <c r="BD136" s="66"/>
      <c r="BE136" s="66"/>
      <c r="BF136" s="261"/>
      <c r="BG136" s="66"/>
      <c r="BH136" s="175"/>
      <c r="BI136" s="66"/>
      <c r="BJ136" s="66"/>
      <c r="BK136" s="65" t="str">
        <f xml:space="preserve"> BK135</f>
        <v>Seilrett</v>
      </c>
      <c r="BL136" s="267">
        <f xml:space="preserve"> BL135</f>
        <v>2</v>
      </c>
      <c r="BM136" s="267">
        <f xml:space="preserve"> BM135</f>
        <v>43</v>
      </c>
      <c r="BN136" s="45">
        <f>IF((BK136="Fast"),(1.006248-(0.06415*((BM136/100*SQRT(BL136))/POWER(AU136,(1/3))))),1)</f>
        <v>1</v>
      </c>
      <c r="BO136" s="59"/>
      <c r="BP136" s="59"/>
      <c r="BR136" s="49">
        <f t="shared" si="1187"/>
        <v>0</v>
      </c>
      <c r="BS136" s="49">
        <f t="shared" si="1187"/>
        <v>0</v>
      </c>
      <c r="BT136" s="49">
        <f t="shared" si="1187"/>
        <v>0</v>
      </c>
      <c r="BU136" s="49">
        <f t="shared" si="1187"/>
        <v>0</v>
      </c>
      <c r="BV136" s="49">
        <f t="shared" si="1187"/>
        <v>0</v>
      </c>
      <c r="BW136" s="49">
        <f t="shared" si="1187"/>
        <v>0</v>
      </c>
      <c r="BX136" s="49">
        <f t="shared" si="1187"/>
        <v>17</v>
      </c>
      <c r="BY136" s="549">
        <f>IF(COUNT(Q136:U136)&gt;1,MINA(Q136:U136)*BY$9,0)</f>
        <v>0</v>
      </c>
      <c r="BZ136" s="85">
        <f t="shared" si="1188"/>
        <v>0</v>
      </c>
      <c r="CA136" s="85">
        <f t="shared" si="1188"/>
        <v>0</v>
      </c>
      <c r="CB136" s="85">
        <f t="shared" si="1188"/>
        <v>0</v>
      </c>
      <c r="CC136" s="85">
        <f t="shared" si="1188"/>
        <v>0</v>
      </c>
      <c r="CD136" s="85">
        <f t="shared" si="1188"/>
        <v>0</v>
      </c>
      <c r="CE136" s="85">
        <f>IF(AC136=0,0,AC136*CE$9)</f>
        <v>0</v>
      </c>
      <c r="CF136" s="85">
        <f t="shared" si="1189"/>
        <v>0</v>
      </c>
      <c r="CG136" s="85">
        <f t="shared" si="1189"/>
        <v>0</v>
      </c>
      <c r="CH136" s="85">
        <f t="shared" si="1190"/>
        <v>0</v>
      </c>
      <c r="CI136" s="85">
        <f t="shared" si="1190"/>
        <v>16.149999999999999</v>
      </c>
      <c r="CJ136" s="85">
        <f t="shared" si="1190"/>
        <v>0</v>
      </c>
      <c r="CK136" s="85">
        <f t="shared" si="1190"/>
        <v>0</v>
      </c>
      <c r="CL136" s="100">
        <f>SUM(BR136:CK136)</f>
        <v>33.15</v>
      </c>
      <c r="CM136" s="50"/>
      <c r="CN136" s="104">
        <f>J136</f>
        <v>34</v>
      </c>
      <c r="CO136" s="101">
        <f>CL136/CN136</f>
        <v>0.97499999999999998</v>
      </c>
      <c r="CP136" s="51">
        <f>Seilareal/Lwl/Lwl</f>
        <v>0.43904958677685946</v>
      </c>
      <c r="CQ136" s="116">
        <f>Seilareal/Depl^0.667/K$7</f>
        <v>0.97550166234085056</v>
      </c>
      <c r="CR136" s="51">
        <f>Seilareal/Lwl/Lwl/SApRS1</f>
        <v>0.66617839908718479</v>
      </c>
      <c r="CS136" s="204"/>
      <c r="CT136" s="204">
        <f>(ROUND(TBF/CT$6,3)*CT$6)*CT$4</f>
        <v>114.5</v>
      </c>
      <c r="CU136" s="107">
        <f t="shared" si="36"/>
        <v>1.1465702043969024</v>
      </c>
      <c r="CV136" s="62">
        <f t="shared" si="789"/>
        <v>3.2114483505510485</v>
      </c>
      <c r="CW136" s="62">
        <f t="shared" si="14"/>
        <v>1.8509256943286312</v>
      </c>
      <c r="CX136" s="62">
        <f t="shared" si="790"/>
        <v>1.7223470599267343</v>
      </c>
      <c r="CY136" s="107">
        <f t="shared" si="16"/>
        <v>1.0135447430742779</v>
      </c>
      <c r="CZ136" s="168" t="str">
        <f>IF(DA136=0,"-",IF(CP136="TBF","-",CZ$7*DA136))</f>
        <v>-</v>
      </c>
      <c r="DA136" s="158"/>
      <c r="DB136" s="168" t="str">
        <f>IF(DC136=0,"-",IF(CT136="TBF","-",DB$7*DC136))</f>
        <v>-</v>
      </c>
      <c r="DC136" s="160"/>
      <c r="DD136" s="190" t="s">
        <v>134</v>
      </c>
      <c r="DE136" s="62" t="s">
        <v>102</v>
      </c>
      <c r="DF136" s="62" t="s">
        <v>102</v>
      </c>
      <c r="DG136" s="62" t="s">
        <v>102</v>
      </c>
      <c r="DH136" s="150" t="s">
        <v>102</v>
      </c>
      <c r="DI136" s="62">
        <f t="shared" si="39"/>
        <v>1.8898787736558318</v>
      </c>
      <c r="DJ136" s="47">
        <f t="shared" si="17"/>
        <v>11.2</v>
      </c>
      <c r="DK136" s="48">
        <f>DJ$7*IF(DJ136&lt;DJ$5,-0.04,IF(DJ136&lt;DJ$5*1.1,-0.03,IF(DJ136&lt;DJ$5*1.2,-0.02,IF(DJ136&lt;DJ$5*1.3,-0.01,0))))</f>
        <v>0</v>
      </c>
      <c r="DM136" s="107">
        <f t="shared" si="950"/>
        <v>1.0892425804910144</v>
      </c>
      <c r="DN136" s="141" t="str">
        <f>IF($DY136=0,"-",(DM136-$DW136)*100)</f>
        <v>-</v>
      </c>
      <c r="DO136" s="107">
        <f>SUM(DP136:DS136)^DO$3+DO$7</f>
        <v>5.1001418722032534</v>
      </c>
      <c r="DP136" s="133">
        <f>IF(SeilBeregnet=0,DP135,(SeilBeregnet^0.5/(Depl^0.3333))^DP$3*DP$7)</f>
        <v>3.2047283045108115</v>
      </c>
      <c r="DQ136" s="133">
        <f>IF(SeilBeregnet=0,DQ135,(SeilBeregnet^0.5/Lwl)^DQ$3*DQ$7)</f>
        <v>0</v>
      </c>
      <c r="DR136" s="133">
        <f>IF(SeilBeregnet=0,DR135,(0.1*Loa/Depl^0.3333)^DR$3*DR$7)</f>
        <v>0</v>
      </c>
      <c r="DS136" s="133">
        <f>IF(SeilBeregnet=0,DS135,((Loa)/Bredde)^DS$3*DS$7)</f>
        <v>1.8954135676924422</v>
      </c>
      <c r="DT136" s="107">
        <f>IF(SeilBeregnet=0,DT135,(Lwl)^DT$3)</f>
        <v>1.7223470599267343</v>
      </c>
      <c r="DU136" s="133">
        <f>IF(SeilBeregnet=0,DU135,(Dypg/Loa)^DU$3*5*DU$7)</f>
        <v>1.8995387394523999</v>
      </c>
      <c r="DW136" s="107">
        <f t="shared" si="769"/>
        <v>1.1465702043969022</v>
      </c>
      <c r="DX136" s="107">
        <f t="shared" si="40"/>
        <v>1.0236507202191312</v>
      </c>
      <c r="DZ136" s="107">
        <f t="shared" si="41"/>
        <v>1.0597745040941546</v>
      </c>
      <c r="EA136" s="122" t="str">
        <f>IF($DY136=0,"-",DZ136-$DW136)</f>
        <v>-</v>
      </c>
      <c r="EB136" s="107">
        <f>IF(SeilBeregnet=0,"-",EB$7*(EB$4*ED136*EE136*EF136*PropF+EB$6)+ErfaringsF+Dyp_F)</f>
        <v>1.1120240655436138</v>
      </c>
      <c r="EC136" s="122" t="str">
        <f>IF($DY136=0,"-",EB136-$DW136)</f>
        <v>-</v>
      </c>
      <c r="ED136" s="107">
        <f>IF(SeilBeregnet=0,ED135,SeilBeregnet^0.5/Depl^0.33333)</f>
        <v>3.2045593052562897</v>
      </c>
      <c r="EE136" s="107">
        <f>IF(SeilBeregnet=0,EE135,Lwl^0.3333)</f>
        <v>2.0644105728067443</v>
      </c>
      <c r="EF136" s="107">
        <f>IF(SeilBeregnet=0,EF135,((Loa+Lwl)/Bredde)^EF$3)</f>
        <v>1.6179011774099146</v>
      </c>
      <c r="EH136" s="107">
        <f>IF(SeilBeregnet=0,"-",EH$7*(EH$4*EJ136*EK136*EL136*PropF+EH$6)+ErfaringsF+Dyp_F)</f>
        <v>1.1180389207942689</v>
      </c>
      <c r="EJ136" s="107">
        <f>IF(SeilBeregnet=0,EJ135,SeilBeregnet^0.5/Depl^0.33333)</f>
        <v>3.2045593052562897</v>
      </c>
      <c r="EK136" s="107">
        <f>IF(SeilBeregnet=0,EK135,Lwl^EK$3)</f>
        <v>2.0645452646139271</v>
      </c>
      <c r="EL136" s="107">
        <f>IF(SeilBeregnet=0,EL135,((Loa+Lwl)/Bredde)^EL$3)</f>
        <v>1.8992178984985733</v>
      </c>
      <c r="EM136" s="107">
        <f>IF(SeilBeregnet=0,"-",EM$7*(EM$4*EO136+EM$6)*ER136*PropF+ErfaringsF+Dyp_F)</f>
        <v>1.1029518250204613</v>
      </c>
      <c r="EO136" s="107">
        <f>IF(SeilBeregnet=0,EO135,(EP136*EQ136)^EO$3)</f>
        <v>5.1846602730540488</v>
      </c>
      <c r="EP136" s="107">
        <f>IF(SeilBeregnet=0,EP135,SeilBeregnet^0.5/Depl^0.33333)</f>
        <v>3.2045593052562897</v>
      </c>
      <c r="EQ136" s="107">
        <f>IF(SeilBeregnet=0,EQ135,((Loa+Lwl)/Bredde)^EQ$3)</f>
        <v>1.6179011774099146</v>
      </c>
      <c r="ER136" s="107">
        <f>IF(SeilBeregnet=0,ER135,Lwl^ER$3)</f>
        <v>1.7223470599267343</v>
      </c>
      <c r="ES136" s="107">
        <f t="shared" si="951"/>
        <v>1.1022908091336434</v>
      </c>
      <c r="EU136" s="107">
        <f>IF(SeilBeregnet=0,EU135,(EV:EV*EW:EW)^EU$3)</f>
        <v>1.8200832204400657</v>
      </c>
      <c r="EV136" s="107">
        <f>IF(SeilBeregnet=0,EV135,SeilBeregnet^0.5/Depl^0.33333)</f>
        <v>3.2045593052562897</v>
      </c>
      <c r="EW136" s="107">
        <f>IF(SeilBeregnet=0,EW135,((Loa+Lwl)/Bredde/6)^EW$3)</f>
        <v>1.03374680065799</v>
      </c>
      <c r="EX136" s="107">
        <f>IF(SeilBeregnet=0,EX135,(Lwl*0.7+Loa*0.3)^EX$3)</f>
        <v>1.7354089054960848</v>
      </c>
      <c r="EY136" s="107">
        <f t="shared" si="952"/>
        <v>1.0621081437541846</v>
      </c>
      <c r="FA136" s="107">
        <f t="shared" si="941"/>
        <v>1.8201312127882858</v>
      </c>
      <c r="FB136" s="107">
        <f>IF(SeilBeregnet=0,FB135,SeilBeregnet^0.5/Depl^0.3333)</f>
        <v>3.2047283045108115</v>
      </c>
      <c r="FC136" s="107">
        <f>IF(SeilBeregnet=0,FC135,((Loa+Lwl)/Bredde/6)^FC$3)</f>
        <v>1.03374680065799</v>
      </c>
      <c r="FD136" s="107">
        <f>IF(SeilBeregnet=0,FD135,(Lwl*0.7+Loa*0.3)^FD$3)</f>
        <v>1.7354089054960848</v>
      </c>
      <c r="FE136" s="107">
        <f t="shared" si="953"/>
        <v>1.1117188587526174</v>
      </c>
      <c r="FF136" s="141" t="str">
        <f>IF($DY136=0,"-",(FE136-$DW136)*100)</f>
        <v>-</v>
      </c>
      <c r="FG136" s="107">
        <f t="shared" si="942"/>
        <v>3.4246766528096826</v>
      </c>
      <c r="FH136" s="133">
        <f>IF(SeilBeregnet=0,FH135,(SeilBeregnet^0.5/(Depl^0.3333))^FH$3)</f>
        <v>3.2047283045108115</v>
      </c>
      <c r="FI136" s="133">
        <f>IF(SeilBeregnet=0,FI135,((Loa+Lwl)/Bredde/6)^FI$3)</f>
        <v>1.0686324478706302</v>
      </c>
      <c r="FJ136" s="107">
        <f>IF(SeilBeregnet=0,FJ135,(Lwl*0.07+Loa*0.03)^FJ$3)</f>
        <v>0.97589214366380161</v>
      </c>
      <c r="FK136" s="107">
        <f t="shared" si="954"/>
        <v>1.0769412243434633</v>
      </c>
      <c r="FL136" s="141" t="str">
        <f>IF($DY136=0,"-",(FK136-$DW136)*100)</f>
        <v>-</v>
      </c>
      <c r="FM136" s="107">
        <f t="shared" si="943"/>
        <v>5.254415016316198</v>
      </c>
      <c r="FN136" s="133">
        <f>IF(SeilBeregnet=0,FN135,(SeilBeregnet^0.5/(Depl^0.3333))^FN$3)</f>
        <v>3.2047283045108115</v>
      </c>
      <c r="FO136" s="133">
        <f>IF(SeilBeregnet=0,FO135,(SeilBeregnet^0.5/Lwl*FO$7)^FO$3)</f>
        <v>0.65427314411294457</v>
      </c>
      <c r="FP136" s="133">
        <f>IF(SeilBeregnet=0,FP135,((Loa)/Bredde)^FP$3*FP$7)</f>
        <v>1.8954135676924422</v>
      </c>
      <c r="FQ136" s="107">
        <f>IF(SeilBeregnet=0,FQ135,(Lwl)^FQ$3)</f>
        <v>1.7223470599267343</v>
      </c>
      <c r="FR136" s="107">
        <f t="shared" si="955"/>
        <v>1.1104906257616622</v>
      </c>
      <c r="FS136" s="141" t="str">
        <f>IF($DY136=0,"-",(FR136-$DW136)*100)</f>
        <v>-</v>
      </c>
      <c r="FT136" s="107">
        <f t="shared" si="944"/>
        <v>6.0742855091377885</v>
      </c>
      <c r="FU136" s="133">
        <f>IF(SeilBeregnet=0,FU135,(SeilBeregnet^0.5/(Depl^0.3333))^FU$3)</f>
        <v>3.2047283045108115</v>
      </c>
      <c r="FV136" s="133">
        <f>IF(SeilBeregnet=0,FV135,(Loa/Bredde)^FV$3)</f>
        <v>1.8954135676924422</v>
      </c>
      <c r="FW136" s="107">
        <f>IF(SeilBeregnet=0,FW135,Lwl^FW$3)</f>
        <v>1.7223470599267343</v>
      </c>
      <c r="FY136" s="336">
        <v>1</v>
      </c>
      <c r="FZ136" s="62">
        <f t="shared" si="711"/>
        <v>1.1275651084842757</v>
      </c>
      <c r="GA136" s="62">
        <f t="shared" si="712"/>
        <v>1.8995387394523999</v>
      </c>
      <c r="GB136" s="107">
        <f t="shared" si="798"/>
        <v>1.5065899632381052</v>
      </c>
      <c r="GC136" s="440"/>
      <c r="GD136" s="17"/>
      <c r="GE136" s="442"/>
      <c r="GF136" s="462"/>
      <c r="GG136" s="17"/>
      <c r="GH136" s="17"/>
      <c r="GI136" s="17"/>
      <c r="GJ136" s="17"/>
      <c r="GL136" s="17"/>
      <c r="GM136" s="442"/>
      <c r="GN136" s="8"/>
      <c r="GO136" s="8"/>
      <c r="GP136" s="8"/>
      <c r="GQ136" s="8"/>
      <c r="GS136" s="17"/>
      <c r="GT136" s="17"/>
      <c r="GU136" s="17"/>
      <c r="GV136" s="629"/>
      <c r="GW136" s="17"/>
      <c r="GX136" s="17"/>
      <c r="GY136" s="17"/>
      <c r="GZ136" s="17"/>
    </row>
    <row r="137" spans="1:208" ht="17.399999999999999" x14ac:dyDescent="0.3">
      <c r="A137" s="115" t="s">
        <v>260</v>
      </c>
      <c r="B137" s="97"/>
      <c r="C137" s="97"/>
      <c r="D137" s="97"/>
      <c r="E137" s="97"/>
      <c r="F137" s="97"/>
      <c r="G137" s="97"/>
      <c r="H137" s="205"/>
      <c r="I137" s="97"/>
      <c r="J137" s="224"/>
      <c r="K137" s="224"/>
      <c r="L137" s="224"/>
      <c r="M137" s="224"/>
      <c r="N137" s="243"/>
      <c r="O137" s="224"/>
      <c r="P137" s="224"/>
      <c r="Q137" s="224"/>
      <c r="R137" s="224"/>
      <c r="S137" s="224"/>
      <c r="T137" s="245" t="s">
        <v>129</v>
      </c>
      <c r="U137" s="246"/>
      <c r="V137" s="246"/>
      <c r="W137" s="246"/>
      <c r="X137" s="245"/>
      <c r="Y137" s="177">
        <f>StorS-StorS/6</f>
        <v>0</v>
      </c>
      <c r="Z137" s="177">
        <f>StorS-StorS/6*1.9</f>
        <v>0</v>
      </c>
      <c r="AA137" s="224"/>
      <c r="AB137" s="224"/>
      <c r="AC137" s="224"/>
      <c r="AD137" s="224"/>
      <c r="AE137" s="224"/>
      <c r="AF137" s="224"/>
      <c r="AG137" s="224"/>
      <c r="AH137" s="556"/>
      <c r="AI137" s="556"/>
      <c r="AJ137" s="269"/>
      <c r="AK137" s="341"/>
      <c r="AL137" s="269"/>
      <c r="AM137" s="341"/>
      <c r="AN137" s="269"/>
      <c r="AO137" s="97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69"/>
      <c r="BM137" s="269"/>
      <c r="BN137" s="97"/>
      <c r="BO137" s="97"/>
      <c r="BP137" s="97"/>
      <c r="BQ137" s="60"/>
      <c r="BR137" s="97"/>
      <c r="BS137" s="97"/>
      <c r="BT137" s="97"/>
      <c r="BU137" s="97"/>
      <c r="BV137" s="97"/>
      <c r="BW137" s="97"/>
      <c r="BX137" s="97"/>
      <c r="BY137" s="549"/>
      <c r="BZ137" s="97"/>
      <c r="CA137" s="97"/>
      <c r="CB137" s="97"/>
      <c r="CC137" s="97"/>
      <c r="CD137" s="97"/>
      <c r="CE137" s="97"/>
      <c r="CF137" s="97"/>
      <c r="CG137" s="97"/>
      <c r="CH137" s="97"/>
      <c r="CI137" s="97"/>
      <c r="CJ137" s="97"/>
      <c r="CK137" s="97"/>
      <c r="CL137" s="102"/>
      <c r="CM137" s="97"/>
      <c r="CN137" s="105"/>
      <c r="CO137" s="103"/>
      <c r="CP137" s="97"/>
      <c r="CQ137" s="224"/>
      <c r="CR137" s="97"/>
      <c r="CS137" s="205"/>
      <c r="CT137" s="205"/>
      <c r="CU137" s="107" t="str">
        <f t="shared" si="36"/>
        <v>-</v>
      </c>
      <c r="CV137" s="62" t="str">
        <f t="shared" si="789"/>
        <v>-</v>
      </c>
      <c r="CW137" s="62" t="str">
        <f t="shared" si="84"/>
        <v>-</v>
      </c>
      <c r="CX137" s="62" t="str">
        <f t="shared" si="790"/>
        <v>-</v>
      </c>
      <c r="CY137" s="107" t="str">
        <f t="shared" si="85"/>
        <v>-</v>
      </c>
      <c r="CZ137" s="168" t="str">
        <f t="shared" si="693"/>
        <v>-</v>
      </c>
      <c r="DA137" s="162"/>
      <c r="DB137" s="168" t="str">
        <f t="shared" si="694"/>
        <v>-</v>
      </c>
      <c r="DC137" s="162"/>
      <c r="DD137" s="162"/>
      <c r="DE137" s="162"/>
      <c r="DF137" s="162"/>
      <c r="DG137" s="162"/>
      <c r="DH137" s="162"/>
      <c r="DI137" s="162"/>
      <c r="DJ137" s="162"/>
      <c r="DK137" s="162"/>
      <c r="DL137" s="162"/>
      <c r="DM137" s="162"/>
      <c r="DN137" s="162"/>
      <c r="DO137" s="162"/>
      <c r="DP137" s="162"/>
      <c r="DQ137" s="162"/>
      <c r="DR137" s="162"/>
      <c r="DS137" s="162"/>
      <c r="DT137" s="162"/>
      <c r="DU137" s="162"/>
      <c r="DV137" s="162"/>
      <c r="DW137" s="162"/>
      <c r="DX137" s="162"/>
      <c r="DY137" s="162"/>
      <c r="DZ137" s="162"/>
      <c r="EA137" s="162"/>
      <c r="EB137" s="162"/>
      <c r="EC137" s="162"/>
      <c r="ED137" s="162"/>
      <c r="EE137" s="162"/>
      <c r="EF137" s="162"/>
      <c r="EG137" s="162"/>
      <c r="EH137" s="162"/>
      <c r="EI137" s="162"/>
      <c r="EJ137" s="162"/>
      <c r="EK137" s="162"/>
      <c r="EL137" s="162"/>
      <c r="EM137" s="162"/>
      <c r="EN137" s="162"/>
      <c r="EO137" s="162"/>
      <c r="EP137" s="162"/>
      <c r="EQ137" s="162"/>
      <c r="ER137" s="162"/>
      <c r="ES137" s="162"/>
      <c r="ET137" s="162"/>
      <c r="EU137" s="162"/>
      <c r="EV137" s="162"/>
      <c r="EW137" s="162"/>
      <c r="EX137" s="162"/>
      <c r="EY137" s="162"/>
      <c r="EZ137" s="162"/>
      <c r="FA137" s="162"/>
      <c r="FB137" s="162"/>
      <c r="FC137" s="162"/>
      <c r="FD137" s="162"/>
      <c r="FE137" s="162"/>
      <c r="FF137" s="162"/>
      <c r="FG137" s="162"/>
      <c r="FH137" s="162"/>
      <c r="FI137" s="162"/>
      <c r="FJ137" s="162"/>
      <c r="FK137" s="162"/>
      <c r="FL137" s="162"/>
      <c r="FM137" s="162"/>
      <c r="FN137" s="162"/>
      <c r="FO137" s="162"/>
      <c r="FP137" s="162"/>
      <c r="FQ137" s="162"/>
      <c r="FR137" s="162"/>
      <c r="FS137" s="162"/>
      <c r="FT137" s="162"/>
      <c r="FU137" s="162"/>
      <c r="FV137" s="162"/>
      <c r="FW137" s="162"/>
      <c r="FX137" s="521"/>
      <c r="FY137" s="162"/>
      <c r="FZ137" s="62" t="str">
        <f t="shared" si="711"/>
        <v>-</v>
      </c>
      <c r="GA137" s="62">
        <f t="shared" si="712"/>
        <v>2</v>
      </c>
      <c r="GB137" s="107" t="str">
        <f t="shared" si="798"/>
        <v>-</v>
      </c>
      <c r="GC137" s="97"/>
      <c r="GD137" s="97"/>
      <c r="GE137" s="444"/>
      <c r="GF137" s="97"/>
      <c r="GG137" s="438"/>
      <c r="GH137" s="438"/>
      <c r="GI137" s="438"/>
      <c r="GJ137" s="438"/>
      <c r="GL137" s="97"/>
      <c r="GM137" s="444"/>
      <c r="GN137" s="97"/>
      <c r="GO137" s="97"/>
      <c r="GP137" s="97"/>
      <c r="GQ137" s="97"/>
      <c r="GS137" s="438"/>
      <c r="GT137" s="438"/>
      <c r="GU137" s="438"/>
      <c r="GV137" s="205"/>
      <c r="GW137" s="438"/>
      <c r="GX137" s="438"/>
      <c r="GY137" s="438"/>
      <c r="GZ137" s="438"/>
    </row>
    <row r="138" spans="1:208" ht="15.6" x14ac:dyDescent="0.3">
      <c r="A138" s="52" t="s">
        <v>846</v>
      </c>
      <c r="B138" s="218">
        <f t="shared" si="10"/>
        <v>35.006561679790025</v>
      </c>
      <c r="C138" s="656" t="s">
        <v>991</v>
      </c>
      <c r="D138" s="53"/>
      <c r="E138" s="53"/>
      <c r="F138" s="53"/>
      <c r="G138" s="54"/>
      <c r="H138" s="112">
        <f>J139</f>
        <v>32</v>
      </c>
      <c r="I138" s="601">
        <f>H139/100</f>
        <v>1.27</v>
      </c>
      <c r="J138" s="651" t="str">
        <f>IF(DC139=0,"-",DC139)</f>
        <v>-</v>
      </c>
      <c r="K138" s="123" t="str">
        <f>A138</f>
        <v>Agita</v>
      </c>
      <c r="L138" s="116"/>
      <c r="M138" s="116"/>
      <c r="N138" s="92"/>
      <c r="O138" s="165"/>
      <c r="P138" s="165"/>
      <c r="Q138" s="165"/>
      <c r="R138" s="165"/>
      <c r="S138" s="165"/>
      <c r="T138" s="165"/>
      <c r="U138" s="165">
        <v>12</v>
      </c>
      <c r="V138" s="560"/>
      <c r="W138" s="560"/>
      <c r="X138" s="165"/>
      <c r="Y138" s="165"/>
      <c r="Z138" s="165"/>
      <c r="AA138" s="165"/>
      <c r="AB138" s="165"/>
      <c r="AC138" s="165"/>
      <c r="AD138" s="165"/>
      <c r="AE138" s="165">
        <v>20</v>
      </c>
      <c r="AF138" s="165"/>
      <c r="AG138" s="552"/>
      <c r="AH138" s="241">
        <f>Loa*1.2</f>
        <v>12.804</v>
      </c>
      <c r="AI138" s="241">
        <f>Loa*1.2</f>
        <v>12.804</v>
      </c>
      <c r="AJ138" s="554"/>
      <c r="AK138" s="339"/>
      <c r="AL138" s="268"/>
      <c r="AM138" s="339"/>
      <c r="AN138" s="268" t="s">
        <v>214</v>
      </c>
      <c r="AO138" s="45">
        <f>VLOOKUP(AN138,Skrogform!$1:$1048576,3,FALSE)</f>
        <v>1</v>
      </c>
      <c r="AP138" s="55">
        <v>10.67</v>
      </c>
      <c r="AQ138" s="55">
        <v>7.7</v>
      </c>
      <c r="AR138" s="55">
        <v>2.4</v>
      </c>
      <c r="AS138" s="55">
        <v>1.4</v>
      </c>
      <c r="AT138" s="637">
        <v>3.5</v>
      </c>
      <c r="AU138" s="55">
        <v>3.5</v>
      </c>
      <c r="AV138" s="55"/>
      <c r="AW138" s="55"/>
      <c r="AX138" s="253"/>
      <c r="AY138" s="253">
        <v>10</v>
      </c>
      <c r="AZ138" s="254">
        <f>AY138*7</f>
        <v>70</v>
      </c>
      <c r="BA138" s="253"/>
      <c r="BB138" s="253"/>
      <c r="BC138" s="244">
        <f>Depl+Diesel/1000*0.84+Vann/1000</f>
        <v>3.5</v>
      </c>
      <c r="BD138" s="95">
        <f>Bredde/(Loa+Lwl)*2</f>
        <v>0.26129559063690799</v>
      </c>
      <c r="BE138" s="95">
        <f>(Kjøl+Ballast)/Depl</f>
        <v>0</v>
      </c>
      <c r="BF138" s="260">
        <f>BF$7*((Depl-Kjøl-Ballast-VektMotor/1000-VektAnnet/1000)/Lwl/Lwl/Bredde)</f>
        <v>0.90966409196863751</v>
      </c>
      <c r="BG138" s="95">
        <f>BG$7*(Depl/Loa/Lwl/Lwl)</f>
        <v>0.40713309779595885</v>
      </c>
      <c r="BH138" s="174">
        <f>BH$7*(Depl/Loa/Lwl/Bredde)</f>
        <v>0.48282328320695239</v>
      </c>
      <c r="BI138" s="95">
        <f>BI$7*Bredde/(Loa+Lwl)*2</f>
        <v>0.74539484081689977</v>
      </c>
      <c r="BJ138" s="95">
        <f>BJ$7*(Dypg/Lwl)</f>
        <v>0.99446640316205526</v>
      </c>
      <c r="BK138" s="56"/>
      <c r="BL138" s="268"/>
      <c r="BM138" s="268"/>
      <c r="BN138" s="45">
        <f t="shared" ref="BN138:BN183" si="1197">IF((BK138="Fast"),(1.006248-(0.06415*((BM138/100*SQRT(BL138))/POWER(AU138,(1/3))))),1)</f>
        <v>1</v>
      </c>
      <c r="BO138" s="59"/>
      <c r="BP138" s="59"/>
      <c r="BR138" s="209"/>
      <c r="BS138" s="209"/>
      <c r="BT138" s="209" t="str">
        <f>$A138</f>
        <v>Agita</v>
      </c>
      <c r="BU138" s="10"/>
      <c r="BV138" s="10"/>
      <c r="BW138" s="10"/>
      <c r="BX138" s="10"/>
      <c r="BY138" s="549"/>
      <c r="BZ138" s="10"/>
      <c r="CA138" s="10"/>
      <c r="CB138" s="209" t="str">
        <f>$A138</f>
        <v>Agita</v>
      </c>
      <c r="CC138" s="10"/>
      <c r="CD138" s="10"/>
      <c r="CE138" s="10"/>
      <c r="CF138" s="10"/>
      <c r="CG138" s="10"/>
      <c r="CH138" s="10"/>
      <c r="CI138" s="10"/>
      <c r="CJ138" s="10"/>
      <c r="CK138" s="10"/>
      <c r="CL138" s="209"/>
      <c r="CM138" s="10"/>
      <c r="CN138" s="209" t="str">
        <f>$A138</f>
        <v>Agita</v>
      </c>
      <c r="CO138" s="207"/>
      <c r="CP138" s="207"/>
      <c r="CQ138" s="116"/>
      <c r="CR138" s="207"/>
      <c r="CS138" s="203"/>
      <c r="CT138" s="203" t="s">
        <v>23</v>
      </c>
      <c r="CU138" s="107" t="str">
        <f t="shared" si="36"/>
        <v>-</v>
      </c>
      <c r="CV138" s="62" t="str">
        <f t="shared" si="789"/>
        <v>-</v>
      </c>
      <c r="CW138" s="62" t="str">
        <f t="shared" si="84"/>
        <v>-</v>
      </c>
      <c r="CX138" s="62" t="str">
        <f t="shared" si="790"/>
        <v>-</v>
      </c>
      <c r="CY138" s="107" t="str">
        <f t="shared" si="85"/>
        <v>-</v>
      </c>
      <c r="CZ138" s="168" t="str">
        <f t="shared" si="693"/>
        <v>-</v>
      </c>
      <c r="DA138" s="158"/>
      <c r="DB138" s="168" t="str">
        <f t="shared" si="694"/>
        <v>-</v>
      </c>
      <c r="DC138" s="160"/>
      <c r="DD138" s="190" t="s">
        <v>134</v>
      </c>
      <c r="DE138" s="29" t="s">
        <v>23</v>
      </c>
      <c r="DF138" s="29" t="s">
        <v>23</v>
      </c>
      <c r="DG138" s="29" t="s">
        <v>23</v>
      </c>
      <c r="DH138" s="149">
        <v>2022</v>
      </c>
      <c r="DI138" s="62" t="str">
        <f t="shared" ref="DI138:DI150" si="1198">IF(SeilBeregnet=0,"-",((Dypg/(Lwl+DI$6-Bredde*DI$5))^(1/DI$4)*5)*DI$3*DI$7)</f>
        <v>-</v>
      </c>
      <c r="DJ138" s="47">
        <f t="shared" ref="DJ138:DJ150" si="1199">(Dypg/(Lwl+Bredde+DJ$8)*100)</f>
        <v>12.612612612612612</v>
      </c>
      <c r="DK138" s="48">
        <f t="shared" ref="DK138:DK150" si="1200">DJ$7*IF(DJ138&lt;DJ$5,-0.04,IF(DJ138&lt;DJ$5*1.1,-0.03,IF(DJ138&lt;DJ$5*1.2,-0.02,IF(DJ138&lt;DJ$5*1.3,-0.01,0))))</f>
        <v>0</v>
      </c>
      <c r="DM138" s="107" t="str">
        <f t="shared" ref="DM138:DM169" si="1201">IF(SeilBeregnet=0,"-",DM$7*(DO:DO+DM$6)*DT:DT*PropF+ErfaringsF+Dyp_F)</f>
        <v>-</v>
      </c>
      <c r="DN138" s="141" t="str">
        <f t="shared" ref="DN138:DN150" si="1202">IF($DY138=0,"-",(DM138-$DW138)*100)</f>
        <v>-</v>
      </c>
      <c r="DO138" s="107">
        <f t="shared" ref="DO138:DO150" si="1203">SUM(DP138:DS138)^DO$3+DO$7</f>
        <v>5.7072142773068508</v>
      </c>
      <c r="DP138" s="133">
        <f>IF(SeilBeregnet=0,DP103,(SeilBeregnet^0.5/(Depl^0.3333))^DP$3*DP$7)</f>
        <v>3.7786187988613271</v>
      </c>
      <c r="DQ138" s="133">
        <f>IF(SeilBeregnet=0,DQ103,(SeilBeregnet^0.5/Lwl)^DQ$3*DQ$7)</f>
        <v>0</v>
      </c>
      <c r="DR138" s="133">
        <f>IF(SeilBeregnet=0,DR103,(0.1*Loa/Depl^0.3333)^DR$3*DR$7)</f>
        <v>0</v>
      </c>
      <c r="DS138" s="133">
        <f>IF(SeilBeregnet=0,DS103,((Loa)/Bredde)^DS$3*DS$7)</f>
        <v>1.9285954784455239</v>
      </c>
      <c r="DT138" s="107">
        <f>IF(SeilBeregnet=0,DT103,(Lwl)^DT$3)</f>
        <v>1.878418417945126</v>
      </c>
      <c r="DU138" s="133">
        <f>IF(SeilBeregnet=0,DU103,(Dypg/Loa)^DU$3*5*DU$7)</f>
        <v>2.0038371012863347</v>
      </c>
      <c r="DW138" s="107" t="str">
        <f t="shared" ref="DW138:DW140" si="1204">IF(SeilBeregnet=0,"-",Skaleringsfaktor*(1*(LBf+SaDeplf)*Lf*PropF+Strikkf2)+ErfaringsF+Dyp_F)</f>
        <v>-</v>
      </c>
      <c r="DX138" s="107" t="str">
        <f t="shared" ref="DX138:DX150" si="1205">IF(SeilBeregnet=0,"-",DX$7*(DX$4*SeilBeregnet^0.5/(Depl^0.33333*Bredde*Lwl)^0.3333*((Loa*0.03+Lwl*0.07)^0.33)*PropF+DX$6)+ErfaringsF+Dyp_F)</f>
        <v>-</v>
      </c>
      <c r="DZ138" s="107" t="str">
        <f t="shared" ref="DZ138:DZ150" si="1206">IF(SeilBeregnet=0,"-",DZ$7*(DZ$4*SeilBeregnet^0.5/(Depl^0.33333*Bredde*Lwl)^0.3333*Lwl^0.3333*((Loa+Lwl)/Bredde/6)^0.25*PropF+DZ$6)+ErfaringsF+Dyp_F)</f>
        <v>-</v>
      </c>
      <c r="EA138" s="122" t="str">
        <f t="shared" ref="EA138:EA150" si="1207">IF($DY138=0,"-",DZ138-$DW138)</f>
        <v>-</v>
      </c>
      <c r="EB138" s="107" t="str">
        <f t="shared" ref="EB138:EB150" si="1208">IF(SeilBeregnet=0,"-",EB$7*(EB$4*ED138*EE138*EF138*PropF+EB$6)+ErfaringsF+Dyp_F)</f>
        <v>-</v>
      </c>
      <c r="EC138" s="122" t="str">
        <f t="shared" ref="EC138:EC150" si="1209">IF($DY138=0,"-",EB138-$DW138)</f>
        <v>-</v>
      </c>
      <c r="ED138" s="107">
        <f>IF(SeilBeregnet=0,ED103,SeilBeregnet^0.5/Depl^0.33333)</f>
        <v>3.7782633804561327</v>
      </c>
      <c r="EE138" s="107">
        <f>IF(SeilBeregnet=0,EE103,Lwl^0.3333)</f>
        <v>2.317501078004538</v>
      </c>
      <c r="EF138" s="107">
        <f>IF(SeilBeregnet=0,EF103,((Loa+Lwl)/Bredde)^EF$3)</f>
        <v>1.6238537419499199</v>
      </c>
      <c r="EH138" s="107" t="str">
        <f t="shared" ref="EH138:EH150" si="1210">IF(SeilBeregnet=0,"-",EH$7*(EH$4*EJ138*EK138*EL138*PropF+EH$6)+ErfaringsF+Dyp_F)</f>
        <v>-</v>
      </c>
      <c r="EJ138" s="107">
        <f>IF(SeilBeregnet=0,EJ103,SeilBeregnet^0.5/Depl^0.33333)</f>
        <v>3.7782633804561327</v>
      </c>
      <c r="EK138" s="107">
        <f>IF(SeilBeregnet=0,EK103,Lwl^EK$3)</f>
        <v>2.3176764073442899</v>
      </c>
      <c r="EL138" s="107">
        <f>IF(SeilBeregnet=0,EL103,((Loa+Lwl)/Bredde)^EL$3)</f>
        <v>1.9085394483088816</v>
      </c>
      <c r="EM138" s="107" t="str">
        <f t="shared" ref="EM138:EM150" si="1211">IF(SeilBeregnet=0,"-",EM$7*(EM$4*EO138+EM$6)*ER138*PropF+ErfaringsF+Dyp_F)</f>
        <v>-</v>
      </c>
      <c r="EO138" s="107">
        <f>IF(SeilBeregnet=0,EO103,(EP138*EQ138)^EO$3)</f>
        <v>6.1353471284260452</v>
      </c>
      <c r="EP138" s="107">
        <f>IF(SeilBeregnet=0,EP103,SeilBeregnet^0.5/Depl^0.33333)</f>
        <v>3.7782633804561327</v>
      </c>
      <c r="EQ138" s="107">
        <f>IF(SeilBeregnet=0,EQ103,((Loa+Lwl)/Bredde)^EQ$3)</f>
        <v>1.6238537419499199</v>
      </c>
      <c r="ER138" s="107">
        <f>IF(SeilBeregnet=0,ER103,Lwl^ER$3)</f>
        <v>1.878418417945126</v>
      </c>
      <c r="ES138" s="107" t="str">
        <f t="shared" ref="ES138:ES169" si="1212">IF(SeilBeregnet=0,"-",ES$7*(ES$4*EU:EU+ES$6)*EX:EX*PropF+ErfaringsF+Dyp_F)</f>
        <v>-</v>
      </c>
      <c r="EU138" s="107">
        <f>IF(SeilBeregnet=0,EU103,(EV:EV*EW:EW)^EU$3)</f>
        <v>1.9799337715855527</v>
      </c>
      <c r="EV138" s="107">
        <f>IF(SeilBeregnet=0,EV103,SeilBeregnet^0.5/Depl^0.33333)</f>
        <v>3.7782633804561327</v>
      </c>
      <c r="EW138" s="107">
        <f>IF(SeilBeregnet=0,EW103,((Loa+Lwl)/Bredde/6)^EW$3)</f>
        <v>1.0375501507234075</v>
      </c>
      <c r="EX138" s="107">
        <f>IF(SeilBeregnet=0,EX103,(Lwl*0.7+Loa*0.3)^EX$3)</f>
        <v>1.8992304700730467</v>
      </c>
      <c r="EY138" s="107" t="str">
        <f t="shared" ref="EY138:EY169" si="1213">IF(SeilBeregnet=0,"-",EY$7*(FA:FA+EY$6)*FD:FD*PropF+ErfaringsF+Dyp_F)</f>
        <v>-</v>
      </c>
      <c r="FA138" s="107">
        <f t="shared" ref="FA138:FA169" si="1214">(FB:FB*FC:FC)^FA$3</f>
        <v>1.9800268948387723</v>
      </c>
      <c r="FB138" s="107">
        <f>IF(SeilBeregnet=0,FB103,SeilBeregnet^0.5/Depl^0.3333)</f>
        <v>3.7786187988613271</v>
      </c>
      <c r="FC138" s="107">
        <f>IF(SeilBeregnet=0,FC103,((Loa+Lwl)/Bredde/6)^FC$3)</f>
        <v>1.0375501507234075</v>
      </c>
      <c r="FD138" s="107">
        <f>IF(SeilBeregnet=0,FD103,(Lwl*0.7+Loa*0.3)^FD$3)</f>
        <v>1.8992304700730467</v>
      </c>
      <c r="FE138" s="107" t="str">
        <f t="shared" ref="FE138:FE169" si="1215">IF(SeilBeregnet=0,"-",FE$7*(FG:FG+FE$6)*FJ:FJ*PropF+ErfaringsF+Dyp_F)</f>
        <v>-</v>
      </c>
      <c r="FF138" s="141" t="str">
        <f t="shared" ref="FF138:FF150" si="1216">IF($DY138=0,"-",(FE138-$DW138)*100)</f>
        <v>-</v>
      </c>
      <c r="FG138" s="107">
        <f t="shared" ref="FG138:FG169" si="1217">(FH:FH*FI:FI)^FG$3</f>
        <v>4.0677221144328666</v>
      </c>
      <c r="FH138" s="133">
        <f>IF(SeilBeregnet=0,FH103,(SeilBeregnet^0.5/(Depl^0.3333))^FH$3)</f>
        <v>3.7786187988613271</v>
      </c>
      <c r="FI138" s="133">
        <f>IF(SeilBeregnet=0,FI103,((Loa+Lwl)/Bredde/6)^FI$3)</f>
        <v>1.0765103152661655</v>
      </c>
      <c r="FJ138" s="107">
        <f>IF(SeilBeregnet=0,FJ103,(Lwl*0.07+Loa*0.03)^FJ$3)</f>
        <v>1.0680157793827667</v>
      </c>
      <c r="FK138" s="107" t="str">
        <f t="shared" ref="FK138:FK169" si="1218">IF(SeilBeregnet=0,"-",FK$7*(FM:FM+FK$6)*FQ:FQ*PropF+ErfaringsF+Dyp_F)</f>
        <v>-</v>
      </c>
      <c r="FL138" s="141" t="str">
        <f t="shared" ref="FL138:FL150" si="1219">IF($DY138=0,"-",(FK138-$DW138)*100)</f>
        <v>-</v>
      </c>
      <c r="FM138" s="107">
        <f t="shared" ref="FM138:FM169" si="1220">(FN:FN+FO:FO+FP:FP)^FM$3+FM$7</f>
        <v>6.0702477044367669</v>
      </c>
      <c r="FN138" s="133">
        <f>IF(SeilBeregnet=0,FN103,(SeilBeregnet^0.5/(Depl^0.3333))^FN$3)</f>
        <v>3.7786187988613271</v>
      </c>
      <c r="FO138" s="133">
        <f>IF(SeilBeregnet=0,FO103,(SeilBeregnet^0.5/Lwl*FO$7)^FO$3)</f>
        <v>0.86303342712991571</v>
      </c>
      <c r="FP138" s="133">
        <f>IF(SeilBeregnet=0,FP103,((Loa)/Bredde)^FP$3*FP$7)</f>
        <v>1.9285954784455239</v>
      </c>
      <c r="FQ138" s="107">
        <f>IF(SeilBeregnet=0,FQ103,(Lwl)^FQ$3)</f>
        <v>1.878418417945126</v>
      </c>
      <c r="FR138" s="107" t="str">
        <f t="shared" ref="FR138:FR169" si="1221">IF(SeilBeregnet=0,"-",FR$7*(FT:FT+FR$6)*FW:FW*PropF+ErfaringsF+Dyp_F)</f>
        <v>-</v>
      </c>
      <c r="FS138" s="141" t="str">
        <f t="shared" ref="FS138:FS150" si="1222">IF($DY138=0,"-",(FR138-$DW138)*100)</f>
        <v>-</v>
      </c>
      <c r="FT138" s="107">
        <f t="shared" ref="FT138:FT169" si="1223">(FU:FU*FV:FV)^FT$3</f>
        <v>7.2874271302532119</v>
      </c>
      <c r="FU138" s="133">
        <f>IF(SeilBeregnet=0,FU103,(SeilBeregnet^0.5/(Depl^0.3333))^FU$3)</f>
        <v>3.7786187988613271</v>
      </c>
      <c r="FV138" s="133">
        <f>IF(SeilBeregnet=0,FV103,(Loa/Bredde)^FV$3)</f>
        <v>1.9285954784455239</v>
      </c>
      <c r="FW138" s="107">
        <f>IF(SeilBeregnet=0,FW103,Lwl^FW$3)</f>
        <v>1.878418417945126</v>
      </c>
      <c r="FY138" s="336">
        <v>1</v>
      </c>
      <c r="FZ138" s="62" t="str">
        <f t="shared" si="711"/>
        <v>-</v>
      </c>
      <c r="GA138" s="62">
        <f t="shared" si="712"/>
        <v>1.8111391248905937</v>
      </c>
      <c r="GB138" s="107" t="str">
        <f t="shared" si="798"/>
        <v>-</v>
      </c>
      <c r="GC138" s="441" t="s">
        <v>847</v>
      </c>
      <c r="GD138" s="57" t="s">
        <v>848</v>
      </c>
      <c r="GE138" s="436" t="s">
        <v>852</v>
      </c>
      <c r="GF138" s="75"/>
      <c r="GG138" s="57"/>
      <c r="GH138" s="57" t="s">
        <v>855</v>
      </c>
      <c r="GI138" s="57" t="s">
        <v>416</v>
      </c>
      <c r="GJ138" s="57" t="s">
        <v>851</v>
      </c>
      <c r="GL138" s="57" t="s">
        <v>478</v>
      </c>
      <c r="GM138" s="436" t="s">
        <v>478</v>
      </c>
      <c r="GN138" s="58" t="s">
        <v>478</v>
      </c>
      <c r="GO138" s="58" t="s">
        <v>478</v>
      </c>
      <c r="GP138" s="58" t="s">
        <v>478</v>
      </c>
      <c r="GQ138" s="58" t="s">
        <v>478</v>
      </c>
      <c r="GS138" s="57" t="s">
        <v>208</v>
      </c>
      <c r="GT138" s="57" t="s">
        <v>853</v>
      </c>
      <c r="GU138" s="57" t="s">
        <v>710</v>
      </c>
      <c r="GV138" s="632" t="s">
        <v>850</v>
      </c>
      <c r="GW138" s="57">
        <v>1959</v>
      </c>
      <c r="GX138" s="57" t="s">
        <v>431</v>
      </c>
      <c r="GY138" s="57" t="s">
        <v>438</v>
      </c>
      <c r="GZ138" s="57" t="s">
        <v>849</v>
      </c>
    </row>
    <row r="139" spans="1:208" ht="20.399999999999999" x14ac:dyDescent="0.3">
      <c r="A139" s="60" t="s">
        <v>33</v>
      </c>
      <c r="B139" s="218"/>
      <c r="C139" s="61" t="str">
        <f>C138</f>
        <v>Bermuda Yawl</v>
      </c>
      <c r="D139" s="61"/>
      <c r="E139" s="61"/>
      <c r="F139" s="61"/>
      <c r="G139" s="54"/>
      <c r="H139" s="204">
        <f>IF(StH=0,0,TBFavrundet)</f>
        <v>127</v>
      </c>
      <c r="I139" s="63">
        <f>COUNTA(O139:AG139)</f>
        <v>2</v>
      </c>
      <c r="J139" s="222">
        <f>SUM(O139:AG139)</f>
        <v>32</v>
      </c>
      <c r="K139" s="116">
        <f>Seilareal/Depl^0.667/K$7</f>
        <v>1.2859147005969749</v>
      </c>
      <c r="L139" s="116">
        <f>Seilareal/Lwl/Lwl/L$7</f>
        <v>0.81892758783346609</v>
      </c>
      <c r="M139" s="92">
        <f>RiggF</f>
        <v>0.96875</v>
      </c>
      <c r="N139" s="242">
        <f>StHfaktor</f>
        <v>1.065631052944354</v>
      </c>
      <c r="O139" s="143"/>
      <c r="P139" s="143"/>
      <c r="Q139" s="143"/>
      <c r="R139" s="143"/>
      <c r="S139" s="143"/>
      <c r="T139" s="143"/>
      <c r="U139" s="165">
        <v>12</v>
      </c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65">
        <v>20</v>
      </c>
      <c r="AF139" s="143"/>
      <c r="AG139" s="551"/>
      <c r="AH139" s="557">
        <f t="shared" ref="AH139:AI139" si="1224">AH138</f>
        <v>12.804</v>
      </c>
      <c r="AI139" s="557">
        <f t="shared" si="1224"/>
        <v>12.804</v>
      </c>
      <c r="AJ139" s="337">
        <f t="shared" ref="AJ139" si="1225" xml:space="preserve"> AJ138</f>
        <v>0</v>
      </c>
      <c r="AK139" s="339"/>
      <c r="AL139" s="337">
        <f t="shared" ref="AL139" si="1226" xml:space="preserve"> AL138</f>
        <v>0</v>
      </c>
      <c r="AM139" s="339"/>
      <c r="AN139" s="267" t="str">
        <f t="shared" ref="AN139:AN140" si="1227" xml:space="preserve"> AN138</f>
        <v>Meter</v>
      </c>
      <c r="AO139" s="45">
        <f>VLOOKUP(AN139,Skrogform!$1:$1048576,3,FALSE)</f>
        <v>1</v>
      </c>
      <c r="AP139" s="64">
        <f t="shared" ref="AP139:BB139" si="1228">AP138</f>
        <v>10.67</v>
      </c>
      <c r="AQ139" s="64">
        <f t="shared" si="1228"/>
        <v>7.7</v>
      </c>
      <c r="AR139" s="64">
        <f t="shared" si="1228"/>
        <v>2.4</v>
      </c>
      <c r="AS139" s="64">
        <f t="shared" si="1228"/>
        <v>1.4</v>
      </c>
      <c r="AT139" s="64">
        <f t="shared" ref="AT139" si="1229">AT138</f>
        <v>3.5</v>
      </c>
      <c r="AU139" s="64">
        <f t="shared" si="1228"/>
        <v>3.5</v>
      </c>
      <c r="AV139" s="64">
        <f t="shared" si="1228"/>
        <v>0</v>
      </c>
      <c r="AW139" s="64">
        <f t="shared" si="1228"/>
        <v>0</v>
      </c>
      <c r="AX139" s="256">
        <f>AX138</f>
        <v>0</v>
      </c>
      <c r="AY139" s="256">
        <f t="shared" si="1228"/>
        <v>10</v>
      </c>
      <c r="AZ139" s="256">
        <f t="shared" si="1228"/>
        <v>70</v>
      </c>
      <c r="BA139" s="256">
        <f t="shared" si="1228"/>
        <v>0</v>
      </c>
      <c r="BB139" s="256">
        <f t="shared" si="1228"/>
        <v>0</v>
      </c>
      <c r="BC139" s="256"/>
      <c r="BD139" s="66"/>
      <c r="BE139" s="66"/>
      <c r="BF139" s="261"/>
      <c r="BG139" s="66"/>
      <c r="BH139" s="175"/>
      <c r="BI139" s="66"/>
      <c r="BJ139" s="66"/>
      <c r="BK139" s="65">
        <f t="shared" ref="BK139:BM139" si="1230" xml:space="preserve"> BK138</f>
        <v>0</v>
      </c>
      <c r="BL139" s="267">
        <f t="shared" si="1230"/>
        <v>0</v>
      </c>
      <c r="BM139" s="267">
        <f t="shared" si="1230"/>
        <v>0</v>
      </c>
      <c r="BN139" s="45">
        <f t="shared" si="1197"/>
        <v>1</v>
      </c>
      <c r="BO139" s="59"/>
      <c r="BP139" s="59"/>
      <c r="BR139" s="49">
        <f t="shared" ref="BR139:BX140" si="1231">IF(O139=0,0,O139*BR$9)</f>
        <v>0</v>
      </c>
      <c r="BS139" s="49">
        <f t="shared" si="1231"/>
        <v>0</v>
      </c>
      <c r="BT139" s="49">
        <f t="shared" si="1231"/>
        <v>0</v>
      </c>
      <c r="BU139" s="49">
        <f t="shared" si="1231"/>
        <v>0</v>
      </c>
      <c r="BV139" s="49">
        <f t="shared" si="1231"/>
        <v>0</v>
      </c>
      <c r="BW139" s="49">
        <f t="shared" si="1231"/>
        <v>0</v>
      </c>
      <c r="BX139" s="49">
        <f t="shared" si="1231"/>
        <v>12</v>
      </c>
      <c r="BY139" s="549">
        <f>IF(COUNT(Q139:U139)&gt;1,MINA(Q139:U139)*BY$9,0)</f>
        <v>0</v>
      </c>
      <c r="BZ139" s="85">
        <f t="shared" ref="BZ139:CD140" si="1232">IF(V139=0,0,V139*BZ$9)</f>
        <v>0</v>
      </c>
      <c r="CA139" s="85">
        <f t="shared" si="1232"/>
        <v>0</v>
      </c>
      <c r="CB139" s="85">
        <f t="shared" si="1232"/>
        <v>0</v>
      </c>
      <c r="CC139" s="85">
        <f t="shared" si="1232"/>
        <v>0</v>
      </c>
      <c r="CD139" s="85">
        <f t="shared" si="1232"/>
        <v>0</v>
      </c>
      <c r="CE139" s="85">
        <f>IF(AC139=0,0,AC139*CE$9)</f>
        <v>0</v>
      </c>
      <c r="CF139" s="85">
        <f>IF(AA139=0,0,AA139*CF$9)</f>
        <v>0</v>
      </c>
      <c r="CG139" s="85">
        <f>IF(AB139=0,0,AB139*CG$9)</f>
        <v>0</v>
      </c>
      <c r="CH139" s="85">
        <f t="shared" ref="CH139:CK140" si="1233">IF(AD139=0,0,AD139*CH$9)</f>
        <v>0</v>
      </c>
      <c r="CI139" s="85">
        <f t="shared" si="1233"/>
        <v>19</v>
      </c>
      <c r="CJ139" s="85">
        <f t="shared" si="1233"/>
        <v>0</v>
      </c>
      <c r="CK139" s="85">
        <f t="shared" si="1233"/>
        <v>0</v>
      </c>
      <c r="CL139" s="100">
        <f>SUM(BR139:CK139)</f>
        <v>31</v>
      </c>
      <c r="CM139" s="50"/>
      <c r="CN139" s="104">
        <f>J139</f>
        <v>32</v>
      </c>
      <c r="CO139" s="101">
        <f>CL139/CN139</f>
        <v>0.96875</v>
      </c>
      <c r="CP139" s="51">
        <f>Seilareal/Lwl/Lwl</f>
        <v>0.53972002023950072</v>
      </c>
      <c r="CQ139" s="116">
        <f>Seilareal/Depl^0.667/K$7</f>
        <v>1.2859147005969749</v>
      </c>
      <c r="CR139" s="51">
        <f>Seilareal/Lwl/Lwl/SApRS1</f>
        <v>0.81892758783346609</v>
      </c>
      <c r="CS139" s="204"/>
      <c r="CT139" s="204">
        <f>(ROUND(TBF/CT$6,3)*CT$6)*CT$4</f>
        <v>127</v>
      </c>
      <c r="CU139" s="107">
        <f t="shared" si="36"/>
        <v>1.2688334891233153</v>
      </c>
      <c r="CV139" s="62">
        <f t="shared" si="789"/>
        <v>3.836075443330798</v>
      </c>
      <c r="CW139" s="62">
        <f t="shared" si="84"/>
        <v>1.9562932636323558</v>
      </c>
      <c r="CX139" s="62">
        <f t="shared" si="790"/>
        <v>1.6657993231786119</v>
      </c>
      <c r="CY139" s="107">
        <f t="shared" si="85"/>
        <v>1.065631052944354</v>
      </c>
      <c r="CZ139" s="168" t="str">
        <f t="shared" si="693"/>
        <v>-</v>
      </c>
      <c r="DA139" s="159">
        <f>DA138</f>
        <v>0</v>
      </c>
      <c r="DB139" s="168" t="str">
        <f t="shared" si="694"/>
        <v>-</v>
      </c>
      <c r="DC139" s="159">
        <f>DC138</f>
        <v>0</v>
      </c>
      <c r="DD139" s="190" t="s">
        <v>134</v>
      </c>
      <c r="DE139" s="62" t="s">
        <v>102</v>
      </c>
      <c r="DF139" s="62" t="s">
        <v>102</v>
      </c>
      <c r="DG139" s="62" t="s">
        <v>102</v>
      </c>
      <c r="DH139" s="150" t="s">
        <v>102</v>
      </c>
      <c r="DI139" s="62">
        <f t="shared" si="1198"/>
        <v>2.0221925653510597</v>
      </c>
      <c r="DJ139" s="47">
        <f t="shared" si="1199"/>
        <v>12.612612612612612</v>
      </c>
      <c r="DK139" s="48">
        <f t="shared" si="1200"/>
        <v>0</v>
      </c>
      <c r="DM139" s="107">
        <f t="shared" si="1201"/>
        <v>1.1930410808637024</v>
      </c>
      <c r="DN139" s="141" t="str">
        <f t="shared" si="1202"/>
        <v>-</v>
      </c>
      <c r="DO139" s="107">
        <f t="shared" si="1203"/>
        <v>5.7757851773312208</v>
      </c>
      <c r="DP139" s="133">
        <f>IF(SeilBeregnet=0,DP138,(SeilBeregnet^0.5/(Depl^0.3333))^DP$3*DP$7)</f>
        <v>3.6672706923600278</v>
      </c>
      <c r="DQ139" s="133">
        <f>IF(SeilBeregnet=0,DQ138,(SeilBeregnet^0.5/Lwl)^DQ$3*DQ$7)</f>
        <v>0</v>
      </c>
      <c r="DR139" s="133">
        <f>IF(SeilBeregnet=0,DR138,(0.1*Loa/Depl^0.3333)^DR$3*DR$7)</f>
        <v>0</v>
      </c>
      <c r="DS139" s="133">
        <f>IF(SeilBeregnet=0,DS138,((Loa)/Bredde)^DS$3*DS$7)</f>
        <v>2.1085144849711925</v>
      </c>
      <c r="DT139" s="107">
        <f>IF(SeilBeregnet=0,DT138,(Lwl)^DT$3)</f>
        <v>1.6657993231786119</v>
      </c>
      <c r="DU139" s="133">
        <f>IF(SeilBeregnet=0,DU138,(Dypg/Loa)^DU$3*5*DU$7)</f>
        <v>1.8111391248905937</v>
      </c>
      <c r="DW139" s="107">
        <f t="shared" si="1204"/>
        <v>1.2688334891233155</v>
      </c>
      <c r="DX139" s="107">
        <f t="shared" si="1205"/>
        <v>1.0957248106222592</v>
      </c>
      <c r="DZ139" s="107">
        <f t="shared" si="1206"/>
        <v>1.1202998489904576</v>
      </c>
      <c r="EA139" s="122" t="str">
        <f t="shared" si="1207"/>
        <v>-</v>
      </c>
      <c r="EB139" s="107">
        <f t="shared" si="1208"/>
        <v>1.2162559839945455</v>
      </c>
      <c r="EC139" s="122" t="str">
        <f t="shared" si="1209"/>
        <v>-</v>
      </c>
      <c r="ED139" s="107">
        <f>IF(SeilBeregnet=0,ED138,SeilBeregnet^0.5/Depl^0.33333)</f>
        <v>3.6671328683223914</v>
      </c>
      <c r="EE139" s="107">
        <f>IF(SeilBeregnet=0,EE138,Lwl^0.3333)</f>
        <v>1.9745464681619453</v>
      </c>
      <c r="EF139" s="107">
        <f>IF(SeilBeregnet=0,EF138,((Loa+Lwl)/Bredde)^EF$3)</f>
        <v>1.6633149026591454</v>
      </c>
      <c r="EH139" s="107">
        <f t="shared" si="1210"/>
        <v>1.2207090857776539</v>
      </c>
      <c r="EJ139" s="107">
        <f>IF(SeilBeregnet=0,EJ138,SeilBeregnet^0.5/Depl^0.33333)</f>
        <v>3.6671328683223914</v>
      </c>
      <c r="EK139" s="107">
        <f>IF(SeilBeregnet=0,EK138,Lwl^EK$3)</f>
        <v>1.9746673863959516</v>
      </c>
      <c r="EL139" s="107">
        <f>IF(SeilBeregnet=0,EL138,((Loa+Lwl)/Bredde)^EL$3)</f>
        <v>1.9706213102744272</v>
      </c>
      <c r="EM139" s="107">
        <f t="shared" si="1211"/>
        <v>1.2025848185789509</v>
      </c>
      <c r="EO139" s="107">
        <f>IF(SeilBeregnet=0,EO138,(EP139*EQ139)^EO$3)</f>
        <v>6.0995967499118109</v>
      </c>
      <c r="EP139" s="107">
        <f>IF(SeilBeregnet=0,EP138,SeilBeregnet^0.5/Depl^0.33333)</f>
        <v>3.6671328683223914</v>
      </c>
      <c r="EQ139" s="107">
        <f>IF(SeilBeregnet=0,EQ138,((Loa+Lwl)/Bredde)^EQ$3)</f>
        <v>1.6633149026591454</v>
      </c>
      <c r="ER139" s="107">
        <f>IF(SeilBeregnet=0,ER138,Lwl^ER$3)</f>
        <v>1.6657993231786119</v>
      </c>
      <c r="ES139" s="107">
        <f t="shared" si="1212"/>
        <v>1.2143606315537518</v>
      </c>
      <c r="EU139" s="107">
        <f>IF(SeilBeregnet=0,EU138,(EV:EV*EW:EW)^EU$3)</f>
        <v>1.9741568534539313</v>
      </c>
      <c r="EV139" s="107">
        <f>IF(SeilBeregnet=0,EV138,SeilBeregnet^0.5/Depl^0.33333)</f>
        <v>3.6671328683223914</v>
      </c>
      <c r="EW139" s="107">
        <f>IF(SeilBeregnet=0,EW138,((Loa+Lwl)/Bredde/6)^EW$3)</f>
        <v>1.0627635872441208</v>
      </c>
      <c r="EX139" s="107">
        <f>IF(SeilBeregnet=0,EX138,(Lwl*0.7+Loa*0.3)^EX$3)</f>
        <v>1.7120282622621421</v>
      </c>
      <c r="EY139" s="107">
        <f t="shared" si="1213"/>
        <v>1.1364882930394009</v>
      </c>
      <c r="FA139" s="107">
        <f t="shared" si="1214"/>
        <v>1.9741939510614892</v>
      </c>
      <c r="FB139" s="107">
        <f>IF(SeilBeregnet=0,FB138,SeilBeregnet^0.5/Depl^0.3333)</f>
        <v>3.6672706923600278</v>
      </c>
      <c r="FC139" s="107">
        <f>IF(SeilBeregnet=0,FC138,((Loa+Lwl)/Bredde/6)^FC$3)</f>
        <v>1.0627635872441208</v>
      </c>
      <c r="FD139" s="107">
        <f>IF(SeilBeregnet=0,FD138,(Lwl*0.7+Loa*0.3)^FD$3)</f>
        <v>1.7120282622621421</v>
      </c>
      <c r="FE139" s="107">
        <f t="shared" si="1215"/>
        <v>1.2417787431322957</v>
      </c>
      <c r="FF139" s="141" t="str">
        <f t="shared" si="1216"/>
        <v>-</v>
      </c>
      <c r="FG139" s="107">
        <f t="shared" si="1217"/>
        <v>4.1420591821149531</v>
      </c>
      <c r="FH139" s="133">
        <f>IF(SeilBeregnet=0,FH138,(SeilBeregnet^0.5/(Depl^0.3333))^FH$3)</f>
        <v>3.6672706923600278</v>
      </c>
      <c r="FI139" s="133">
        <f>IF(SeilBeregnet=0,FI138,((Loa+Lwl)/Bredde/6)^FI$3)</f>
        <v>1.1294664423719922</v>
      </c>
      <c r="FJ139" s="107">
        <f>IF(SeilBeregnet=0,FJ138,(Lwl*0.07+Loa*0.03)^FJ$3)</f>
        <v>0.96274424176382345</v>
      </c>
      <c r="FK139" s="107">
        <f t="shared" si="1218"/>
        <v>1.1891570057773162</v>
      </c>
      <c r="FL139" s="141" t="str">
        <f t="shared" si="1219"/>
        <v>-</v>
      </c>
      <c r="FM139" s="107">
        <f t="shared" si="1220"/>
        <v>5.9988714582182361</v>
      </c>
      <c r="FN139" s="133">
        <f>IF(SeilBeregnet=0,FN138,(SeilBeregnet^0.5/(Depl^0.3333))^FN$3)</f>
        <v>3.6672706923600278</v>
      </c>
      <c r="FO139" s="133">
        <f>IF(SeilBeregnet=0,FO138,(SeilBeregnet^0.5/Lwl*FO$7)^FO$3)</f>
        <v>0.72308628088701576</v>
      </c>
      <c r="FP139" s="133">
        <f>IF(SeilBeregnet=0,FP138,((Loa)/Bredde)^FP$3*FP$7)</f>
        <v>2.1085144849711925</v>
      </c>
      <c r="FQ139" s="107">
        <f>IF(SeilBeregnet=0,FQ138,(Lwl)^FQ$3)</f>
        <v>1.6657993231786119</v>
      </c>
      <c r="FR139" s="107">
        <f t="shared" si="1221"/>
        <v>1.2508146895055896</v>
      </c>
      <c r="FS139" s="141" t="str">
        <f t="shared" si="1222"/>
        <v>-</v>
      </c>
      <c r="FT139" s="107">
        <f t="shared" si="1223"/>
        <v>7.7324933751514529</v>
      </c>
      <c r="FU139" s="133">
        <f>IF(SeilBeregnet=0,FU138,(SeilBeregnet^0.5/(Depl^0.3333))^FU$3)</f>
        <v>3.6672706923600278</v>
      </c>
      <c r="FV139" s="133">
        <f>IF(SeilBeregnet=0,FV138,(Loa/Bredde)^FV$3)</f>
        <v>2.1085144849711925</v>
      </c>
      <c r="FW139" s="107">
        <f>IF(SeilBeregnet=0,FW138,Lwl^FW$3)</f>
        <v>1.6657993231786119</v>
      </c>
      <c r="FY139" s="336">
        <v>1</v>
      </c>
      <c r="FZ139" s="62">
        <f t="shared" si="711"/>
        <v>1.1820451172705966</v>
      </c>
      <c r="GA139" s="62">
        <f t="shared" si="712"/>
        <v>1.8111391248905937</v>
      </c>
      <c r="GB139" s="107">
        <f t="shared" si="798"/>
        <v>1.6704697515159856</v>
      </c>
      <c r="GC139" s="440"/>
      <c r="GD139" s="17"/>
      <c r="GE139" s="442"/>
      <c r="GF139" s="462"/>
      <c r="GG139" s="17"/>
      <c r="GH139" s="17"/>
      <c r="GI139" s="17"/>
      <c r="GJ139" s="17"/>
      <c r="GL139" s="17"/>
      <c r="GM139" s="442"/>
      <c r="GN139" s="8"/>
      <c r="GO139" s="8"/>
      <c r="GP139" s="8"/>
      <c r="GQ139" s="8"/>
      <c r="GS139" s="17"/>
      <c r="GT139" s="17"/>
      <c r="GU139" s="17"/>
      <c r="GV139" s="629"/>
      <c r="GW139" s="17"/>
      <c r="GX139" s="17"/>
      <c r="GY139" s="17"/>
      <c r="GZ139" s="17"/>
    </row>
    <row r="140" spans="1:208" ht="20.399999999999999" x14ac:dyDescent="0.3">
      <c r="A140" s="60"/>
      <c r="B140" s="218"/>
      <c r="C140" s="61" t="str">
        <f t="shared" ref="C140" si="1234">C139</f>
        <v>Bermuda Yawl</v>
      </c>
      <c r="D140" s="61"/>
      <c r="E140" s="61"/>
      <c r="F140" s="61"/>
      <c r="G140" s="54"/>
      <c r="H140" s="204">
        <f>IF(StH=0,0,TBFavrundet)</f>
        <v>127</v>
      </c>
      <c r="I140" s="63">
        <f>COUNTA(O140:AG140)</f>
        <v>2</v>
      </c>
      <c r="J140" s="222">
        <f>SUM(O140:AG140)</f>
        <v>32</v>
      </c>
      <c r="K140" s="116">
        <f>Seilareal/Depl^0.667/K$7</f>
        <v>1.2859147005969749</v>
      </c>
      <c r="L140" s="116">
        <f>Seilareal/Lwl/Lwl/L$7</f>
        <v>0.81892758783346609</v>
      </c>
      <c r="M140" s="92">
        <f>RiggF</f>
        <v>0.96875</v>
      </c>
      <c r="N140" s="242">
        <f>StHfaktor</f>
        <v>1.065631052944354</v>
      </c>
      <c r="O140" s="143"/>
      <c r="P140" s="143"/>
      <c r="Q140" s="143"/>
      <c r="R140" s="143"/>
      <c r="S140" s="143"/>
      <c r="T140" s="143"/>
      <c r="U140" s="165">
        <v>12</v>
      </c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65">
        <v>20</v>
      </c>
      <c r="AF140" s="143"/>
      <c r="AG140" s="551"/>
      <c r="AH140" s="557">
        <f t="shared" ref="AH140:AI140" si="1235">AH139</f>
        <v>12.804</v>
      </c>
      <c r="AI140" s="557">
        <f t="shared" si="1235"/>
        <v>12.804</v>
      </c>
      <c r="AJ140" s="337">
        <f t="shared" ref="AJ140" si="1236" xml:space="preserve"> AJ139</f>
        <v>0</v>
      </c>
      <c r="AK140" s="339"/>
      <c r="AL140" s="337">
        <f t="shared" ref="AL140" si="1237" xml:space="preserve"> AL139</f>
        <v>0</v>
      </c>
      <c r="AM140" s="339"/>
      <c r="AN140" s="267" t="str">
        <f t="shared" si="1227"/>
        <v>Meter</v>
      </c>
      <c r="AO140" s="45">
        <f>VLOOKUP(AN140,Skrogform!$1:$1048576,3,FALSE)</f>
        <v>1</v>
      </c>
      <c r="AP140" s="64">
        <f t="shared" ref="AP140:BB140" si="1238">AP139</f>
        <v>10.67</v>
      </c>
      <c r="AQ140" s="64">
        <f t="shared" si="1238"/>
        <v>7.7</v>
      </c>
      <c r="AR140" s="64">
        <f t="shared" si="1238"/>
        <v>2.4</v>
      </c>
      <c r="AS140" s="64">
        <f t="shared" si="1238"/>
        <v>1.4</v>
      </c>
      <c r="AT140" s="64">
        <f t="shared" ref="AT140" si="1239">AT139</f>
        <v>3.5</v>
      </c>
      <c r="AU140" s="64">
        <f t="shared" si="1238"/>
        <v>3.5</v>
      </c>
      <c r="AV140" s="64">
        <f t="shared" si="1238"/>
        <v>0</v>
      </c>
      <c r="AW140" s="64">
        <f t="shared" si="1238"/>
        <v>0</v>
      </c>
      <c r="AX140" s="256">
        <f>AX139</f>
        <v>0</v>
      </c>
      <c r="AY140" s="256">
        <f t="shared" si="1238"/>
        <v>10</v>
      </c>
      <c r="AZ140" s="256">
        <f t="shared" si="1238"/>
        <v>70</v>
      </c>
      <c r="BA140" s="256">
        <f t="shared" si="1238"/>
        <v>0</v>
      </c>
      <c r="BB140" s="256">
        <f t="shared" si="1238"/>
        <v>0</v>
      </c>
      <c r="BC140" s="256"/>
      <c r="BD140" s="66"/>
      <c r="BE140" s="66"/>
      <c r="BF140" s="261"/>
      <c r="BG140" s="66"/>
      <c r="BH140" s="175"/>
      <c r="BI140" s="66"/>
      <c r="BJ140" s="66"/>
      <c r="BK140" s="65">
        <f t="shared" ref="BK140:BM140" si="1240" xml:space="preserve"> BK139</f>
        <v>0</v>
      </c>
      <c r="BL140" s="267">
        <f t="shared" si="1240"/>
        <v>0</v>
      </c>
      <c r="BM140" s="267">
        <f t="shared" si="1240"/>
        <v>0</v>
      </c>
      <c r="BN140" s="45">
        <f t="shared" si="1197"/>
        <v>1</v>
      </c>
      <c r="BO140" s="59"/>
      <c r="BP140" s="59"/>
      <c r="BR140" s="49">
        <f t="shared" si="1231"/>
        <v>0</v>
      </c>
      <c r="BS140" s="49">
        <f t="shared" si="1231"/>
        <v>0</v>
      </c>
      <c r="BT140" s="49">
        <f t="shared" si="1231"/>
        <v>0</v>
      </c>
      <c r="BU140" s="49">
        <f t="shared" si="1231"/>
        <v>0</v>
      </c>
      <c r="BV140" s="49">
        <f t="shared" si="1231"/>
        <v>0</v>
      </c>
      <c r="BW140" s="49">
        <f t="shared" si="1231"/>
        <v>0</v>
      </c>
      <c r="BX140" s="49">
        <f t="shared" si="1231"/>
        <v>12</v>
      </c>
      <c r="BY140" s="549">
        <f>IF(COUNT(Q140:U140)&gt;1,MINA(Q140:U140)*BY$9,0)</f>
        <v>0</v>
      </c>
      <c r="BZ140" s="85">
        <f t="shared" si="1232"/>
        <v>0</v>
      </c>
      <c r="CA140" s="85">
        <f t="shared" si="1232"/>
        <v>0</v>
      </c>
      <c r="CB140" s="85">
        <f t="shared" si="1232"/>
        <v>0</v>
      </c>
      <c r="CC140" s="85">
        <f t="shared" si="1232"/>
        <v>0</v>
      </c>
      <c r="CD140" s="85">
        <f t="shared" si="1232"/>
        <v>0</v>
      </c>
      <c r="CE140" s="85">
        <f>IF(AC140=0,0,AC140*CE$9)</f>
        <v>0</v>
      </c>
      <c r="CF140" s="85">
        <f>IF(AA140=0,0,AA140*CF$9)</f>
        <v>0</v>
      </c>
      <c r="CG140" s="85">
        <f>IF(AB140=0,0,AB140*CG$9)</f>
        <v>0</v>
      </c>
      <c r="CH140" s="85">
        <f t="shared" si="1233"/>
        <v>0</v>
      </c>
      <c r="CI140" s="85">
        <f t="shared" si="1233"/>
        <v>19</v>
      </c>
      <c r="CJ140" s="85">
        <f t="shared" si="1233"/>
        <v>0</v>
      </c>
      <c r="CK140" s="85">
        <f t="shared" si="1233"/>
        <v>0</v>
      </c>
      <c r="CL140" s="100">
        <f>SUM(BR140:CK140)</f>
        <v>31</v>
      </c>
      <c r="CM140" s="50"/>
      <c r="CN140" s="104">
        <f>J140</f>
        <v>32</v>
      </c>
      <c r="CO140" s="101">
        <f>CL140/CN140</f>
        <v>0.96875</v>
      </c>
      <c r="CP140" s="51">
        <f>Seilareal/Lwl/Lwl</f>
        <v>0.53972002023950072</v>
      </c>
      <c r="CQ140" s="116">
        <f>Seilareal/Depl^0.667/K$7</f>
        <v>1.2859147005969749</v>
      </c>
      <c r="CR140" s="51">
        <f>Seilareal/Lwl/Lwl/SApRS1</f>
        <v>0.81892758783346609</v>
      </c>
      <c r="CS140" s="204"/>
      <c r="CT140" s="204">
        <f>(ROUND(TBF/CT$6,3)*CT$6)*CT$4</f>
        <v>127</v>
      </c>
      <c r="CU140" s="107">
        <f t="shared" si="36"/>
        <v>1.2688334891233153</v>
      </c>
      <c r="CV140" s="62">
        <f t="shared" si="789"/>
        <v>3.836075443330798</v>
      </c>
      <c r="CW140" s="62">
        <f t="shared" si="84"/>
        <v>1.9562932636323558</v>
      </c>
      <c r="CX140" s="62">
        <f t="shared" si="790"/>
        <v>1.6657993231786119</v>
      </c>
      <c r="CY140" s="107">
        <f t="shared" si="85"/>
        <v>1.065631052944354</v>
      </c>
      <c r="CZ140" s="168" t="str">
        <f t="shared" si="693"/>
        <v>-</v>
      </c>
      <c r="DA140" s="158"/>
      <c r="DB140" s="168" t="str">
        <f t="shared" si="694"/>
        <v>-</v>
      </c>
      <c r="DC140" s="160"/>
      <c r="DD140" s="190" t="s">
        <v>134</v>
      </c>
      <c r="DE140" s="62" t="s">
        <v>102</v>
      </c>
      <c r="DF140" s="62" t="s">
        <v>102</v>
      </c>
      <c r="DG140" s="62" t="s">
        <v>102</v>
      </c>
      <c r="DH140" s="150" t="s">
        <v>102</v>
      </c>
      <c r="DI140" s="62">
        <f t="shared" si="1198"/>
        <v>2.0221925653510597</v>
      </c>
      <c r="DJ140" s="47">
        <f t="shared" si="1199"/>
        <v>12.612612612612612</v>
      </c>
      <c r="DK140" s="48">
        <f t="shared" si="1200"/>
        <v>0</v>
      </c>
      <c r="DM140" s="107">
        <f t="shared" si="1201"/>
        <v>1.1930410808637024</v>
      </c>
      <c r="DN140" s="141" t="str">
        <f t="shared" si="1202"/>
        <v>-</v>
      </c>
      <c r="DO140" s="107">
        <f t="shared" si="1203"/>
        <v>5.7757851773312208</v>
      </c>
      <c r="DP140" s="133">
        <f>IF(SeilBeregnet=0,DP139,(SeilBeregnet^0.5/(Depl^0.3333))^DP$3*DP$7)</f>
        <v>3.6672706923600278</v>
      </c>
      <c r="DQ140" s="133">
        <f>IF(SeilBeregnet=0,DQ139,(SeilBeregnet^0.5/Lwl)^DQ$3*DQ$7)</f>
        <v>0</v>
      </c>
      <c r="DR140" s="133">
        <f>IF(SeilBeregnet=0,DR139,(0.1*Loa/Depl^0.3333)^DR$3*DR$7)</f>
        <v>0</v>
      </c>
      <c r="DS140" s="133">
        <f>IF(SeilBeregnet=0,DS139,((Loa)/Bredde)^DS$3*DS$7)</f>
        <v>2.1085144849711925</v>
      </c>
      <c r="DT140" s="107">
        <f>IF(SeilBeregnet=0,DT139,(Lwl)^DT$3)</f>
        <v>1.6657993231786119</v>
      </c>
      <c r="DU140" s="133">
        <f>IF(SeilBeregnet=0,DU139,(Dypg/Loa)^DU$3*5*DU$7)</f>
        <v>1.8111391248905937</v>
      </c>
      <c r="DW140" s="107">
        <f t="shared" si="1204"/>
        <v>1.2688334891233155</v>
      </c>
      <c r="DX140" s="107">
        <f t="shared" si="1205"/>
        <v>1.0957248106222592</v>
      </c>
      <c r="DZ140" s="107">
        <f t="shared" si="1206"/>
        <v>1.1202998489904576</v>
      </c>
      <c r="EA140" s="122" t="str">
        <f t="shared" si="1207"/>
        <v>-</v>
      </c>
      <c r="EB140" s="107">
        <f t="shared" si="1208"/>
        <v>1.2162559839945455</v>
      </c>
      <c r="EC140" s="122" t="str">
        <f t="shared" si="1209"/>
        <v>-</v>
      </c>
      <c r="ED140" s="107">
        <f>IF(SeilBeregnet=0,ED139,SeilBeregnet^0.5/Depl^0.33333)</f>
        <v>3.6671328683223914</v>
      </c>
      <c r="EE140" s="107">
        <f>IF(SeilBeregnet=0,EE139,Lwl^0.3333)</f>
        <v>1.9745464681619453</v>
      </c>
      <c r="EF140" s="107">
        <f>IF(SeilBeregnet=0,EF139,((Loa+Lwl)/Bredde)^EF$3)</f>
        <v>1.6633149026591454</v>
      </c>
      <c r="EH140" s="107">
        <f t="shared" si="1210"/>
        <v>1.2207090857776539</v>
      </c>
      <c r="EJ140" s="107">
        <f>IF(SeilBeregnet=0,EJ139,SeilBeregnet^0.5/Depl^0.33333)</f>
        <v>3.6671328683223914</v>
      </c>
      <c r="EK140" s="107">
        <f>IF(SeilBeregnet=0,EK139,Lwl^EK$3)</f>
        <v>1.9746673863959516</v>
      </c>
      <c r="EL140" s="107">
        <f>IF(SeilBeregnet=0,EL139,((Loa+Lwl)/Bredde)^EL$3)</f>
        <v>1.9706213102744272</v>
      </c>
      <c r="EM140" s="107">
        <f t="shared" si="1211"/>
        <v>1.2025848185789509</v>
      </c>
      <c r="EO140" s="107">
        <f>IF(SeilBeregnet=0,EO139,(EP140*EQ140)^EO$3)</f>
        <v>6.0995967499118109</v>
      </c>
      <c r="EP140" s="107">
        <f>IF(SeilBeregnet=0,EP139,SeilBeregnet^0.5/Depl^0.33333)</f>
        <v>3.6671328683223914</v>
      </c>
      <c r="EQ140" s="107">
        <f>IF(SeilBeregnet=0,EQ139,((Loa+Lwl)/Bredde)^EQ$3)</f>
        <v>1.6633149026591454</v>
      </c>
      <c r="ER140" s="107">
        <f>IF(SeilBeregnet=0,ER139,Lwl^ER$3)</f>
        <v>1.6657993231786119</v>
      </c>
      <c r="ES140" s="107">
        <f t="shared" si="1212"/>
        <v>1.2143606315537518</v>
      </c>
      <c r="EU140" s="107">
        <f>IF(SeilBeregnet=0,EU139,(EV:EV*EW:EW)^EU$3)</f>
        <v>1.9741568534539313</v>
      </c>
      <c r="EV140" s="107">
        <f>IF(SeilBeregnet=0,EV139,SeilBeregnet^0.5/Depl^0.33333)</f>
        <v>3.6671328683223914</v>
      </c>
      <c r="EW140" s="107">
        <f>IF(SeilBeregnet=0,EW139,((Loa+Lwl)/Bredde/6)^EW$3)</f>
        <v>1.0627635872441208</v>
      </c>
      <c r="EX140" s="107">
        <f>IF(SeilBeregnet=0,EX139,(Lwl*0.7+Loa*0.3)^EX$3)</f>
        <v>1.7120282622621421</v>
      </c>
      <c r="EY140" s="107">
        <f t="shared" si="1213"/>
        <v>1.1364882930394009</v>
      </c>
      <c r="FA140" s="107">
        <f t="shared" si="1214"/>
        <v>1.9741939510614892</v>
      </c>
      <c r="FB140" s="107">
        <f>IF(SeilBeregnet=0,FB139,SeilBeregnet^0.5/Depl^0.3333)</f>
        <v>3.6672706923600278</v>
      </c>
      <c r="FC140" s="107">
        <f>IF(SeilBeregnet=0,FC139,((Loa+Lwl)/Bredde/6)^FC$3)</f>
        <v>1.0627635872441208</v>
      </c>
      <c r="FD140" s="107">
        <f>IF(SeilBeregnet=0,FD139,(Lwl*0.7+Loa*0.3)^FD$3)</f>
        <v>1.7120282622621421</v>
      </c>
      <c r="FE140" s="107">
        <f t="shared" si="1215"/>
        <v>1.2417787431322957</v>
      </c>
      <c r="FF140" s="141" t="str">
        <f t="shared" si="1216"/>
        <v>-</v>
      </c>
      <c r="FG140" s="107">
        <f t="shared" si="1217"/>
        <v>4.1420591821149531</v>
      </c>
      <c r="FH140" s="133">
        <f>IF(SeilBeregnet=0,FH139,(SeilBeregnet^0.5/(Depl^0.3333))^FH$3)</f>
        <v>3.6672706923600278</v>
      </c>
      <c r="FI140" s="133">
        <f>IF(SeilBeregnet=0,FI139,((Loa+Lwl)/Bredde/6)^FI$3)</f>
        <v>1.1294664423719922</v>
      </c>
      <c r="FJ140" s="107">
        <f>IF(SeilBeregnet=0,FJ139,(Lwl*0.07+Loa*0.03)^FJ$3)</f>
        <v>0.96274424176382345</v>
      </c>
      <c r="FK140" s="107">
        <f t="shared" si="1218"/>
        <v>1.1891570057773162</v>
      </c>
      <c r="FL140" s="141" t="str">
        <f t="shared" si="1219"/>
        <v>-</v>
      </c>
      <c r="FM140" s="107">
        <f t="shared" si="1220"/>
        <v>5.9988714582182361</v>
      </c>
      <c r="FN140" s="133">
        <f>IF(SeilBeregnet=0,FN139,(SeilBeregnet^0.5/(Depl^0.3333))^FN$3)</f>
        <v>3.6672706923600278</v>
      </c>
      <c r="FO140" s="133">
        <f>IF(SeilBeregnet=0,FO139,(SeilBeregnet^0.5/Lwl*FO$7)^FO$3)</f>
        <v>0.72308628088701576</v>
      </c>
      <c r="FP140" s="133">
        <f>IF(SeilBeregnet=0,FP139,((Loa)/Bredde)^FP$3*FP$7)</f>
        <v>2.1085144849711925</v>
      </c>
      <c r="FQ140" s="107">
        <f>IF(SeilBeregnet=0,FQ139,(Lwl)^FQ$3)</f>
        <v>1.6657993231786119</v>
      </c>
      <c r="FR140" s="107">
        <f t="shared" si="1221"/>
        <v>1.2508146895055896</v>
      </c>
      <c r="FS140" s="141" t="str">
        <f t="shared" si="1222"/>
        <v>-</v>
      </c>
      <c r="FT140" s="107">
        <f t="shared" si="1223"/>
        <v>7.7324933751514529</v>
      </c>
      <c r="FU140" s="133">
        <f>IF(SeilBeregnet=0,FU139,(SeilBeregnet^0.5/(Depl^0.3333))^FU$3)</f>
        <v>3.6672706923600278</v>
      </c>
      <c r="FV140" s="133">
        <f>IF(SeilBeregnet=0,FV139,(Loa/Bredde)^FV$3)</f>
        <v>2.1085144849711925</v>
      </c>
      <c r="FW140" s="107">
        <f>IF(SeilBeregnet=0,FW139,Lwl^FW$3)</f>
        <v>1.6657993231786119</v>
      </c>
      <c r="FY140" s="336">
        <v>1</v>
      </c>
      <c r="FZ140" s="62">
        <f t="shared" si="711"/>
        <v>1.1820451172705966</v>
      </c>
      <c r="GA140" s="62">
        <f t="shared" si="712"/>
        <v>1.8111391248905937</v>
      </c>
      <c r="GB140" s="107">
        <f t="shared" si="798"/>
        <v>1.6704697515159856</v>
      </c>
      <c r="GC140" s="440"/>
      <c r="GD140" s="17"/>
      <c r="GE140" s="442"/>
      <c r="GF140" s="462"/>
      <c r="GG140" s="17"/>
      <c r="GH140" s="17"/>
      <c r="GI140" s="17"/>
      <c r="GJ140" s="17"/>
      <c r="GL140" s="17"/>
      <c r="GM140" s="442"/>
      <c r="GN140" s="8"/>
      <c r="GO140" s="8"/>
      <c r="GP140" s="8"/>
      <c r="GQ140" s="8"/>
      <c r="GS140" s="17"/>
      <c r="GT140" s="17"/>
      <c r="GU140" s="17"/>
      <c r="GV140" s="629"/>
      <c r="GW140" s="17"/>
      <c r="GX140" s="17"/>
      <c r="GY140" s="17"/>
      <c r="GZ140" s="17"/>
    </row>
    <row r="141" spans="1:208" ht="15.6" x14ac:dyDescent="0.3">
      <c r="A141" s="52" t="s">
        <v>1015</v>
      </c>
      <c r="B141" s="218">
        <f t="shared" si="10"/>
        <v>40.846456692913378</v>
      </c>
      <c r="C141" s="53" t="s">
        <v>38</v>
      </c>
      <c r="D141" s="53"/>
      <c r="E141" s="53"/>
      <c r="F141" s="53"/>
      <c r="G141" s="54"/>
      <c r="H141" s="112">
        <f>J142</f>
        <v>0</v>
      </c>
      <c r="I141" s="601">
        <f>H142/100</f>
        <v>0</v>
      </c>
      <c r="J141" s="651">
        <f>IF(DC142=0,"-",DC142)</f>
        <v>1.42</v>
      </c>
      <c r="K141" s="123" t="str">
        <f>A141</f>
        <v>Aja</v>
      </c>
      <c r="L141" s="116"/>
      <c r="M141" s="116"/>
      <c r="N141" s="92"/>
      <c r="O141" s="165"/>
      <c r="P141" s="165"/>
      <c r="Q141" s="165"/>
      <c r="R141" s="165"/>
      <c r="S141" s="165"/>
      <c r="T141" s="165"/>
      <c r="U141" s="165"/>
      <c r="V141" s="560"/>
      <c r="W141" s="560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552"/>
      <c r="AH141" s="244"/>
      <c r="AI141" s="244"/>
      <c r="AJ141" s="554"/>
      <c r="AK141" s="339"/>
      <c r="AL141" s="268"/>
      <c r="AM141" s="339"/>
      <c r="AN141" s="268" t="s">
        <v>214</v>
      </c>
      <c r="AO141" s="45">
        <f>VLOOKUP(AN141,Skrogform!$1:$1048576,3,FALSE)</f>
        <v>1</v>
      </c>
      <c r="AP141" s="55">
        <v>12.45</v>
      </c>
      <c r="AQ141" s="55">
        <v>10.199999999999999</v>
      </c>
      <c r="AR141" s="55">
        <v>3.25</v>
      </c>
      <c r="AS141" s="55">
        <v>2</v>
      </c>
      <c r="AT141" s="55"/>
      <c r="AU141" s="55"/>
      <c r="AV141" s="55">
        <v>4.58</v>
      </c>
      <c r="AW141" s="55"/>
      <c r="AX141" s="253"/>
      <c r="AY141" s="253"/>
      <c r="AZ141" s="254">
        <v>150</v>
      </c>
      <c r="BA141" s="253"/>
      <c r="BB141" s="253"/>
      <c r="BC141" s="244">
        <f>Depl+Diesel/1000*0.84+Vann/1000</f>
        <v>0</v>
      </c>
      <c r="BD141" s="95">
        <f>Bredde/(Loa+Lwl)*2</f>
        <v>0.28697571743929362</v>
      </c>
      <c r="BE141" s="95" t="e">
        <f>(Kjøl+Ballast)/Depl</f>
        <v>#DIV/0!</v>
      </c>
      <c r="BF141" s="260">
        <f>BF$7*((Depl-Kjøl-Ballast-VektMotor/1000-VektAnnet/1000)/Lwl/Lwl/Bredde)</f>
        <v>-0.52790656147271542</v>
      </c>
      <c r="BG141" s="95">
        <f>BG$7*(Depl/Loa/Lwl/Lwl)</f>
        <v>0</v>
      </c>
      <c r="BH141" s="174">
        <f>BH$7*(Depl/Loa/Lwl/Bredde)</f>
        <v>0</v>
      </c>
      <c r="BI141" s="95">
        <f>BI$7*Bredde/(Loa+Lwl)*2</f>
        <v>0.81865223480263005</v>
      </c>
      <c r="BJ141" s="95">
        <f>BJ$7*(Dypg/Lwl)</f>
        <v>1.0724637681159421</v>
      </c>
      <c r="BK141" s="56"/>
      <c r="BL141" s="268"/>
      <c r="BM141" s="268"/>
      <c r="BN141" s="45">
        <f t="shared" si="1197"/>
        <v>1</v>
      </c>
      <c r="BO141" s="59"/>
      <c r="BP141" s="59"/>
      <c r="BR141" s="209"/>
      <c r="BS141" s="209"/>
      <c r="BT141" s="209" t="str">
        <f>$A141</f>
        <v>Aja</v>
      </c>
      <c r="BU141" s="10"/>
      <c r="BV141" s="10"/>
      <c r="BW141" s="10"/>
      <c r="BX141" s="10"/>
      <c r="BY141" s="549"/>
      <c r="BZ141" s="10"/>
      <c r="CA141" s="10"/>
      <c r="CB141" s="209" t="str">
        <f>$A141</f>
        <v>Aja</v>
      </c>
      <c r="CC141" s="10"/>
      <c r="CD141" s="10"/>
      <c r="CE141" s="10"/>
      <c r="CF141" s="10"/>
      <c r="CG141" s="10"/>
      <c r="CH141" s="10"/>
      <c r="CI141" s="10"/>
      <c r="CJ141" s="10"/>
      <c r="CK141" s="10"/>
      <c r="CL141" s="209"/>
      <c r="CM141" s="10"/>
      <c r="CN141" s="209" t="str">
        <f>$A141</f>
        <v>Aja</v>
      </c>
      <c r="CO141" s="207"/>
      <c r="CP141" s="207"/>
      <c r="CQ141" s="116"/>
      <c r="CR141" s="207"/>
      <c r="CS141" s="203"/>
      <c r="CT141" s="203" t="s">
        <v>23</v>
      </c>
      <c r="CU141" s="107" t="str">
        <f t="shared" si="36"/>
        <v>-</v>
      </c>
      <c r="CV141" s="62" t="str">
        <f t="shared" si="789"/>
        <v>-</v>
      </c>
      <c r="CW141" s="62" t="str">
        <f t="shared" si="84"/>
        <v>-</v>
      </c>
      <c r="CX141" s="62" t="str">
        <f t="shared" si="790"/>
        <v>-</v>
      </c>
      <c r="CY141" s="107" t="str">
        <f t="shared" si="85"/>
        <v>-</v>
      </c>
      <c r="CZ141" s="168" t="str">
        <f t="shared" si="693"/>
        <v>-</v>
      </c>
      <c r="DA141" s="158"/>
      <c r="DB141" s="168" t="str">
        <f t="shared" si="694"/>
        <v>-</v>
      </c>
      <c r="DC141" s="160">
        <v>1.42</v>
      </c>
      <c r="DD141" s="190" t="s">
        <v>134</v>
      </c>
      <c r="DE141" s="29" t="s">
        <v>23</v>
      </c>
      <c r="DF141" s="29" t="s">
        <v>23</v>
      </c>
      <c r="DG141" s="29" t="s">
        <v>23</v>
      </c>
      <c r="DH141" s="149">
        <v>2022</v>
      </c>
      <c r="DI141" s="62" t="str">
        <f t="shared" si="1198"/>
        <v>-</v>
      </c>
      <c r="DJ141" s="47">
        <f t="shared" si="1199"/>
        <v>13.84083044982699</v>
      </c>
      <c r="DK141" s="48">
        <f t="shared" si="1200"/>
        <v>0</v>
      </c>
      <c r="DM141" s="107" t="str">
        <f t="shared" si="1201"/>
        <v>-</v>
      </c>
      <c r="DN141" s="141" t="str">
        <f t="shared" si="1202"/>
        <v>-</v>
      </c>
      <c r="DO141" s="107">
        <f t="shared" si="1203"/>
        <v>4.3883753514569079</v>
      </c>
      <c r="DP141" s="133">
        <f>IF(SeilBeregnet=0,DP114,(SeilBeregnet^0.5/(Depl^0.3333))^DP$3*DP$7)</f>
        <v>2.5601341875442647</v>
      </c>
      <c r="DQ141" s="133">
        <f>IF(SeilBeregnet=0,DQ114,(SeilBeregnet^0.5/Lwl)^DQ$3*DQ$7)</f>
        <v>0</v>
      </c>
      <c r="DR141" s="133">
        <f>IF(SeilBeregnet=0,DR114,(0.1*Loa/Depl^0.3333)^DR$3*DR$7)</f>
        <v>0</v>
      </c>
      <c r="DS141" s="133">
        <f>IF(SeilBeregnet=0,DS114,((Loa)/Bredde)^DS$3*DS$7)</f>
        <v>1.8282411639126435</v>
      </c>
      <c r="DT141" s="107">
        <f>IF(SeilBeregnet=0,DT114,(Lwl)^DT$3)</f>
        <v>1.800102871839254</v>
      </c>
      <c r="DU141" s="133">
        <f>IF(SeilBeregnet=0,DU114,(Dypg/Loa)^DU$3*5*DU$7)</f>
        <v>1.9470448393802795</v>
      </c>
      <c r="DW141" s="107" t="str">
        <f t="shared" ref="DW141:DW303" si="1241">IF(SeilBeregnet=0,"-",Skaleringsfaktor*(1*(LBf+SaDeplf)*Lf*PropF+Strikkf2)+ErfaringsF+Dyp_F)</f>
        <v>-</v>
      </c>
      <c r="DX141" s="107" t="str">
        <f t="shared" si="1205"/>
        <v>-</v>
      </c>
      <c r="DZ141" s="107" t="str">
        <f t="shared" si="1206"/>
        <v>-</v>
      </c>
      <c r="EA141" s="122" t="str">
        <f t="shared" si="1207"/>
        <v>-</v>
      </c>
      <c r="EB141" s="107" t="str">
        <f t="shared" si="1208"/>
        <v>-</v>
      </c>
      <c r="EC141" s="122" t="str">
        <f t="shared" si="1209"/>
        <v>-</v>
      </c>
      <c r="ED141" s="107">
        <f>IF(SeilBeregnet=0,ED114,SeilBeregnet^0.5/Depl^0.33333)</f>
        <v>2.5599193540913108</v>
      </c>
      <c r="EE141" s="107">
        <f>IF(SeilBeregnet=0,EE114,Lwl^0.3333)</f>
        <v>2.1895879451208748</v>
      </c>
      <c r="EF141" s="107">
        <f>IF(SeilBeregnet=0,EF114,((Loa+Lwl)/Bredde)^EF$3)</f>
        <v>1.579185865474966</v>
      </c>
      <c r="EH141" s="107" t="str">
        <f t="shared" si="1210"/>
        <v>-</v>
      </c>
      <c r="EJ141" s="107">
        <f>IF(SeilBeregnet=0,EJ114,SeilBeregnet^0.5/Depl^0.33333)</f>
        <v>2.5599193540913108</v>
      </c>
      <c r="EK141" s="107">
        <f>IF(SeilBeregnet=0,EK114,Lwl^EK$3)</f>
        <v>2.1897424068563001</v>
      </c>
      <c r="EL141" s="107">
        <f>IF(SeilBeregnet=0,EL114,((Loa+Lwl)/Bredde)^EL$3)</f>
        <v>1.8388707573234102</v>
      </c>
      <c r="EM141" s="107" t="str">
        <f t="shared" si="1211"/>
        <v>-</v>
      </c>
      <c r="EO141" s="107">
        <f>IF(SeilBeregnet=0,EO114,(EP141*EQ141)^EO$3)</f>
        <v>4.0425884607368028</v>
      </c>
      <c r="EP141" s="107">
        <f>IF(SeilBeregnet=0,EP114,SeilBeregnet^0.5/Depl^0.33333)</f>
        <v>2.5599193540913108</v>
      </c>
      <c r="EQ141" s="107">
        <f>IF(SeilBeregnet=0,EQ114,((Loa+Lwl)/Bredde)^EQ$3)</f>
        <v>1.579185865474966</v>
      </c>
      <c r="ER141" s="107">
        <f>IF(SeilBeregnet=0,ER114,Lwl^ER$3)</f>
        <v>1.800102871839254</v>
      </c>
      <c r="ES141" s="107" t="str">
        <f t="shared" si="1212"/>
        <v>-</v>
      </c>
      <c r="EU141" s="107">
        <f>IF(SeilBeregnet=0,EU114,(EV:EV*EW:EW)^EU$3)</f>
        <v>1.6071664569338588</v>
      </c>
      <c r="EV141" s="107">
        <f>IF(SeilBeregnet=0,EV114,SeilBeregnet^0.5/Depl^0.33333)</f>
        <v>2.5599193540913108</v>
      </c>
      <c r="EW141" s="107">
        <f>IF(SeilBeregnet=0,EW114,((Loa+Lwl)/Bredde/6)^EW$3)</f>
        <v>1.0090099190684112</v>
      </c>
      <c r="EX141" s="107">
        <f>IF(SeilBeregnet=0,EX114,(Lwl*0.7+Loa*0.3)^EX$3)</f>
        <v>1.8215740458755476</v>
      </c>
      <c r="EY141" s="107" t="str">
        <f t="shared" si="1213"/>
        <v>-</v>
      </c>
      <c r="FA141" s="107">
        <f t="shared" si="1214"/>
        <v>1.6072338937996271</v>
      </c>
      <c r="FB141" s="107">
        <f>IF(SeilBeregnet=0,FB114,SeilBeregnet^0.5/Depl^0.3333)</f>
        <v>2.5601341875442647</v>
      </c>
      <c r="FC141" s="107">
        <f>IF(SeilBeregnet=0,FC114,((Loa+Lwl)/Bredde/6)^FC$3)</f>
        <v>1.0090099190684112</v>
      </c>
      <c r="FD141" s="107">
        <f>IF(SeilBeregnet=0,FD114,(Lwl*0.7+Loa*0.3)^FD$3)</f>
        <v>1.8215740458755476</v>
      </c>
      <c r="FE141" s="107" t="str">
        <f t="shared" si="1215"/>
        <v>-</v>
      </c>
      <c r="FF141" s="141" t="str">
        <f t="shared" si="1216"/>
        <v>-</v>
      </c>
      <c r="FG141" s="107">
        <f t="shared" si="1217"/>
        <v>2.6064752194280656</v>
      </c>
      <c r="FH141" s="133">
        <f>IF(SeilBeregnet=0,FH114,(SeilBeregnet^0.5/(Depl^0.3333))^FH$3)</f>
        <v>2.5601341875442647</v>
      </c>
      <c r="FI141" s="133">
        <f>IF(SeilBeregnet=0,FI114,((Loa+Lwl)/Bredde/6)^FI$3)</f>
        <v>1.0181010167784417</v>
      </c>
      <c r="FJ141" s="107">
        <f>IF(SeilBeregnet=0,FJ114,(Lwl*0.07+Loa*0.03)^FJ$3)</f>
        <v>1.0243463628900011</v>
      </c>
      <c r="FK141" s="107" t="str">
        <f t="shared" si="1218"/>
        <v>-</v>
      </c>
      <c r="FL141" s="141" t="str">
        <f t="shared" si="1219"/>
        <v>-</v>
      </c>
      <c r="FM141" s="107">
        <f t="shared" si="1220"/>
        <v>4.507789162562017</v>
      </c>
      <c r="FN141" s="133">
        <f>IF(SeilBeregnet=0,FN114,(SeilBeregnet^0.5/(Depl^0.3333))^FN$3)</f>
        <v>2.5601341875442647</v>
      </c>
      <c r="FO141" s="133">
        <f>IF(SeilBeregnet=0,FO114,(SeilBeregnet^0.5/Lwl*FO$7)^FO$3)</f>
        <v>0.61941381110510851</v>
      </c>
      <c r="FP141" s="133">
        <f>IF(SeilBeregnet=0,FP114,((Loa)/Bredde)^FP$3*FP$7)</f>
        <v>1.8282411639126435</v>
      </c>
      <c r="FQ141" s="107">
        <f>IF(SeilBeregnet=0,FQ114,(Lwl)^FQ$3)</f>
        <v>1.800102871839254</v>
      </c>
      <c r="FR141" s="107" t="str">
        <f t="shared" si="1221"/>
        <v>-</v>
      </c>
      <c r="FS141" s="141" t="str">
        <f t="shared" si="1222"/>
        <v>-</v>
      </c>
      <c r="FT141" s="107">
        <f t="shared" si="1223"/>
        <v>4.6805427068084766</v>
      </c>
      <c r="FU141" s="133">
        <f>IF(SeilBeregnet=0,FU114,(SeilBeregnet^0.5/(Depl^0.3333))^FU$3)</f>
        <v>2.5601341875442647</v>
      </c>
      <c r="FV141" s="133">
        <f>IF(SeilBeregnet=0,FV114,(Loa/Bredde)^FV$3)</f>
        <v>1.8282411639126435</v>
      </c>
      <c r="FW141" s="107">
        <f>IF(SeilBeregnet=0,FW114,Lwl^FW$3)</f>
        <v>1.800102871839254</v>
      </c>
      <c r="FY141" s="336">
        <v>1</v>
      </c>
      <c r="FZ141" s="62" t="str">
        <f t="shared" si="711"/>
        <v>-</v>
      </c>
      <c r="GA141" s="62">
        <f t="shared" si="712"/>
        <v>2.0040120401405059</v>
      </c>
      <c r="GB141" s="107" t="str">
        <f t="shared" si="798"/>
        <v>-</v>
      </c>
      <c r="GC141" s="441" t="s">
        <v>1017</v>
      </c>
      <c r="GD141" s="57" t="s">
        <v>1018</v>
      </c>
      <c r="GE141" s="436" t="s">
        <v>1019</v>
      </c>
      <c r="GF141" s="496" t="s">
        <v>1020</v>
      </c>
      <c r="GG141" s="57"/>
      <c r="GH141" s="57" t="s">
        <v>1021</v>
      </c>
      <c r="GI141" s="57" t="s">
        <v>416</v>
      </c>
      <c r="GJ141" s="57" t="s">
        <v>474</v>
      </c>
      <c r="GL141" s="57" t="s">
        <v>478</v>
      </c>
      <c r="GM141" s="436" t="s">
        <v>478</v>
      </c>
      <c r="GN141" s="58" t="s">
        <v>478</v>
      </c>
      <c r="GO141" s="58" t="s">
        <v>478</v>
      </c>
      <c r="GP141" s="58" t="s">
        <v>478</v>
      </c>
      <c r="GQ141" s="58" t="s">
        <v>478</v>
      </c>
      <c r="GS141" s="57" t="s">
        <v>208</v>
      </c>
      <c r="GT141" s="57" t="s">
        <v>475</v>
      </c>
      <c r="GU141" s="57" t="s">
        <v>1022</v>
      </c>
      <c r="GV141" s="632" t="s">
        <v>1023</v>
      </c>
      <c r="GW141" s="57">
        <v>1965</v>
      </c>
      <c r="GX141" s="57" t="s">
        <v>431</v>
      </c>
      <c r="GY141" s="57" t="s">
        <v>1024</v>
      </c>
      <c r="GZ141" s="57"/>
    </row>
    <row r="142" spans="1:208" ht="15.6" x14ac:dyDescent="0.3">
      <c r="A142" s="60" t="s">
        <v>33</v>
      </c>
      <c r="B142" s="218"/>
      <c r="C142" s="61" t="str">
        <f>C141</f>
        <v>Bermuda</v>
      </c>
      <c r="D142" s="61"/>
      <c r="E142" s="61"/>
      <c r="F142" s="61"/>
      <c r="G142" s="54"/>
      <c r="H142" s="204">
        <f>IF(StH=0,0,TBFavrundet)</f>
        <v>0</v>
      </c>
      <c r="I142" s="63">
        <f>COUNTA(O142:AG142)</f>
        <v>0</v>
      </c>
      <c r="J142" s="222">
        <f>SUM(O142:AG142)</f>
        <v>0</v>
      </c>
      <c r="K142" s="116" t="e">
        <f>Seilareal/Depl^0.667/K$7</f>
        <v>#DIV/0!</v>
      </c>
      <c r="L142" s="116">
        <f>Seilareal/Lwl/Lwl/L$7</f>
        <v>0</v>
      </c>
      <c r="M142" s="92" t="e">
        <f>RiggF</f>
        <v>#DIV/0!</v>
      </c>
      <c r="N142" s="242" t="str">
        <f>StHfaktor</f>
        <v>-</v>
      </c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551"/>
      <c r="AH142" s="557">
        <f t="shared" ref="AH142:AI142" si="1242">AH141</f>
        <v>0</v>
      </c>
      <c r="AI142" s="557">
        <f t="shared" si="1242"/>
        <v>0</v>
      </c>
      <c r="AJ142" s="337">
        <f t="shared" ref="AJ142" si="1243" xml:space="preserve"> AJ141</f>
        <v>0</v>
      </c>
      <c r="AK142" s="339"/>
      <c r="AL142" s="337">
        <f t="shared" ref="AL142" si="1244" xml:space="preserve"> AL141</f>
        <v>0</v>
      </c>
      <c r="AM142" s="339"/>
      <c r="AN142" s="267" t="str">
        <f t="shared" ref="AN142" si="1245" xml:space="preserve"> AN141</f>
        <v>Meter</v>
      </c>
      <c r="AO142" s="45">
        <f>VLOOKUP(AN142,Skrogform!$1:$1048576,3,FALSE)</f>
        <v>1</v>
      </c>
      <c r="AP142" s="64">
        <f t="shared" ref="AP142:AW142" si="1246">AP141</f>
        <v>12.45</v>
      </c>
      <c r="AQ142" s="64">
        <f t="shared" si="1246"/>
        <v>10.199999999999999</v>
      </c>
      <c r="AR142" s="64">
        <f t="shared" si="1246"/>
        <v>3.25</v>
      </c>
      <c r="AS142" s="64">
        <f t="shared" si="1246"/>
        <v>2</v>
      </c>
      <c r="AT142" s="64">
        <f t="shared" si="1246"/>
        <v>0</v>
      </c>
      <c r="AU142" s="64">
        <f t="shared" si="1246"/>
        <v>0</v>
      </c>
      <c r="AV142" s="64">
        <f t="shared" si="1246"/>
        <v>4.58</v>
      </c>
      <c r="AW142" s="64">
        <f t="shared" si="1246"/>
        <v>0</v>
      </c>
      <c r="AX142" s="256">
        <f>AX141</f>
        <v>0</v>
      </c>
      <c r="AY142" s="256">
        <f t="shared" ref="AY142:BB142" si="1247">AY141</f>
        <v>0</v>
      </c>
      <c r="AZ142" s="256">
        <f t="shared" si="1247"/>
        <v>150</v>
      </c>
      <c r="BA142" s="256">
        <f t="shared" si="1247"/>
        <v>0</v>
      </c>
      <c r="BB142" s="256">
        <f t="shared" si="1247"/>
        <v>0</v>
      </c>
      <c r="BC142" s="256"/>
      <c r="BD142" s="66"/>
      <c r="BE142" s="66"/>
      <c r="BF142" s="261"/>
      <c r="BG142" s="66"/>
      <c r="BH142" s="175"/>
      <c r="BI142" s="66"/>
      <c r="BJ142" s="66"/>
      <c r="BK142" s="65">
        <f t="shared" ref="BK142:BM142" si="1248" xml:space="preserve"> BK141</f>
        <v>0</v>
      </c>
      <c r="BL142" s="267">
        <f t="shared" si="1248"/>
        <v>0</v>
      </c>
      <c r="BM142" s="267">
        <f t="shared" si="1248"/>
        <v>0</v>
      </c>
      <c r="BN142" s="45">
        <f t="shared" si="1197"/>
        <v>1</v>
      </c>
      <c r="BO142" s="59"/>
      <c r="BP142" s="59"/>
      <c r="BR142" s="49">
        <f t="shared" ref="BR142" si="1249">IF(O142=0,0,O142*BR$9)</f>
        <v>0</v>
      </c>
      <c r="BS142" s="49">
        <f t="shared" ref="BS142" si="1250">IF(P142=0,0,P142*BS$9)</f>
        <v>0</v>
      </c>
      <c r="BT142" s="49">
        <f t="shared" ref="BT142" si="1251">IF(Q142=0,0,Q142*BT$9)</f>
        <v>0</v>
      </c>
      <c r="BU142" s="49">
        <f t="shared" ref="BU142" si="1252">IF(R142=0,0,R142*BU$9)</f>
        <v>0</v>
      </c>
      <c r="BV142" s="49">
        <f t="shared" ref="BV142" si="1253">IF(S142=0,0,S142*BV$9)</f>
        <v>0</v>
      </c>
      <c r="BW142" s="49">
        <f t="shared" ref="BW142" si="1254">IF(T142=0,0,T142*BW$9)</f>
        <v>0</v>
      </c>
      <c r="BX142" s="49">
        <f t="shared" ref="BX142" si="1255">IF(U142=0,0,U142*BX$9)</f>
        <v>0</v>
      </c>
      <c r="BY142" s="549">
        <f>IF(COUNT(Q142:U142)&gt;1,MINA(Q142:U142)*BY$9,0)</f>
        <v>0</v>
      </c>
      <c r="BZ142" s="85">
        <f t="shared" ref="BZ142" si="1256">IF(V142=0,0,V142*BZ$9)</f>
        <v>0</v>
      </c>
      <c r="CA142" s="85">
        <f t="shared" ref="CA142" si="1257">IF(W142=0,0,W142*CA$9)</f>
        <v>0</v>
      </c>
      <c r="CB142" s="85">
        <f t="shared" ref="CB142" si="1258">IF(X142=0,0,X142*CB$9)</f>
        <v>0</v>
      </c>
      <c r="CC142" s="85">
        <f t="shared" ref="CC142" si="1259">IF(Y142=0,0,Y142*CC$9)</f>
        <v>0</v>
      </c>
      <c r="CD142" s="85">
        <f t="shared" ref="CD142" si="1260">IF(Z142=0,0,Z142*CD$9)</f>
        <v>0</v>
      </c>
      <c r="CE142" s="85">
        <f>IF(AC142=0,0,AC142*CE$9)</f>
        <v>0</v>
      </c>
      <c r="CF142" s="85">
        <f t="shared" ref="CF142" si="1261">IF(AA142=0,0,AA142*CF$9)</f>
        <v>0</v>
      </c>
      <c r="CG142" s="85">
        <f t="shared" ref="CG142" si="1262">IF(AB142=0,0,AB142*CG$9)</f>
        <v>0</v>
      </c>
      <c r="CH142" s="85">
        <f t="shared" ref="CH142" si="1263">IF(AD142=0,0,AD142*CH$9)</f>
        <v>0</v>
      </c>
      <c r="CI142" s="85">
        <f t="shared" ref="CI142" si="1264">IF(AE142=0,0,AE142*CI$9)</f>
        <v>0</v>
      </c>
      <c r="CJ142" s="85">
        <f t="shared" ref="CJ142" si="1265">IF(AF142=0,0,AF142*CJ$9)</f>
        <v>0</v>
      </c>
      <c r="CK142" s="85">
        <f t="shared" ref="CK142" si="1266">IF(AG142=0,0,AG142*CK$9)</f>
        <v>0</v>
      </c>
      <c r="CL142" s="100">
        <f>SUM(BR142:CK142)</f>
        <v>0</v>
      </c>
      <c r="CM142" s="50"/>
      <c r="CN142" s="104">
        <f>J142</f>
        <v>0</v>
      </c>
      <c r="CO142" s="101" t="e">
        <f>CL142/CN142</f>
        <v>#DIV/0!</v>
      </c>
      <c r="CP142" s="51">
        <f>Seilareal/Lwl/Lwl</f>
        <v>0</v>
      </c>
      <c r="CQ142" s="116" t="e">
        <f>Seilareal/Depl^0.667/K$7</f>
        <v>#DIV/0!</v>
      </c>
      <c r="CR142" s="51">
        <f>Seilareal/Lwl/Lwl/SApRS1</f>
        <v>0</v>
      </c>
      <c r="CS142" s="204"/>
      <c r="CT142" s="204" t="e">
        <f>(ROUND(TBF/CT$6,3)*CT$6)*CT$4</f>
        <v>#VALUE!</v>
      </c>
      <c r="CU142" s="107" t="str">
        <f t="shared" si="36"/>
        <v>-</v>
      </c>
      <c r="CV142" s="62" t="str">
        <f t="shared" si="789"/>
        <v>-</v>
      </c>
      <c r="CW142" s="62" t="str">
        <f t="shared" si="84"/>
        <v>-</v>
      </c>
      <c r="CX142" s="62" t="str">
        <f t="shared" si="790"/>
        <v>-</v>
      </c>
      <c r="CY142" s="107" t="str">
        <f t="shared" si="85"/>
        <v>-</v>
      </c>
      <c r="CZ142" s="168" t="str">
        <f t="shared" si="693"/>
        <v>-</v>
      </c>
      <c r="DA142" s="159">
        <f>DA141</f>
        <v>0</v>
      </c>
      <c r="DB142" s="168" t="e">
        <f t="shared" si="694"/>
        <v>#VALUE!</v>
      </c>
      <c r="DC142" s="159">
        <f>DC141</f>
        <v>1.42</v>
      </c>
      <c r="DD142" s="190" t="s">
        <v>134</v>
      </c>
      <c r="DE142" s="62" t="s">
        <v>102</v>
      </c>
      <c r="DF142" s="62" t="s">
        <v>102</v>
      </c>
      <c r="DG142" s="62" t="s">
        <v>102</v>
      </c>
      <c r="DH142" s="150" t="s">
        <v>102</v>
      </c>
      <c r="DI142" s="62" t="str">
        <f t="shared" si="1198"/>
        <v>-</v>
      </c>
      <c r="DJ142" s="47">
        <f t="shared" si="1199"/>
        <v>13.84083044982699</v>
      </c>
      <c r="DK142" s="48">
        <f t="shared" si="1200"/>
        <v>0</v>
      </c>
      <c r="DM142" s="107" t="str">
        <f t="shared" si="1201"/>
        <v>-</v>
      </c>
      <c r="DN142" s="141" t="str">
        <f t="shared" si="1202"/>
        <v>-</v>
      </c>
      <c r="DO142" s="107">
        <f t="shared" si="1203"/>
        <v>4.3883753514569079</v>
      </c>
      <c r="DP142" s="133">
        <f>IF(SeilBeregnet=0,DP141,(SeilBeregnet^0.5/(Depl^0.3333))^DP$3*DP$7)</f>
        <v>2.5601341875442647</v>
      </c>
      <c r="DQ142" s="133">
        <f>IF(SeilBeregnet=0,DQ141,(SeilBeregnet^0.5/Lwl)^DQ$3*DQ$7)</f>
        <v>0</v>
      </c>
      <c r="DR142" s="133">
        <f>IF(SeilBeregnet=0,DR141,(0.1*Loa/Depl^0.3333)^DR$3*DR$7)</f>
        <v>0</v>
      </c>
      <c r="DS142" s="133">
        <f>IF(SeilBeregnet=0,DS141,((Loa)/Bredde)^DS$3*DS$7)</f>
        <v>1.8282411639126435</v>
      </c>
      <c r="DT142" s="107">
        <f>IF(SeilBeregnet=0,DT141,(Lwl)^DT$3)</f>
        <v>1.800102871839254</v>
      </c>
      <c r="DU142" s="133">
        <f>IF(SeilBeregnet=0,DU141,(Dypg/Loa)^DU$3*5*DU$7)</f>
        <v>1.9470448393802795</v>
      </c>
      <c r="DW142" s="107" t="str">
        <f t="shared" si="1241"/>
        <v>-</v>
      </c>
      <c r="DX142" s="107" t="str">
        <f t="shared" si="1205"/>
        <v>-</v>
      </c>
      <c r="DZ142" s="107" t="str">
        <f t="shared" si="1206"/>
        <v>-</v>
      </c>
      <c r="EA142" s="122" t="str">
        <f t="shared" si="1207"/>
        <v>-</v>
      </c>
      <c r="EB142" s="107" t="str">
        <f t="shared" si="1208"/>
        <v>-</v>
      </c>
      <c r="EC142" s="122" t="str">
        <f t="shared" si="1209"/>
        <v>-</v>
      </c>
      <c r="ED142" s="107">
        <f>IF(SeilBeregnet=0,ED141,SeilBeregnet^0.5/Depl^0.33333)</f>
        <v>2.5599193540913108</v>
      </c>
      <c r="EE142" s="107">
        <f>IF(SeilBeregnet=0,EE141,Lwl^0.3333)</f>
        <v>2.1895879451208748</v>
      </c>
      <c r="EF142" s="107">
        <f>IF(SeilBeregnet=0,EF141,((Loa+Lwl)/Bredde)^EF$3)</f>
        <v>1.579185865474966</v>
      </c>
      <c r="EH142" s="107" t="str">
        <f t="shared" si="1210"/>
        <v>-</v>
      </c>
      <c r="EJ142" s="107">
        <f>IF(SeilBeregnet=0,EJ141,SeilBeregnet^0.5/Depl^0.33333)</f>
        <v>2.5599193540913108</v>
      </c>
      <c r="EK142" s="107">
        <f>IF(SeilBeregnet=0,EK141,Lwl^EK$3)</f>
        <v>2.1897424068563001</v>
      </c>
      <c r="EL142" s="107">
        <f>IF(SeilBeregnet=0,EL141,((Loa+Lwl)/Bredde)^EL$3)</f>
        <v>1.8388707573234102</v>
      </c>
      <c r="EM142" s="107" t="str">
        <f t="shared" si="1211"/>
        <v>-</v>
      </c>
      <c r="EO142" s="107">
        <f>IF(SeilBeregnet=0,EO141,(EP142*EQ142)^EO$3)</f>
        <v>4.0425884607368028</v>
      </c>
      <c r="EP142" s="107">
        <f>IF(SeilBeregnet=0,EP141,SeilBeregnet^0.5/Depl^0.33333)</f>
        <v>2.5599193540913108</v>
      </c>
      <c r="EQ142" s="107">
        <f>IF(SeilBeregnet=0,EQ141,((Loa+Lwl)/Bredde)^EQ$3)</f>
        <v>1.579185865474966</v>
      </c>
      <c r="ER142" s="107">
        <f>IF(SeilBeregnet=0,ER141,Lwl^ER$3)</f>
        <v>1.800102871839254</v>
      </c>
      <c r="ES142" s="107" t="str">
        <f t="shared" si="1212"/>
        <v>-</v>
      </c>
      <c r="EU142" s="107">
        <f>IF(SeilBeregnet=0,EU141,(EV:EV*EW:EW)^EU$3)</f>
        <v>1.6071664569338588</v>
      </c>
      <c r="EV142" s="107">
        <f>IF(SeilBeregnet=0,EV141,SeilBeregnet^0.5/Depl^0.33333)</f>
        <v>2.5599193540913108</v>
      </c>
      <c r="EW142" s="107">
        <f>IF(SeilBeregnet=0,EW141,((Loa+Lwl)/Bredde/6)^EW$3)</f>
        <v>1.0090099190684112</v>
      </c>
      <c r="EX142" s="107">
        <f>IF(SeilBeregnet=0,EX141,(Lwl*0.7+Loa*0.3)^EX$3)</f>
        <v>1.8215740458755476</v>
      </c>
      <c r="EY142" s="107" t="str">
        <f t="shared" si="1213"/>
        <v>-</v>
      </c>
      <c r="FA142" s="107">
        <f t="shared" si="1214"/>
        <v>1.6072338937996271</v>
      </c>
      <c r="FB142" s="107">
        <f>IF(SeilBeregnet=0,FB141,SeilBeregnet^0.5/Depl^0.3333)</f>
        <v>2.5601341875442647</v>
      </c>
      <c r="FC142" s="107">
        <f>IF(SeilBeregnet=0,FC141,((Loa+Lwl)/Bredde/6)^FC$3)</f>
        <v>1.0090099190684112</v>
      </c>
      <c r="FD142" s="107">
        <f>IF(SeilBeregnet=0,FD141,(Lwl*0.7+Loa*0.3)^FD$3)</f>
        <v>1.8215740458755476</v>
      </c>
      <c r="FE142" s="107" t="str">
        <f t="shared" si="1215"/>
        <v>-</v>
      </c>
      <c r="FF142" s="141" t="str">
        <f t="shared" si="1216"/>
        <v>-</v>
      </c>
      <c r="FG142" s="107">
        <f t="shared" si="1217"/>
        <v>2.6064752194280656</v>
      </c>
      <c r="FH142" s="133">
        <f>IF(SeilBeregnet=0,FH141,(SeilBeregnet^0.5/(Depl^0.3333))^FH$3)</f>
        <v>2.5601341875442647</v>
      </c>
      <c r="FI142" s="133">
        <f>IF(SeilBeregnet=0,FI141,((Loa+Lwl)/Bredde/6)^FI$3)</f>
        <v>1.0181010167784417</v>
      </c>
      <c r="FJ142" s="107">
        <f>IF(SeilBeregnet=0,FJ141,(Lwl*0.07+Loa*0.03)^FJ$3)</f>
        <v>1.0243463628900011</v>
      </c>
      <c r="FK142" s="107" t="str">
        <f t="shared" si="1218"/>
        <v>-</v>
      </c>
      <c r="FL142" s="141" t="str">
        <f t="shared" si="1219"/>
        <v>-</v>
      </c>
      <c r="FM142" s="107">
        <f t="shared" si="1220"/>
        <v>4.507789162562017</v>
      </c>
      <c r="FN142" s="133">
        <f>IF(SeilBeregnet=0,FN141,(SeilBeregnet^0.5/(Depl^0.3333))^FN$3)</f>
        <v>2.5601341875442647</v>
      </c>
      <c r="FO142" s="133">
        <f>IF(SeilBeregnet=0,FO141,(SeilBeregnet^0.5/Lwl*FO$7)^FO$3)</f>
        <v>0.61941381110510851</v>
      </c>
      <c r="FP142" s="133">
        <f>IF(SeilBeregnet=0,FP141,((Loa)/Bredde)^FP$3*FP$7)</f>
        <v>1.8282411639126435</v>
      </c>
      <c r="FQ142" s="107">
        <f>IF(SeilBeregnet=0,FQ141,(Lwl)^FQ$3)</f>
        <v>1.800102871839254</v>
      </c>
      <c r="FR142" s="107" t="str">
        <f t="shared" si="1221"/>
        <v>-</v>
      </c>
      <c r="FS142" s="141" t="str">
        <f t="shared" si="1222"/>
        <v>-</v>
      </c>
      <c r="FT142" s="107">
        <f t="shared" si="1223"/>
        <v>4.6805427068084766</v>
      </c>
      <c r="FU142" s="133">
        <f>IF(SeilBeregnet=0,FU141,(SeilBeregnet^0.5/(Depl^0.3333))^FU$3)</f>
        <v>2.5601341875442647</v>
      </c>
      <c r="FV142" s="133">
        <f>IF(SeilBeregnet=0,FV141,(Loa/Bredde)^FV$3)</f>
        <v>1.8282411639126435</v>
      </c>
      <c r="FW142" s="107">
        <f>IF(SeilBeregnet=0,FW141,Lwl^FW$3)</f>
        <v>1.800102871839254</v>
      </c>
      <c r="FY142" s="336">
        <v>1</v>
      </c>
      <c r="FZ142" s="62" t="str">
        <f t="shared" si="711"/>
        <v>-</v>
      </c>
      <c r="GA142" s="62">
        <f t="shared" si="712"/>
        <v>2.0040120401405059</v>
      </c>
      <c r="GB142" s="107" t="str">
        <f t="shared" si="798"/>
        <v>-</v>
      </c>
      <c r="GC142" s="440"/>
      <c r="GD142" s="17"/>
      <c r="GE142" s="442"/>
      <c r="GF142" s="462"/>
      <c r="GG142" s="17"/>
      <c r="GH142" s="17"/>
      <c r="GI142" s="17"/>
      <c r="GJ142" s="17"/>
      <c r="GL142" s="17"/>
      <c r="GM142" s="442"/>
      <c r="GN142" s="8"/>
      <c r="GO142" s="8"/>
      <c r="GP142" s="8"/>
      <c r="GQ142" s="8"/>
      <c r="GS142" s="17"/>
      <c r="GT142" s="17"/>
      <c r="GU142" s="17"/>
      <c r="GV142" s="629"/>
      <c r="GW142" s="17"/>
      <c r="GX142" s="17"/>
      <c r="GY142" s="17"/>
      <c r="GZ142" s="17"/>
    </row>
    <row r="143" spans="1:208" ht="15.6" x14ac:dyDescent="0.3">
      <c r="A143" s="52" t="s">
        <v>1030</v>
      </c>
      <c r="B143" s="218">
        <f t="shared" si="10"/>
        <v>31.003937007874011</v>
      </c>
      <c r="C143" s="53" t="s">
        <v>38</v>
      </c>
      <c r="D143" s="53"/>
      <c r="E143" s="53"/>
      <c r="F143" s="53"/>
      <c r="G143" s="54"/>
      <c r="H143" s="112">
        <f>J144</f>
        <v>29</v>
      </c>
      <c r="I143" s="601">
        <f>H144/100</f>
        <v>0</v>
      </c>
      <c r="J143" s="651">
        <f>IF(DC144=0,"-",DC144)</f>
        <v>1.33</v>
      </c>
      <c r="K143" s="123" t="str">
        <f>A143</f>
        <v>Bingo 2</v>
      </c>
      <c r="L143" s="116"/>
      <c r="M143" s="116"/>
      <c r="N143" s="92"/>
      <c r="O143" s="165"/>
      <c r="P143" s="165"/>
      <c r="Q143" s="165"/>
      <c r="R143" s="165"/>
      <c r="S143" s="165"/>
      <c r="T143" s="165"/>
      <c r="U143" s="165">
        <v>10</v>
      </c>
      <c r="V143" s="560"/>
      <c r="W143" s="560"/>
      <c r="X143" s="165"/>
      <c r="Y143" s="165"/>
      <c r="Z143" s="165"/>
      <c r="AA143" s="165"/>
      <c r="AB143" s="165"/>
      <c r="AC143" s="165"/>
      <c r="AD143" s="165"/>
      <c r="AE143" s="165">
        <v>19</v>
      </c>
      <c r="AF143" s="165"/>
      <c r="AG143" s="552"/>
      <c r="AH143" s="244"/>
      <c r="AI143" s="244"/>
      <c r="AJ143" s="554"/>
      <c r="AK143" s="339"/>
      <c r="AL143" s="268"/>
      <c r="AM143" s="339"/>
      <c r="AN143" s="268" t="s">
        <v>214</v>
      </c>
      <c r="AO143" s="45">
        <f>VLOOKUP(AN143,Skrogform!$1:$1048576,3,FALSE)</f>
        <v>1</v>
      </c>
      <c r="AP143" s="55">
        <v>9.4499999999999993</v>
      </c>
      <c r="AQ143" s="55">
        <v>6</v>
      </c>
      <c r="AR143" s="55">
        <v>2</v>
      </c>
      <c r="AS143" s="55"/>
      <c r="AT143" s="55"/>
      <c r="AU143" s="55">
        <v>2</v>
      </c>
      <c r="AV143" s="55"/>
      <c r="AW143" s="55"/>
      <c r="AX143" s="253"/>
      <c r="AY143" s="253"/>
      <c r="AZ143" s="254">
        <f>AY143*7</f>
        <v>0</v>
      </c>
      <c r="BA143" s="253"/>
      <c r="BB143" s="253"/>
      <c r="BC143" s="244">
        <f>Depl+Diesel/1000*0.84+Vann/1000</f>
        <v>2</v>
      </c>
      <c r="BD143" s="95">
        <f>Bredde/(Loa+Lwl)*2</f>
        <v>0.25889967637540456</v>
      </c>
      <c r="BE143" s="95">
        <f>(Kjøl+Ballast)/Depl</f>
        <v>0</v>
      </c>
      <c r="BF143" s="260">
        <f>BF$7*((Depl-Kjøl-Ballast-VektMotor/1000-VektAnnet/1000)/Lwl/Lwl/Bredde)</f>
        <v>1.0482795726495726</v>
      </c>
      <c r="BG143" s="95">
        <f>BG$7*(Depl/Loa/Lwl/Lwl)</f>
        <v>0.43262331569664908</v>
      </c>
      <c r="BH143" s="174">
        <f>BH$7*(Depl/Loa/Lwl/Bredde)</f>
        <v>0.47973730158730171</v>
      </c>
      <c r="BI143" s="95">
        <f>BI$7*Bredde/(Loa+Lwl)*2</f>
        <v>0.73856004454187985</v>
      </c>
      <c r="BJ143" s="95">
        <f>BJ$7*(Dypg/Lwl)</f>
        <v>0</v>
      </c>
      <c r="BK143" s="56"/>
      <c r="BL143" s="268"/>
      <c r="BM143" s="268"/>
      <c r="BN143" s="45">
        <f t="shared" si="1197"/>
        <v>1</v>
      </c>
      <c r="BO143" s="59"/>
      <c r="BP143" s="59"/>
      <c r="BR143" s="209"/>
      <c r="BS143" s="209"/>
      <c r="BT143" s="209" t="str">
        <f>$A143</f>
        <v>Bingo 2</v>
      </c>
      <c r="BU143" s="10"/>
      <c r="BV143" s="10"/>
      <c r="BW143" s="10"/>
      <c r="BX143" s="10"/>
      <c r="BY143" s="549"/>
      <c r="BZ143" s="10"/>
      <c r="CA143" s="10"/>
      <c r="CB143" s="209" t="str">
        <f>$A143</f>
        <v>Bingo 2</v>
      </c>
      <c r="CC143" s="10"/>
      <c r="CD143" s="10"/>
      <c r="CE143" s="10"/>
      <c r="CF143" s="10"/>
      <c r="CG143" s="10"/>
      <c r="CH143" s="10"/>
      <c r="CI143" s="10"/>
      <c r="CJ143" s="10"/>
      <c r="CK143" s="10"/>
      <c r="CL143" s="209"/>
      <c r="CM143" s="10"/>
      <c r="CN143" s="209" t="str">
        <f>$A143</f>
        <v>Bingo 2</v>
      </c>
      <c r="CO143" s="207"/>
      <c r="CP143" s="207"/>
      <c r="CQ143" s="116"/>
      <c r="CR143" s="207"/>
      <c r="CS143" s="203"/>
      <c r="CT143" s="203" t="s">
        <v>23</v>
      </c>
      <c r="CU143" s="107" t="str">
        <f t="shared" ref="CU143:CU311" si="1267">IF(SeilBeregnet=0,"-",CU$7*(SaDeplf+LBf)*Lf*Skrogfaktor*PropF*(Mast+1)+ErfaringsF)</f>
        <v>-</v>
      </c>
      <c r="CV143" s="62" t="str">
        <f t="shared" si="789"/>
        <v>-</v>
      </c>
      <c r="CW143" s="62" t="str">
        <f t="shared" ref="CW143:CW311" si="1268">IF(SeilBeregnet=0,"-",((Loa+Lwl)/2/Bredde)^(1/CW$7))</f>
        <v>-</v>
      </c>
      <c r="CX143" s="62" t="str">
        <f t="shared" si="790"/>
        <v>-</v>
      </c>
      <c r="CY143" s="107" t="str">
        <f t="shared" ref="CY143:CY311" si="1269">IF(SeilBeregnet=0,"-",(StH/Lwl)^(1/CY$7))</f>
        <v>-</v>
      </c>
      <c r="CZ143" s="168" t="str">
        <f t="shared" si="693"/>
        <v>-</v>
      </c>
      <c r="DA143" s="158"/>
      <c r="DB143" s="168" t="str">
        <f t="shared" si="694"/>
        <v>-</v>
      </c>
      <c r="DC143" s="160">
        <v>1.33</v>
      </c>
      <c r="DD143" s="190" t="s">
        <v>134</v>
      </c>
      <c r="DE143" s="29" t="s">
        <v>23</v>
      </c>
      <c r="DF143" s="29" t="s">
        <v>23</v>
      </c>
      <c r="DG143" s="29" t="s">
        <v>23</v>
      </c>
      <c r="DH143" s="149">
        <v>2022</v>
      </c>
      <c r="DI143" s="62" t="str">
        <f t="shared" si="1198"/>
        <v>-</v>
      </c>
      <c r="DJ143" s="47">
        <f t="shared" si="1199"/>
        <v>0</v>
      </c>
      <c r="DK143" s="48">
        <f t="shared" si="1200"/>
        <v>0</v>
      </c>
      <c r="DM143" s="107" t="str">
        <f t="shared" si="1201"/>
        <v>-</v>
      </c>
      <c r="DN143" s="141" t="str">
        <f t="shared" si="1202"/>
        <v>-</v>
      </c>
      <c r="DO143" s="107">
        <f t="shared" si="1203"/>
        <v>5.6961404694359361</v>
      </c>
      <c r="DP143" s="133">
        <f>IF(SeilBeregnet=0,DP116,(SeilBeregnet^0.5/(Depl^0.3333))^DP$3*DP$7)</f>
        <v>3.8621185601784802</v>
      </c>
      <c r="DQ143" s="133">
        <f>IF(SeilBeregnet=0,DQ116,(SeilBeregnet^0.5/Lwl)^DQ$3*DQ$7)</f>
        <v>0</v>
      </c>
      <c r="DR143" s="133">
        <f>IF(SeilBeregnet=0,DR116,(0.1*Loa/Depl^0.3333)^DR$3*DR$7)</f>
        <v>0</v>
      </c>
      <c r="DS143" s="133">
        <f>IF(SeilBeregnet=0,DS116,((Loa)/Bredde)^DS$3*DS$7)</f>
        <v>1.8340219092574557</v>
      </c>
      <c r="DT143" s="107">
        <f>IF(SeilBeregnet=0,DT116,(Lwl)^DT$3)</f>
        <v>1.5905414575341013</v>
      </c>
      <c r="DU143" s="133">
        <f>IF(SeilBeregnet=0,DU116,(Dypg/Loa)^DU$3*5*DU$7)</f>
        <v>1.7914964302111964</v>
      </c>
      <c r="DW143" s="107" t="str">
        <f t="shared" si="1241"/>
        <v>-</v>
      </c>
      <c r="DX143" s="107" t="str">
        <f t="shared" si="1205"/>
        <v>-</v>
      </c>
      <c r="DZ143" s="107" t="str">
        <f t="shared" si="1206"/>
        <v>-</v>
      </c>
      <c r="EA143" s="122" t="str">
        <f t="shared" si="1207"/>
        <v>-</v>
      </c>
      <c r="EB143" s="107" t="str">
        <f t="shared" si="1208"/>
        <v>-</v>
      </c>
      <c r="EC143" s="122" t="str">
        <f t="shared" si="1209"/>
        <v>-</v>
      </c>
      <c r="ED143" s="107">
        <f>IF(SeilBeregnet=0,ED116,SeilBeregnet^0.5/Depl^0.33333)</f>
        <v>3.8620034802098151</v>
      </c>
      <c r="EE143" s="107">
        <f>IF(SeilBeregnet=0,EE116,Lwl^0.3333)</f>
        <v>1.8565206547056485</v>
      </c>
      <c r="EF143" s="107">
        <f>IF(SeilBeregnet=0,EF116,((Loa+Lwl)/Bredde)^EF$3)</f>
        <v>1.5825742730785703</v>
      </c>
      <c r="EH143" s="107" t="str">
        <f t="shared" si="1210"/>
        <v>-</v>
      </c>
      <c r="EJ143" s="107">
        <f>IF(SeilBeregnet=0,EJ116,SeilBeregnet^0.5/Depl^0.33333)</f>
        <v>3.8620034802098151</v>
      </c>
      <c r="EK143" s="107">
        <f>IF(SeilBeregnet=0,EK116,Lwl^EK$3)</f>
        <v>1.856624045251289</v>
      </c>
      <c r="EL143" s="107">
        <f>IF(SeilBeregnet=0,EL116,((Loa+Lwl)/Bredde)^EL$3)</f>
        <v>1.8441329174043459</v>
      </c>
      <c r="EM143" s="107" t="str">
        <f t="shared" si="1211"/>
        <v>-</v>
      </c>
      <c r="EO143" s="107">
        <f>IF(SeilBeregnet=0,EO116,(EP143*EQ143)^EO$3)</f>
        <v>6.1119073503199566</v>
      </c>
      <c r="EP143" s="107">
        <f>IF(SeilBeregnet=0,EP116,SeilBeregnet^0.5/Depl^0.33333)</f>
        <v>3.8620034802098151</v>
      </c>
      <c r="EQ143" s="107">
        <f>IF(SeilBeregnet=0,EQ116,((Loa+Lwl)/Bredde)^EQ$3)</f>
        <v>1.5825742730785703</v>
      </c>
      <c r="ER143" s="107">
        <f>IF(SeilBeregnet=0,ER116,Lwl^ER$3)</f>
        <v>1.5905414575341013</v>
      </c>
      <c r="ES143" s="107" t="str">
        <f t="shared" si="1212"/>
        <v>-</v>
      </c>
      <c r="EU143" s="107">
        <f>IF(SeilBeregnet=0,EU116,(EV:EV*EW:EW)^EU$3)</f>
        <v>1.9761480347582878</v>
      </c>
      <c r="EV143" s="107">
        <f>IF(SeilBeregnet=0,EV116,SeilBeregnet^0.5/Depl^0.33333)</f>
        <v>3.8620034802098151</v>
      </c>
      <c r="EW143" s="107">
        <f>IF(SeilBeregnet=0,EW116,((Loa+Lwl)/Bredde/6)^EW$3)</f>
        <v>1.0111749187411099</v>
      </c>
      <c r="EX143" s="107">
        <f>IF(SeilBeregnet=0,EX116,(Lwl*0.7+Loa*0.3)^EX$3)</f>
        <v>1.6088616538127065</v>
      </c>
      <c r="EY143" s="107" t="str">
        <f t="shared" si="1213"/>
        <v>-</v>
      </c>
      <c r="FA143" s="107">
        <f t="shared" si="1214"/>
        <v>1.9761774771657041</v>
      </c>
      <c r="FB143" s="107">
        <f>IF(SeilBeregnet=0,FB116,SeilBeregnet^0.5/Depl^0.3333)</f>
        <v>3.8621185601784802</v>
      </c>
      <c r="FC143" s="107">
        <f>IF(SeilBeregnet=0,FC116,((Loa+Lwl)/Bredde/6)^FC$3)</f>
        <v>1.0111749187411099</v>
      </c>
      <c r="FD143" s="107">
        <f>IF(SeilBeregnet=0,FD116,(Lwl*0.7+Loa*0.3)^FD$3)</f>
        <v>1.6088616538127065</v>
      </c>
      <c r="FE143" s="107" t="str">
        <f t="shared" si="1215"/>
        <v>-</v>
      </c>
      <c r="FF143" s="141" t="str">
        <f t="shared" si="1216"/>
        <v>-</v>
      </c>
      <c r="FG143" s="107">
        <f t="shared" si="1217"/>
        <v>3.9489185791010448</v>
      </c>
      <c r="FH143" s="133">
        <f>IF(SeilBeregnet=0,FH116,(SeilBeregnet^0.5/(Depl^0.3333))^FH$3)</f>
        <v>3.8621185601784802</v>
      </c>
      <c r="FI143" s="133">
        <f>IF(SeilBeregnet=0,FI116,((Loa+Lwl)/Bredde/6)^FI$3)</f>
        <v>1.0224747162910901</v>
      </c>
      <c r="FJ143" s="107">
        <f>IF(SeilBeregnet=0,FJ116,(Lwl*0.07+Loa*0.03)^FJ$3)</f>
        <v>0.90472939445297396</v>
      </c>
      <c r="FK143" s="107" t="str">
        <f t="shared" si="1218"/>
        <v>-</v>
      </c>
      <c r="FL143" s="141" t="str">
        <f t="shared" si="1219"/>
        <v>-</v>
      </c>
      <c r="FM143" s="107">
        <f t="shared" si="1220"/>
        <v>6.0364110731702327</v>
      </c>
      <c r="FN143" s="133">
        <f>IF(SeilBeregnet=0,FN116,(SeilBeregnet^0.5/(Depl^0.3333))^FN$3)</f>
        <v>3.8621185601784802</v>
      </c>
      <c r="FO143" s="133">
        <f>IF(SeilBeregnet=0,FO116,(SeilBeregnet^0.5/Lwl*FO$7)^FO$3)</f>
        <v>0.84027060373429696</v>
      </c>
      <c r="FP143" s="133">
        <f>IF(SeilBeregnet=0,FP116,((Loa)/Bredde)^FP$3*FP$7)</f>
        <v>1.8340219092574557</v>
      </c>
      <c r="FQ143" s="107">
        <f>IF(SeilBeregnet=0,FQ116,(Lwl)^FQ$3)</f>
        <v>1.5905414575341013</v>
      </c>
      <c r="FR143" s="107" t="str">
        <f t="shared" si="1221"/>
        <v>-</v>
      </c>
      <c r="FS143" s="141" t="str">
        <f t="shared" si="1222"/>
        <v>-</v>
      </c>
      <c r="FT143" s="107">
        <f t="shared" si="1223"/>
        <v>7.083210055517192</v>
      </c>
      <c r="FU143" s="133">
        <f>IF(SeilBeregnet=0,FU116,(SeilBeregnet^0.5/(Depl^0.3333))^FU$3)</f>
        <v>3.8621185601784802</v>
      </c>
      <c r="FV143" s="133">
        <f>IF(SeilBeregnet=0,FV116,(Loa/Bredde)^FV$3)</f>
        <v>1.8340219092574557</v>
      </c>
      <c r="FW143" s="107">
        <f>IF(SeilBeregnet=0,FW116,Lwl^FW$3)</f>
        <v>1.5905414575341013</v>
      </c>
      <c r="FY143" s="336">
        <v>1</v>
      </c>
      <c r="FZ143" s="62" t="str">
        <f t="shared" si="711"/>
        <v>-</v>
      </c>
      <c r="GA143" s="62">
        <f t="shared" si="712"/>
        <v>2</v>
      </c>
      <c r="GB143" s="107" t="str">
        <f t="shared" ref="GB143:GB301" si="1270">IF(SeilBeregnet=0,"-",GB$7*(((SeilBeregnet*StHfaktor)/(Depl+DeplTillegg/1000+Vann/1000+Diesel/1000*0.84))^(1/3)/Bredde)^(1/GB$5)*Lwl^(1/GB$4)*Skrogfaktor*PropF*(Mast+1)+ErfaringsF)</f>
        <v>-</v>
      </c>
      <c r="GC143" s="441" t="s">
        <v>1031</v>
      </c>
      <c r="GD143" s="57" t="s">
        <v>1028</v>
      </c>
      <c r="GE143" s="436"/>
      <c r="GF143" s="75"/>
      <c r="GG143" s="57"/>
      <c r="GH143" s="57" t="s">
        <v>641</v>
      </c>
      <c r="GI143" s="57" t="s">
        <v>416</v>
      </c>
      <c r="GJ143" s="57" t="s">
        <v>462</v>
      </c>
      <c r="GL143" s="57" t="s">
        <v>478</v>
      </c>
      <c r="GM143" s="626" t="s">
        <v>478</v>
      </c>
      <c r="GN143" s="599" t="s">
        <v>478</v>
      </c>
      <c r="GO143" s="57" t="s">
        <v>1034</v>
      </c>
      <c r="GP143" s="626" t="s">
        <v>1035</v>
      </c>
      <c r="GQ143" s="599" t="s">
        <v>1036</v>
      </c>
      <c r="GS143" s="57" t="s">
        <v>208</v>
      </c>
      <c r="GT143" s="57" t="s">
        <v>1029</v>
      </c>
      <c r="GU143" s="57" t="s">
        <v>1032</v>
      </c>
      <c r="GV143" s="632" t="s">
        <v>1033</v>
      </c>
      <c r="GW143" s="57">
        <v>1967</v>
      </c>
      <c r="GX143" s="57" t="s">
        <v>431</v>
      </c>
      <c r="GY143" s="57" t="s">
        <v>491</v>
      </c>
      <c r="GZ143" s="57"/>
    </row>
    <row r="144" spans="1:208" ht="15.6" x14ac:dyDescent="0.3">
      <c r="A144" s="60" t="s">
        <v>33</v>
      </c>
      <c r="B144" s="218"/>
      <c r="C144" s="61" t="str">
        <f>C143</f>
        <v>Bermuda</v>
      </c>
      <c r="D144" s="61"/>
      <c r="E144" s="61"/>
      <c r="F144" s="61"/>
      <c r="G144" s="54"/>
      <c r="H144" s="204">
        <f>IF(StH=0,0,TBFavrundet)</f>
        <v>0</v>
      </c>
      <c r="I144" s="63">
        <f>COUNTA(O144:AG144)</f>
        <v>2</v>
      </c>
      <c r="J144" s="222">
        <f>SUM(O144:AG144)</f>
        <v>29</v>
      </c>
      <c r="K144" s="116">
        <f>Seilareal/Depl^0.667/K$7</f>
        <v>1.6926476369695593</v>
      </c>
      <c r="L144" s="116">
        <f>Seilareal/Lwl/Lwl/L$7</f>
        <v>1.2222849685735588</v>
      </c>
      <c r="M144" s="92">
        <f>RiggF</f>
        <v>0.96724137931034482</v>
      </c>
      <c r="N144" s="242">
        <f>StHfaktor</f>
        <v>0</v>
      </c>
      <c r="O144" s="143"/>
      <c r="P144" s="143"/>
      <c r="Q144" s="143"/>
      <c r="R144" s="143"/>
      <c r="S144" s="143"/>
      <c r="T144" s="143"/>
      <c r="U144" s="165">
        <v>10</v>
      </c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65">
        <v>19</v>
      </c>
      <c r="AF144" s="143"/>
      <c r="AG144" s="551"/>
      <c r="AH144" s="557">
        <f t="shared" ref="AH144:AI144" si="1271">AH143</f>
        <v>0</v>
      </c>
      <c r="AI144" s="557">
        <f t="shared" si="1271"/>
        <v>0</v>
      </c>
      <c r="AJ144" s="337">
        <f t="shared" ref="AJ144" si="1272" xml:space="preserve"> AJ143</f>
        <v>0</v>
      </c>
      <c r="AK144" s="339"/>
      <c r="AL144" s="337">
        <f t="shared" ref="AL144" si="1273" xml:space="preserve"> AL143</f>
        <v>0</v>
      </c>
      <c r="AM144" s="339"/>
      <c r="AN144" s="267" t="str">
        <f t="shared" ref="AN144" si="1274" xml:space="preserve"> AN143</f>
        <v>Meter</v>
      </c>
      <c r="AO144" s="45">
        <f>VLOOKUP(AN144,Skrogform!$1:$1048576,3,FALSE)</f>
        <v>1</v>
      </c>
      <c r="AP144" s="64">
        <f t="shared" ref="AP144:AW144" si="1275">AP143</f>
        <v>9.4499999999999993</v>
      </c>
      <c r="AQ144" s="64">
        <f t="shared" si="1275"/>
        <v>6</v>
      </c>
      <c r="AR144" s="64">
        <f t="shared" si="1275"/>
        <v>2</v>
      </c>
      <c r="AS144" s="64">
        <f t="shared" si="1275"/>
        <v>0</v>
      </c>
      <c r="AT144" s="64">
        <f t="shared" si="1275"/>
        <v>0</v>
      </c>
      <c r="AU144" s="64">
        <f t="shared" si="1275"/>
        <v>2</v>
      </c>
      <c r="AV144" s="64">
        <f t="shared" si="1275"/>
        <v>0</v>
      </c>
      <c r="AW144" s="64">
        <f t="shared" si="1275"/>
        <v>0</v>
      </c>
      <c r="AX144" s="256">
        <f>AX143</f>
        <v>0</v>
      </c>
      <c r="AY144" s="256">
        <f t="shared" ref="AY144:BB144" si="1276">AY143</f>
        <v>0</v>
      </c>
      <c r="AZ144" s="256">
        <f t="shared" si="1276"/>
        <v>0</v>
      </c>
      <c r="BA144" s="256">
        <f t="shared" si="1276"/>
        <v>0</v>
      </c>
      <c r="BB144" s="256">
        <f t="shared" si="1276"/>
        <v>0</v>
      </c>
      <c r="BC144" s="256"/>
      <c r="BD144" s="66"/>
      <c r="BE144" s="66"/>
      <c r="BF144" s="261"/>
      <c r="BG144" s="66"/>
      <c r="BH144" s="175"/>
      <c r="BI144" s="66"/>
      <c r="BJ144" s="66"/>
      <c r="BK144" s="65">
        <f t="shared" ref="BK144:BM144" si="1277" xml:space="preserve"> BK143</f>
        <v>0</v>
      </c>
      <c r="BL144" s="267">
        <f t="shared" si="1277"/>
        <v>0</v>
      </c>
      <c r="BM144" s="267">
        <f t="shared" si="1277"/>
        <v>0</v>
      </c>
      <c r="BN144" s="45">
        <f t="shared" si="1197"/>
        <v>1</v>
      </c>
      <c r="BO144" s="59"/>
      <c r="BP144" s="59"/>
      <c r="BR144" s="49">
        <f t="shared" ref="BR144" si="1278">IF(O144=0,0,O144*BR$9)</f>
        <v>0</v>
      </c>
      <c r="BS144" s="49">
        <f t="shared" ref="BS144" si="1279">IF(P144=0,0,P144*BS$9)</f>
        <v>0</v>
      </c>
      <c r="BT144" s="49">
        <f t="shared" ref="BT144" si="1280">IF(Q144=0,0,Q144*BT$9)</f>
        <v>0</v>
      </c>
      <c r="BU144" s="49">
        <f t="shared" ref="BU144" si="1281">IF(R144=0,0,R144*BU$9)</f>
        <v>0</v>
      </c>
      <c r="BV144" s="49">
        <f t="shared" ref="BV144" si="1282">IF(S144=0,0,S144*BV$9)</f>
        <v>0</v>
      </c>
      <c r="BW144" s="49">
        <f t="shared" ref="BW144" si="1283">IF(T144=0,0,T144*BW$9)</f>
        <v>0</v>
      </c>
      <c r="BX144" s="49">
        <f t="shared" ref="BX144" si="1284">IF(U144=0,0,U144*BX$9)</f>
        <v>10</v>
      </c>
      <c r="BY144" s="549">
        <f>IF(COUNT(Q144:U144)&gt;1,MINA(Q144:U144)*BY$9,0)</f>
        <v>0</v>
      </c>
      <c r="BZ144" s="85">
        <f t="shared" ref="BZ144" si="1285">IF(V144=0,0,V144*BZ$9)</f>
        <v>0</v>
      </c>
      <c r="CA144" s="85">
        <f t="shared" ref="CA144" si="1286">IF(W144=0,0,W144*CA$9)</f>
        <v>0</v>
      </c>
      <c r="CB144" s="85">
        <f t="shared" ref="CB144" si="1287">IF(X144=0,0,X144*CB$9)</f>
        <v>0</v>
      </c>
      <c r="CC144" s="85">
        <f t="shared" ref="CC144" si="1288">IF(Y144=0,0,Y144*CC$9)</f>
        <v>0</v>
      </c>
      <c r="CD144" s="85">
        <f t="shared" ref="CD144" si="1289">IF(Z144=0,0,Z144*CD$9)</f>
        <v>0</v>
      </c>
      <c r="CE144" s="85">
        <f>IF(AC144=0,0,AC144*CE$9)</f>
        <v>0</v>
      </c>
      <c r="CF144" s="85">
        <f t="shared" ref="CF144" si="1290">IF(AA144=0,0,AA144*CF$9)</f>
        <v>0</v>
      </c>
      <c r="CG144" s="85">
        <f t="shared" ref="CG144" si="1291">IF(AB144=0,0,AB144*CG$9)</f>
        <v>0</v>
      </c>
      <c r="CH144" s="85">
        <f t="shared" ref="CH144" si="1292">IF(AD144=0,0,AD144*CH$9)</f>
        <v>0</v>
      </c>
      <c r="CI144" s="85">
        <f t="shared" ref="CI144" si="1293">IF(AE144=0,0,AE144*CI$9)</f>
        <v>18.05</v>
      </c>
      <c r="CJ144" s="85">
        <f t="shared" ref="CJ144" si="1294">IF(AF144=0,0,AF144*CJ$9)</f>
        <v>0</v>
      </c>
      <c r="CK144" s="85">
        <f t="shared" ref="CK144" si="1295">IF(AG144=0,0,AG144*CK$9)</f>
        <v>0</v>
      </c>
      <c r="CL144" s="100">
        <f>SUM(BR144:CK144)</f>
        <v>28.05</v>
      </c>
      <c r="CM144" s="50"/>
      <c r="CN144" s="104">
        <f>J144</f>
        <v>29</v>
      </c>
      <c r="CO144" s="101">
        <f>CL144/CN144</f>
        <v>0.96724137931034482</v>
      </c>
      <c r="CP144" s="51">
        <f>Seilareal/Lwl/Lwl</f>
        <v>0.80555555555555547</v>
      </c>
      <c r="CQ144" s="116">
        <f>Seilareal/Depl^0.667/K$7</f>
        <v>1.6926476369695593</v>
      </c>
      <c r="CR144" s="51">
        <f>Seilareal/Lwl/Lwl/SApRS1</f>
        <v>1.2222849685735588</v>
      </c>
      <c r="CS144" s="204"/>
      <c r="CT144" s="204">
        <f>(ROUND(TBF/CT$6,3)*CT$6)*CT$4</f>
        <v>40.5</v>
      </c>
      <c r="CU144" s="107">
        <f t="shared" si="1267"/>
        <v>0.40448070724131124</v>
      </c>
      <c r="CV144" s="62">
        <f t="shared" si="789"/>
        <v>0</v>
      </c>
      <c r="CW144" s="62">
        <f t="shared" si="1268"/>
        <v>1.9653244007033546</v>
      </c>
      <c r="CX144" s="62">
        <f t="shared" si="790"/>
        <v>1.5650845800732873</v>
      </c>
      <c r="CY144" s="107">
        <f t="shared" si="1269"/>
        <v>0</v>
      </c>
      <c r="CZ144" s="168" t="str">
        <f t="shared" si="693"/>
        <v>-</v>
      </c>
      <c r="DA144" s="159">
        <f>DA143</f>
        <v>0</v>
      </c>
      <c r="DB144" s="168">
        <f t="shared" si="694"/>
        <v>1.2366666666666668</v>
      </c>
      <c r="DC144" s="159">
        <f>DC143</f>
        <v>1.33</v>
      </c>
      <c r="DD144" s="190" t="s">
        <v>134</v>
      </c>
      <c r="DE144" s="62" t="s">
        <v>102</v>
      </c>
      <c r="DF144" s="62" t="s">
        <v>102</v>
      </c>
      <c r="DG144" s="62" t="s">
        <v>102</v>
      </c>
      <c r="DH144" s="150" t="s">
        <v>102</v>
      </c>
      <c r="DI144" s="62">
        <f t="shared" si="1198"/>
        <v>0</v>
      </c>
      <c r="DJ144" s="47">
        <f t="shared" si="1199"/>
        <v>0</v>
      </c>
      <c r="DK144" s="48">
        <f t="shared" si="1200"/>
        <v>0</v>
      </c>
      <c r="DM144" s="107">
        <f t="shared" si="1201"/>
        <v>1.2376690618973447</v>
      </c>
      <c r="DN144" s="141" t="str">
        <f t="shared" si="1202"/>
        <v>-</v>
      </c>
      <c r="DO144" s="107">
        <f t="shared" si="1203"/>
        <v>6.377420261598882</v>
      </c>
      <c r="DP144" s="133">
        <f>IF(SeilBeregnet=0,DP143,(SeilBeregnet^0.5/(Depl^0.3333))^DP$3*DP$7)</f>
        <v>4.2037137496704666</v>
      </c>
      <c r="DQ144" s="133">
        <f>IF(SeilBeregnet=0,DQ143,(SeilBeregnet^0.5/Lwl)^DQ$3*DQ$7)</f>
        <v>0</v>
      </c>
      <c r="DR144" s="133">
        <f>IF(SeilBeregnet=0,DR143,(0.1*Loa/Depl^0.3333)^DR$3*DR$7)</f>
        <v>0</v>
      </c>
      <c r="DS144" s="133">
        <f>IF(SeilBeregnet=0,DS143,((Loa)/Bredde)^DS$3*DS$7)</f>
        <v>2.1737065119284158</v>
      </c>
      <c r="DT144" s="107">
        <f>IF(SeilBeregnet=0,DT143,(Lwl)^DT$3)</f>
        <v>1.5650845800732873</v>
      </c>
      <c r="DU144" s="133">
        <f>IF(SeilBeregnet=0,DU143,(Dypg/Loa)^DU$3*5*DU$7)</f>
        <v>0</v>
      </c>
      <c r="DW144" s="107">
        <f t="shared" si="1241"/>
        <v>0.40448070724131119</v>
      </c>
      <c r="DX144" s="107">
        <f t="shared" si="1205"/>
        <v>1.1760473509118132</v>
      </c>
      <c r="DZ144" s="107">
        <f t="shared" si="1206"/>
        <v>1.1755317272125461</v>
      </c>
      <c r="EA144" s="122" t="str">
        <f t="shared" si="1207"/>
        <v>-</v>
      </c>
      <c r="EB144" s="107">
        <f t="shared" si="1208"/>
        <v>1.2698867751530785</v>
      </c>
      <c r="EC144" s="122" t="str">
        <f t="shared" si="1209"/>
        <v>-</v>
      </c>
      <c r="ED144" s="107">
        <f>IF(SeilBeregnet=0,ED143,SeilBeregnet^0.5/Depl^0.33333)</f>
        <v>4.2036263368093163</v>
      </c>
      <c r="EE144" s="107">
        <f>IF(SeilBeregnet=0,EE143,Lwl^0.3333)</f>
        <v>1.8170120679720481</v>
      </c>
      <c r="EF144" s="107">
        <f>IF(SeilBeregnet=0,EF143,((Loa+Lwl)/Bredde)^EF$3)</f>
        <v>1.6671497898921559</v>
      </c>
      <c r="EH144" s="107">
        <f t="shared" si="1210"/>
        <v>1.2706205951020972</v>
      </c>
      <c r="EJ144" s="107">
        <f>IF(SeilBeregnet=0,EJ143,SeilBeregnet^0.5/Depl^0.33333)</f>
        <v>4.2036263368093163</v>
      </c>
      <c r="EK144" s="107">
        <f>IF(SeilBeregnet=0,EK143,Lwl^EK$3)</f>
        <v>1.8171097400544527</v>
      </c>
      <c r="EL144" s="107">
        <f>IF(SeilBeregnet=0,EL143,((Loa+Lwl)/Bredde)^EL$3)</f>
        <v>1.9766809010747364</v>
      </c>
      <c r="EM144" s="107">
        <f t="shared" si="1211"/>
        <v>1.2566068792216925</v>
      </c>
      <c r="EO144" s="107">
        <f>IF(SeilBeregnet=0,EO143,(EP144*EQ144)^EO$3)</f>
        <v>7.0080747641967847</v>
      </c>
      <c r="EP144" s="107">
        <f>IF(SeilBeregnet=0,EP143,SeilBeregnet^0.5/Depl^0.33333)</f>
        <v>4.2036263368093163</v>
      </c>
      <c r="EQ144" s="107">
        <f>IF(SeilBeregnet=0,EQ143,((Loa+Lwl)/Bredde)^EQ$3)</f>
        <v>1.6671497898921559</v>
      </c>
      <c r="ER144" s="107">
        <f>IF(SeilBeregnet=0,ER143,Lwl^ER$3)</f>
        <v>1.5650845800732873</v>
      </c>
      <c r="ES144" s="107">
        <f t="shared" si="1212"/>
        <v>1.2663968052394605</v>
      </c>
      <c r="EU144" s="107">
        <f>IF(SeilBeregnet=0,EU143,(EV:EV*EW:EW)^EU$3)</f>
        <v>2.1160720792605003</v>
      </c>
      <c r="EV144" s="107">
        <f>IF(SeilBeregnet=0,EV143,SeilBeregnet^0.5/Depl^0.33333)</f>
        <v>4.2036263368093163</v>
      </c>
      <c r="EW144" s="107">
        <f>IF(SeilBeregnet=0,EW143,((Loa+Lwl)/Bredde/6)^EW$3)</f>
        <v>1.0652138619972149</v>
      </c>
      <c r="EX144" s="107">
        <f>IF(SeilBeregnet=0,EX143,(Lwl*0.7+Loa*0.3)^EX$3)</f>
        <v>1.6286059811921878</v>
      </c>
      <c r="EY144" s="107">
        <f t="shared" si="1213"/>
        <v>1.1588179600639084</v>
      </c>
      <c r="FA144" s="107">
        <f t="shared" si="1214"/>
        <v>2.1160940806158104</v>
      </c>
      <c r="FB144" s="107">
        <f>IF(SeilBeregnet=0,FB143,SeilBeregnet^0.5/Depl^0.3333)</f>
        <v>4.2037137496704666</v>
      </c>
      <c r="FC144" s="107">
        <f>IF(SeilBeregnet=0,FC143,((Loa+Lwl)/Bredde/6)^FC$3)</f>
        <v>1.0652138619972149</v>
      </c>
      <c r="FD144" s="107">
        <f>IF(SeilBeregnet=0,FD143,(Lwl*0.7+Loa*0.3)^FD$3)</f>
        <v>1.6286059811921878</v>
      </c>
      <c r="FE144" s="107">
        <f t="shared" si="1215"/>
        <v>1.3020144322019049</v>
      </c>
      <c r="FF144" s="141" t="str">
        <f t="shared" si="1216"/>
        <v>-</v>
      </c>
      <c r="FG144" s="107">
        <f t="shared" si="1217"/>
        <v>4.7698723211218645</v>
      </c>
      <c r="FH144" s="133">
        <f>IF(SeilBeregnet=0,FH143,(SeilBeregnet^0.5/(Depl^0.3333))^FH$3)</f>
        <v>4.2037137496704666</v>
      </c>
      <c r="FI144" s="133">
        <f>IF(SeilBeregnet=0,FI143,((Loa+Lwl)/Bredde/6)^FI$3)</f>
        <v>1.1346805717910216</v>
      </c>
      <c r="FJ144" s="107">
        <f>IF(SeilBeregnet=0,FJ143,(Lwl*0.07+Loa*0.03)^FJ$3)</f>
        <v>0.91583244567654365</v>
      </c>
      <c r="FK144" s="107">
        <f t="shared" si="1218"/>
        <v>1.259039815940584</v>
      </c>
      <c r="FL144" s="141" t="str">
        <f t="shared" si="1219"/>
        <v>-</v>
      </c>
      <c r="FM144" s="107">
        <f t="shared" si="1220"/>
        <v>6.7601244400565736</v>
      </c>
      <c r="FN144" s="133">
        <f>IF(SeilBeregnet=0,FN143,(SeilBeregnet^0.5/(Depl^0.3333))^FN$3)</f>
        <v>4.2037137496704666</v>
      </c>
      <c r="FO144" s="133">
        <f>IF(SeilBeregnet=0,FO143,(SeilBeregnet^0.5/Lwl*FO$7)^FO$3)</f>
        <v>0.88270417845769078</v>
      </c>
      <c r="FP144" s="133">
        <f>IF(SeilBeregnet=0,FP143,((Loa)/Bredde)^FP$3*FP$7)</f>
        <v>2.1737065119284158</v>
      </c>
      <c r="FQ144" s="107">
        <f>IF(SeilBeregnet=0,FQ143,(Lwl)^FQ$3)</f>
        <v>1.5650845800732873</v>
      </c>
      <c r="FR144" s="107">
        <f t="shared" si="1221"/>
        <v>1.315937133269679</v>
      </c>
      <c r="FS144" s="141" t="str">
        <f t="shared" si="1222"/>
        <v>-</v>
      </c>
      <c r="FT144" s="107">
        <f t="shared" si="1223"/>
        <v>9.1376399519417113</v>
      </c>
      <c r="FU144" s="133">
        <f>IF(SeilBeregnet=0,FU143,(SeilBeregnet^0.5/(Depl^0.3333))^FU$3)</f>
        <v>4.2037137496704666</v>
      </c>
      <c r="FV144" s="133">
        <f>IF(SeilBeregnet=0,FV143,(Loa/Bredde)^FV$3)</f>
        <v>2.1737065119284158</v>
      </c>
      <c r="FW144" s="107">
        <f>IF(SeilBeregnet=0,FW143,Lwl^FW$3)</f>
        <v>1.5650845800732873</v>
      </c>
      <c r="FY144" s="336">
        <v>1</v>
      </c>
      <c r="FZ144" s="62">
        <f t="shared" si="711"/>
        <v>1.2263020872787773</v>
      </c>
      <c r="GA144" s="62">
        <f t="shared" si="712"/>
        <v>2</v>
      </c>
      <c r="GB144" s="107">
        <f t="shared" si="1270"/>
        <v>0</v>
      </c>
      <c r="GC144" s="440"/>
      <c r="GD144" s="17"/>
      <c r="GE144" s="442"/>
      <c r="GF144" s="462"/>
      <c r="GG144" s="17"/>
      <c r="GH144" s="17"/>
      <c r="GI144" s="17"/>
      <c r="GJ144" s="17"/>
      <c r="GL144" s="17"/>
      <c r="GM144" s="442"/>
      <c r="GN144" s="8"/>
      <c r="GO144" s="8"/>
      <c r="GP144" s="8"/>
      <c r="GQ144" s="8"/>
      <c r="GS144" s="17"/>
      <c r="GT144" s="17"/>
      <c r="GU144" s="17"/>
      <c r="GV144" s="629"/>
      <c r="GW144" s="17"/>
      <c r="GX144" s="17"/>
      <c r="GY144" s="17"/>
      <c r="GZ144" s="17"/>
    </row>
    <row r="145" spans="1:208" ht="15.6" x14ac:dyDescent="0.3">
      <c r="A145" s="52" t="s">
        <v>79</v>
      </c>
      <c r="B145" s="218">
        <f t="shared" ref="B145" si="1296">Loa/0.3048</f>
        <v>42.84776902887139</v>
      </c>
      <c r="C145" s="53" t="s">
        <v>38</v>
      </c>
      <c r="D145" s="53"/>
      <c r="E145" s="53"/>
      <c r="F145" s="53"/>
      <c r="G145" s="54"/>
      <c r="H145" s="112">
        <f>J146</f>
        <v>86.7</v>
      </c>
      <c r="I145" s="601">
        <f>H146/100</f>
        <v>1.575</v>
      </c>
      <c r="J145" s="651">
        <f>IF(DC146=0,"-",DC146)</f>
        <v>1.49</v>
      </c>
      <c r="K145" s="123" t="str">
        <f>A145</f>
        <v>CARMEN IV</v>
      </c>
      <c r="L145" s="116"/>
      <c r="M145" s="116"/>
      <c r="N145" s="92"/>
      <c r="O145" s="165"/>
      <c r="P145" s="165"/>
      <c r="Q145" s="165"/>
      <c r="R145" s="165"/>
      <c r="S145" s="165"/>
      <c r="T145" s="165"/>
      <c r="U145" s="165">
        <v>36.1</v>
      </c>
      <c r="V145" s="559"/>
      <c r="W145" s="559"/>
      <c r="X145" s="165"/>
      <c r="Y145" s="165"/>
      <c r="Z145" s="165"/>
      <c r="AA145" s="165"/>
      <c r="AB145" s="165"/>
      <c r="AC145" s="165"/>
      <c r="AD145" s="165"/>
      <c r="AE145" s="165">
        <v>50.6</v>
      </c>
      <c r="AF145" s="165"/>
      <c r="AG145" s="552"/>
      <c r="AH145" s="241">
        <f>Loa*1.1</f>
        <v>14.366000000000001</v>
      </c>
      <c r="AI145" s="241">
        <f>Loa*1.1</f>
        <v>14.366000000000001</v>
      </c>
      <c r="AJ145" s="554"/>
      <c r="AK145" s="339"/>
      <c r="AL145" s="268"/>
      <c r="AM145" s="339"/>
      <c r="AN145" s="268" t="s">
        <v>214</v>
      </c>
      <c r="AO145" s="45">
        <f>VLOOKUP(AN145,Skrogform!$1:$1048576,3,FALSE)</f>
        <v>1</v>
      </c>
      <c r="AP145" s="55">
        <v>13.06</v>
      </c>
      <c r="AQ145" s="55">
        <v>9.24</v>
      </c>
      <c r="AR145" s="55">
        <v>2.65</v>
      </c>
      <c r="AS145" s="55">
        <v>2</v>
      </c>
      <c r="AT145" s="637">
        <f>AU145</f>
        <v>8</v>
      </c>
      <c r="AU145" s="55">
        <v>8</v>
      </c>
      <c r="AV145" s="55">
        <v>4</v>
      </c>
      <c r="AW145" s="55"/>
      <c r="AX145" s="253"/>
      <c r="AY145" s="253"/>
      <c r="AZ145" s="253">
        <v>200</v>
      </c>
      <c r="BA145" s="253"/>
      <c r="BB145" s="253"/>
      <c r="BC145" s="244">
        <f>Depl+Diesel/1000*0.84+Vann/1000</f>
        <v>8</v>
      </c>
      <c r="BD145" s="95">
        <f>Bredde/(Loa+Lwl)*2</f>
        <v>0.23766816143497757</v>
      </c>
      <c r="BE145" s="95">
        <f>(Kjøl+Ballast)/Depl</f>
        <v>0.5</v>
      </c>
      <c r="BF145" s="260">
        <f>BF$7*((Depl-Kjøl-Ballast-VektMotor/1000-VektAnnet/1000)/Lwl/Lwl/Bredde)</f>
        <v>0.63383089452680241</v>
      </c>
      <c r="BG145" s="95">
        <f>BG$7*(Depl/Loa/Lwl/Lwl)</f>
        <v>0.52797955145760467</v>
      </c>
      <c r="BH145" s="174">
        <f>BH$7*(Depl/Loa/Lwl/Bredde)</f>
        <v>0.68048022941258801</v>
      </c>
      <c r="BI145" s="95">
        <f>BI$7*Bredde/(Loa+Lwl)*2</f>
        <v>0.67799315299676932</v>
      </c>
      <c r="BJ145" s="95">
        <f>BJ$7*(Dypg/Lwl)</f>
        <v>1.1838885751929229</v>
      </c>
      <c r="BK145" s="56" t="s">
        <v>21</v>
      </c>
      <c r="BL145" s="268">
        <v>2</v>
      </c>
      <c r="BM145" s="268">
        <v>40</v>
      </c>
      <c r="BN145" s="45">
        <f>IF((BK145="Fast"),(1.006248-(0.06415*((BM145/100*SQRT(BL145))/POWER(AU145,(1/3))))),1)</f>
        <v>1</v>
      </c>
      <c r="BO145" s="59"/>
      <c r="BP145" s="59"/>
      <c r="BR145" s="209"/>
      <c r="BS145" s="209"/>
      <c r="BT145" s="209" t="str">
        <f>$A145</f>
        <v>CARMEN IV</v>
      </c>
      <c r="BU145" s="10"/>
      <c r="BV145" s="10"/>
      <c r="BW145" s="10"/>
      <c r="BX145" s="10"/>
      <c r="BY145" s="549"/>
      <c r="BZ145" s="10"/>
      <c r="CA145" s="10"/>
      <c r="CB145" s="209" t="str">
        <f>$A145</f>
        <v>CARMEN IV</v>
      </c>
      <c r="CC145" s="10"/>
      <c r="CD145" s="10"/>
      <c r="CE145" s="10"/>
      <c r="CF145" s="10"/>
      <c r="CG145" s="10"/>
      <c r="CH145" s="10"/>
      <c r="CI145" s="10"/>
      <c r="CJ145" s="10"/>
      <c r="CK145" s="10"/>
      <c r="CL145" s="209"/>
      <c r="CM145" s="10"/>
      <c r="CN145" s="209" t="str">
        <f>$A145</f>
        <v>CARMEN IV</v>
      </c>
      <c r="CO145" s="207"/>
      <c r="CP145" s="207"/>
      <c r="CQ145" s="116"/>
      <c r="CR145" s="207"/>
      <c r="CS145" s="203"/>
      <c r="CT145" s="203" t="s">
        <v>23</v>
      </c>
      <c r="CU145" s="107" t="str">
        <f t="shared" si="1267"/>
        <v>-</v>
      </c>
      <c r="CV145" s="62" t="str">
        <f t="shared" ref="CV145:CV311" si="1297">IF(SeilBeregnet=0,"-",(SeilBeregnet)^(1/2)*StHfaktor/(Depl+DeplTillegg/1000+Vann/1000+Diesel/1000*0.84)^(1/3))</f>
        <v>-</v>
      </c>
      <c r="CW145" s="62" t="str">
        <f t="shared" si="1268"/>
        <v>-</v>
      </c>
      <c r="CX145" s="62" t="str">
        <f t="shared" ref="CX145:CX311" si="1298">IF(SeilBeregnet=0,"-",(Lwl)^(1/CX$7))</f>
        <v>-</v>
      </c>
      <c r="CY145" s="107" t="str">
        <f t="shared" si="1269"/>
        <v>-</v>
      </c>
      <c r="CZ145" s="168" t="str">
        <f>IF(DA145=0,"-",IF(CP145="TBF","-",CZ$7*DA145))</f>
        <v>-</v>
      </c>
      <c r="DA145" s="158"/>
      <c r="DB145" s="168" t="str">
        <f>IF(DC145=0,"-",IF(CT145="TBF","-",DB$7*DC145))</f>
        <v>-</v>
      </c>
      <c r="DC145" s="160">
        <v>1.49</v>
      </c>
      <c r="DD145" s="190" t="s">
        <v>134</v>
      </c>
      <c r="DE145" s="29" t="s">
        <v>23</v>
      </c>
      <c r="DF145" s="29" t="s">
        <v>23</v>
      </c>
      <c r="DG145" s="29" t="s">
        <v>23</v>
      </c>
      <c r="DH145" s="149">
        <v>2022</v>
      </c>
      <c r="DI145" s="62" t="str">
        <f t="shared" ref="DI145:DI311" si="1299">IF(SeilBeregnet=0,"-",((Dypg/(Lwl+DI$6-Bredde*DI$5))^(1/DI$4)*5)*DI$3*DI$7)</f>
        <v>-</v>
      </c>
      <c r="DJ145" s="47">
        <f t="shared" ref="DJ145:DJ311" si="1300">(Dypg/(Lwl+Bredde+DJ$8)*100)</f>
        <v>15.51590380139643</v>
      </c>
      <c r="DK145" s="48">
        <f>DJ$7*IF(DJ145&lt;DJ$5,-0.04,IF(DJ145&lt;DJ$5*1.1,-0.03,IF(DJ145&lt;DJ$5*1.2,-0.02,IF(DJ145&lt;DJ$5*1.3,-0.01,0))))</f>
        <v>0</v>
      </c>
      <c r="DM145" s="107" t="str">
        <f t="shared" si="1201"/>
        <v>-</v>
      </c>
      <c r="DN145" s="141" t="str">
        <f>IF($DY145=0,"-",(DM145-$DW145)*100)</f>
        <v>-</v>
      </c>
      <c r="DO145" s="107">
        <f>SUM(DP145:DS145)^DO$3+DO$7</f>
        <v>6.048976612359608</v>
      </c>
      <c r="DP145" s="133">
        <f>IF(SeilBeregnet=0,DP157,(SeilBeregnet^0.5/(Depl^0.3333))^DP$3*DP$7)</f>
        <v>3.9980379964207486</v>
      </c>
      <c r="DQ145" s="133">
        <f>IF(SeilBeregnet=0,DQ157,(SeilBeregnet^0.5/Lwl)^DQ$3*DQ$7)</f>
        <v>0</v>
      </c>
      <c r="DR145" s="133">
        <f>IF(SeilBeregnet=0,DR157,(0.1*Loa/Depl^0.3333)^DR$3*DR$7)</f>
        <v>0</v>
      </c>
      <c r="DS145" s="133">
        <f>IF(SeilBeregnet=0,DS157,((Loa)/Bredde)^DS$3*DS$7)</f>
        <v>2.0509386159388598</v>
      </c>
      <c r="DT145" s="107">
        <f>IF(SeilBeregnet=0,DT157,(Lwl)^DT$3)</f>
        <v>1.8962676285991491</v>
      </c>
      <c r="DU145" s="133">
        <f>IF(SeilBeregnet=0,DU157,(Dypg/Loa)^DU$3*5*DU$7)</f>
        <v>2.0412414523193152</v>
      </c>
      <c r="DW145" s="107" t="str">
        <f t="shared" si="1241"/>
        <v>-</v>
      </c>
      <c r="DX145" s="107" t="str">
        <f t="shared" ref="DX145:DX311" si="1301">IF(SeilBeregnet=0,"-",DX$7*(DX$4*SeilBeregnet^0.5/(Depl^0.33333*Bredde*Lwl)^0.3333*((Loa*0.03+Lwl*0.07)^0.33)*PropF+DX$6)+ErfaringsF+Dyp_F)</f>
        <v>-</v>
      </c>
      <c r="DZ145" s="107" t="str">
        <f t="shared" ref="DZ145:DZ311" si="1302">IF(SeilBeregnet=0,"-",DZ$7*(DZ$4*SeilBeregnet^0.5/(Depl^0.33333*Bredde*Lwl)^0.3333*Lwl^0.3333*((Loa+Lwl)/Bredde/6)^0.25*PropF+DZ$6)+ErfaringsF+Dyp_F)</f>
        <v>-</v>
      </c>
      <c r="EA145" s="122" t="str">
        <f>IF($DY145=0,"-",DZ145-$DW145)</f>
        <v>-</v>
      </c>
      <c r="EB145" s="107" t="str">
        <f>IF(SeilBeregnet=0,"-",EB$7*(EB$4*ED145*EE145*EF145*PropF+EB$6)+ErfaringsF+Dyp_F)</f>
        <v>-</v>
      </c>
      <c r="EC145" s="122" t="str">
        <f>IF($DY145=0,"-",EB145-$DW145)</f>
        <v>-</v>
      </c>
      <c r="ED145" s="107">
        <f>IF(SeilBeregnet=0,ED157,SeilBeregnet^0.5/Depl^0.33333)</f>
        <v>3.9976871468230688</v>
      </c>
      <c r="EE145" s="107">
        <f>IF(SeilBeregnet=0,EE157,Lwl^0.3333)</f>
        <v>2.346906502982169</v>
      </c>
      <c r="EF145" s="107">
        <f>IF(SeilBeregnet=0,EF157,((Loa+Lwl)/Bredde)^EF$3)</f>
        <v>1.6618361831906654</v>
      </c>
      <c r="EH145" s="107" t="str">
        <f>IF(SeilBeregnet=0,"-",EH$7*(EH$4*EJ145*EK145*EL145*PropF+EH$6)+ErfaringsF+Dyp_F)</f>
        <v>-</v>
      </c>
      <c r="EJ145" s="107">
        <f>IF(SeilBeregnet=0,EJ157,SeilBeregnet^0.5/Depl^0.33333)</f>
        <v>3.9976871468230688</v>
      </c>
      <c r="EK145" s="107">
        <f>IF(SeilBeregnet=0,EK157,Lwl^EK$3)</f>
        <v>2.3470867206509878</v>
      </c>
      <c r="EL145" s="107">
        <f>IF(SeilBeregnet=0,EL157,((Loa+Lwl)/Bredde)^EL$3)</f>
        <v>1.9682859953710667</v>
      </c>
      <c r="EM145" s="107" t="str">
        <f>IF(SeilBeregnet=0,"-",EM$7*(EM$4*EO145+EM$6)*ER145*PropF+ErfaringsF+Dyp_F)</f>
        <v>-</v>
      </c>
      <c r="EO145" s="107">
        <f>IF(SeilBeregnet=0,EO157,(EP145*EQ145)^EO$3)</f>
        <v>6.6435011496668297</v>
      </c>
      <c r="EP145" s="107">
        <f>IF(SeilBeregnet=0,EP157,SeilBeregnet^0.5/Depl^0.33333)</f>
        <v>3.9976871468230688</v>
      </c>
      <c r="EQ145" s="107">
        <f>IF(SeilBeregnet=0,EQ157,((Loa+Lwl)/Bredde)^EQ$3)</f>
        <v>1.6618361831906654</v>
      </c>
      <c r="ER145" s="107">
        <f>IF(SeilBeregnet=0,ER157,Lwl^ER$3)</f>
        <v>1.8962676285991491</v>
      </c>
      <c r="ES145" s="107" t="str">
        <f t="shared" si="1212"/>
        <v>-</v>
      </c>
      <c r="EU145" s="107">
        <f>IF(SeilBeregnet=0,EU157,(EV:EV*EW:EW)^EU$3)</f>
        <v>2.0602959126377463</v>
      </c>
      <c r="EV145" s="107">
        <f>IF(SeilBeregnet=0,EV157,SeilBeregnet^0.5/Depl^0.33333)</f>
        <v>3.9976871468230688</v>
      </c>
      <c r="EW145" s="107">
        <f>IF(SeilBeregnet=0,EW157,((Loa+Lwl)/Bredde/6)^EW$3)</f>
        <v>1.0618187696366208</v>
      </c>
      <c r="EX145" s="107">
        <f>IF(SeilBeregnet=0,EX157,(Lwl*0.7+Loa*0.3)^EX$3)</f>
        <v>1.928123583877269</v>
      </c>
      <c r="EY145" s="107" t="str">
        <f t="shared" si="1213"/>
        <v>-</v>
      </c>
      <c r="FA145" s="107">
        <f t="shared" si="1214"/>
        <v>2.0603863196788947</v>
      </c>
      <c r="FB145" s="107">
        <f>IF(SeilBeregnet=0,FB157,SeilBeregnet^0.5/Depl^0.3333)</f>
        <v>3.9980379964207486</v>
      </c>
      <c r="FC145" s="107">
        <f>IF(SeilBeregnet=0,FC157,((Loa+Lwl)/Bredde/6)^FC$3)</f>
        <v>1.0618187696366208</v>
      </c>
      <c r="FD145" s="107">
        <f>IF(SeilBeregnet=0,FD157,(Lwl*0.7+Loa*0.3)^FD$3)</f>
        <v>1.928123583877269</v>
      </c>
      <c r="FE145" s="107" t="str">
        <f t="shared" si="1215"/>
        <v>-</v>
      </c>
      <c r="FF145" s="141" t="str">
        <f>IF($DY145=0,"-",(FE145-$DW145)*100)</f>
        <v>-</v>
      </c>
      <c r="FG145" s="107">
        <f t="shared" si="1217"/>
        <v>4.5076243194217271</v>
      </c>
      <c r="FH145" s="133">
        <f>IF(SeilBeregnet=0,FH157,(SeilBeregnet^0.5/(Depl^0.3333))^FH$3)</f>
        <v>3.9980379964207486</v>
      </c>
      <c r="FI145" s="133">
        <f>IF(SeilBeregnet=0,FI157,((Loa+Lwl)/Bredde/6)^FI$3)</f>
        <v>1.1274590995526272</v>
      </c>
      <c r="FJ145" s="107">
        <f>IF(SeilBeregnet=0,FJ157,(Lwl*0.07+Loa*0.03)^FJ$3)</f>
        <v>1.0842635712883086</v>
      </c>
      <c r="FK145" s="107" t="str">
        <f t="shared" si="1218"/>
        <v>-</v>
      </c>
      <c r="FL145" s="141" t="str">
        <f>IF($DY145=0,"-",(FK145-$DW145)*100)</f>
        <v>-</v>
      </c>
      <c r="FM145" s="107">
        <f t="shared" si="1220"/>
        <v>6.3687390478886954</v>
      </c>
      <c r="FN145" s="133">
        <f>IF(SeilBeregnet=0,FN157,(SeilBeregnet^0.5/(Depl^0.3333))^FN$3)</f>
        <v>3.9980379964207486</v>
      </c>
      <c r="FO145" s="133">
        <f>IF(SeilBeregnet=0,FO157,(SeilBeregnet^0.5/Lwl*FO$7)^FO$3)</f>
        <v>0.81976243552908623</v>
      </c>
      <c r="FP145" s="133">
        <f>IF(SeilBeregnet=0,FP157,((Loa)/Bredde)^FP$3*FP$7)</f>
        <v>2.0509386159388598</v>
      </c>
      <c r="FQ145" s="107">
        <f>IF(SeilBeregnet=0,FQ157,(Lwl)^FQ$3)</f>
        <v>1.8962676285991491</v>
      </c>
      <c r="FR145" s="107" t="str">
        <f t="shared" si="1221"/>
        <v>-</v>
      </c>
      <c r="FS145" s="141" t="str">
        <f>IF($DY145=0,"-",(FR145-$DW145)*100)</f>
        <v>-</v>
      </c>
      <c r="FT145" s="107">
        <f t="shared" si="1223"/>
        <v>8.1997305148501418</v>
      </c>
      <c r="FU145" s="133">
        <f>IF(SeilBeregnet=0,FU157,(SeilBeregnet^0.5/(Depl^0.3333))^FU$3)</f>
        <v>3.9980379964207486</v>
      </c>
      <c r="FV145" s="133">
        <f>IF(SeilBeregnet=0,FV157,(Loa/Bredde)^FV$3)</f>
        <v>2.0509386159388598</v>
      </c>
      <c r="FW145" s="107">
        <f>IF(SeilBeregnet=0,FW157,Lwl^FW$3)</f>
        <v>1.8962676285991491</v>
      </c>
      <c r="FY145" s="336">
        <v>1</v>
      </c>
      <c r="FZ145" s="62" t="str">
        <f>IF(SeilBeregnet=0,"-",0.06*2.43^(1/2)*(SeilBeregnet^(1/2)/Depl^(1/3)+(Loa/Bredde)^(1/2)+GA145)*Lwl^(1/4)*FY145)</f>
        <v>-</v>
      </c>
      <c r="GA145" s="62">
        <f t="shared" ref="GA145:GA311" si="1303">IF(Dypg=0,GA$6,5*(Dypg/Loa)^(1/2))</f>
        <v>1.9566512004870806</v>
      </c>
      <c r="GB145" s="107" t="str">
        <f t="shared" si="1270"/>
        <v>-</v>
      </c>
      <c r="GC145" s="441" t="s">
        <v>458</v>
      </c>
      <c r="GD145" s="57" t="s">
        <v>1002</v>
      </c>
      <c r="GE145" s="436" t="s">
        <v>1003</v>
      </c>
      <c r="GF145" s="75"/>
      <c r="GG145" s="57"/>
      <c r="GH145" s="57" t="s">
        <v>1004</v>
      </c>
      <c r="GI145" s="57" t="s">
        <v>416</v>
      </c>
      <c r="GJ145" s="57" t="s">
        <v>867</v>
      </c>
      <c r="GL145" s="57" t="s">
        <v>80</v>
      </c>
      <c r="GM145" s="436" t="s">
        <v>866</v>
      </c>
      <c r="GN145" s="58"/>
      <c r="GO145" s="58"/>
      <c r="GP145" s="58" t="s">
        <v>864</v>
      </c>
      <c r="GQ145" s="58" t="s">
        <v>478</v>
      </c>
      <c r="GS145" s="57" t="s">
        <v>208</v>
      </c>
      <c r="GT145" s="57" t="s">
        <v>865</v>
      </c>
      <c r="GU145" s="57" t="s">
        <v>842</v>
      </c>
      <c r="GV145" s="632" t="s">
        <v>843</v>
      </c>
      <c r="GW145" s="57">
        <v>1914</v>
      </c>
      <c r="GX145" s="57" t="s">
        <v>431</v>
      </c>
      <c r="GY145" s="57" t="s">
        <v>438</v>
      </c>
      <c r="GZ145" s="57"/>
    </row>
    <row r="146" spans="1:208" ht="15.6" x14ac:dyDescent="0.3">
      <c r="A146" s="60" t="s">
        <v>231</v>
      </c>
      <c r="B146" s="218"/>
      <c r="C146" s="61" t="str">
        <f>C145</f>
        <v>Bermuda</v>
      </c>
      <c r="D146" s="61"/>
      <c r="E146" s="61"/>
      <c r="F146" s="61"/>
      <c r="G146" s="54"/>
      <c r="H146" s="204">
        <f>IF(StH=0,0,TBFavrundet)</f>
        <v>157.5</v>
      </c>
      <c r="I146" s="63">
        <f>COUNTA(O146:AG146)</f>
        <v>2</v>
      </c>
      <c r="J146" s="222">
        <f>SUM(O146:AG146)</f>
        <v>86.7</v>
      </c>
      <c r="K146" s="116">
        <f>Seilareal/Depl^0.667/K$7</f>
        <v>2.0073062860167923</v>
      </c>
      <c r="L146" s="116">
        <f>Seilareal/Lwl/Lwl/L$7</f>
        <v>1.5408207870043731</v>
      </c>
      <c r="M146" s="92">
        <f>RiggF</f>
        <v>0.97081891580161472</v>
      </c>
      <c r="N146" s="242">
        <f>StHfaktor</f>
        <v>1.0567152776518804</v>
      </c>
      <c r="O146" s="143"/>
      <c r="P146" s="143"/>
      <c r="Q146" s="143"/>
      <c r="R146" s="143"/>
      <c r="S146" s="143"/>
      <c r="T146" s="143"/>
      <c r="U146" s="165">
        <v>36.1</v>
      </c>
      <c r="V146" s="559"/>
      <c r="W146" s="559"/>
      <c r="X146" s="143"/>
      <c r="Y146" s="143"/>
      <c r="Z146" s="143"/>
      <c r="AA146" s="143"/>
      <c r="AB146" s="143"/>
      <c r="AC146" s="143"/>
      <c r="AD146" s="143"/>
      <c r="AE146" s="165">
        <v>50.6</v>
      </c>
      <c r="AF146" s="143"/>
      <c r="AG146" s="551"/>
      <c r="AH146" s="557">
        <f t="shared" ref="AH146:AI146" si="1304">AH145</f>
        <v>14.366000000000001</v>
      </c>
      <c r="AI146" s="557">
        <f t="shared" si="1304"/>
        <v>14.366000000000001</v>
      </c>
      <c r="AJ146" s="337">
        <f t="shared" ref="AJ146:AL146" si="1305" xml:space="preserve"> AJ145</f>
        <v>0</v>
      </c>
      <c r="AK146" s="339"/>
      <c r="AL146" s="337">
        <f t="shared" si="1305"/>
        <v>0</v>
      </c>
      <c r="AM146" s="339"/>
      <c r="AN146" s="267" t="str">
        <f t="shared" ref="AN146" si="1306" xml:space="preserve"> AN145</f>
        <v>Meter</v>
      </c>
      <c r="AO146" s="45">
        <f>VLOOKUP(AN146,Skrogform!$1:$1048576,3,FALSE)</f>
        <v>1</v>
      </c>
      <c r="AP146" s="64">
        <f t="shared" ref="AP146:AZ146" si="1307">AP145</f>
        <v>13.06</v>
      </c>
      <c r="AQ146" s="64">
        <f t="shared" si="1307"/>
        <v>9.24</v>
      </c>
      <c r="AR146" s="64">
        <f t="shared" si="1307"/>
        <v>2.65</v>
      </c>
      <c r="AS146" s="64">
        <f t="shared" si="1307"/>
        <v>2</v>
      </c>
      <c r="AT146" s="64">
        <f t="shared" ref="AT146" si="1308">AT145</f>
        <v>8</v>
      </c>
      <c r="AU146" s="64">
        <f t="shared" si="1307"/>
        <v>8</v>
      </c>
      <c r="AV146" s="64">
        <f t="shared" si="1307"/>
        <v>4</v>
      </c>
      <c r="AW146" s="64">
        <f t="shared" si="1307"/>
        <v>0</v>
      </c>
      <c r="AX146" s="256">
        <f>AX145</f>
        <v>0</v>
      </c>
      <c r="AY146" s="256">
        <f t="shared" si="1307"/>
        <v>0</v>
      </c>
      <c r="AZ146" s="256">
        <f t="shared" si="1307"/>
        <v>200</v>
      </c>
      <c r="BA146" s="256">
        <f t="shared" ref="BA146:BB146" si="1309">BA145</f>
        <v>0</v>
      </c>
      <c r="BB146" s="256">
        <f t="shared" si="1309"/>
        <v>0</v>
      </c>
      <c r="BC146" s="256"/>
      <c r="BD146" s="66"/>
      <c r="BE146" s="66"/>
      <c r="BF146" s="261"/>
      <c r="BG146" s="66"/>
      <c r="BH146" s="175"/>
      <c r="BI146" s="66"/>
      <c r="BJ146" s="66"/>
      <c r="BK146" s="65" t="str">
        <f t="shared" ref="BK146:BM146" si="1310" xml:space="preserve"> BK145</f>
        <v>Seilrett</v>
      </c>
      <c r="BL146" s="267">
        <f t="shared" si="1310"/>
        <v>2</v>
      </c>
      <c r="BM146" s="267">
        <f t="shared" si="1310"/>
        <v>40</v>
      </c>
      <c r="BN146" s="45">
        <f>IF((BK146="Fast"),(1.006248-(0.06415*((BM146/100*SQRT(BL146))/POWER(AU146,(1/3))))),1)</f>
        <v>1</v>
      </c>
      <c r="BO146" s="59"/>
      <c r="BP146" s="59"/>
      <c r="BR146" s="49">
        <f t="shared" ref="BR146:BX146" si="1311">IF(O146=0,0,O146*BR$9)</f>
        <v>0</v>
      </c>
      <c r="BS146" s="49">
        <f t="shared" si="1311"/>
        <v>0</v>
      </c>
      <c r="BT146" s="49">
        <f t="shared" si="1311"/>
        <v>0</v>
      </c>
      <c r="BU146" s="49">
        <f t="shared" si="1311"/>
        <v>0</v>
      </c>
      <c r="BV146" s="49">
        <f t="shared" si="1311"/>
        <v>0</v>
      </c>
      <c r="BW146" s="49">
        <f t="shared" si="1311"/>
        <v>0</v>
      </c>
      <c r="BX146" s="49">
        <f t="shared" si="1311"/>
        <v>36.1</v>
      </c>
      <c r="BY146" s="549">
        <f>IF(COUNT(Q146:U146)&gt;1,MINA(Q146:U146)*BY$9,0)</f>
        <v>0</v>
      </c>
      <c r="BZ146" s="85">
        <f>IF(V146=0,0,V146*BZ$9)</f>
        <v>0</v>
      </c>
      <c r="CA146" s="85">
        <f>IF(W146=0,0,W146*CA$9)</f>
        <v>0</v>
      </c>
      <c r="CB146" s="85">
        <f>IF(X146=0,0,X146*CB$9)</f>
        <v>0</v>
      </c>
      <c r="CC146" s="85">
        <f>IF(Y146=0,0,Y146*CC$9)</f>
        <v>0</v>
      </c>
      <c r="CD146" s="85">
        <f>IF(Z146=0,0,Z146*CD$9)</f>
        <v>0</v>
      </c>
      <c r="CE146" s="85">
        <f>IF(AC146=0,0,AC146*CE$9)</f>
        <v>0</v>
      </c>
      <c r="CF146" s="85">
        <f>IF(AA146=0,0,AA146*CF$9)</f>
        <v>0</v>
      </c>
      <c r="CG146" s="85">
        <f>IF(AB146=0,0,AB146*CG$9)</f>
        <v>0</v>
      </c>
      <c r="CH146" s="85">
        <f>IF(AD146=0,0,AD146*CH$9)</f>
        <v>0</v>
      </c>
      <c r="CI146" s="85">
        <f>IF(AE146=0,0,AE146*CI$9)</f>
        <v>48.07</v>
      </c>
      <c r="CJ146" s="85">
        <f>IF(AF146=0,0,AF146*CJ$9)</f>
        <v>0</v>
      </c>
      <c r="CK146" s="85">
        <f>IF(AG146=0,0,AG146*CK$9)</f>
        <v>0</v>
      </c>
      <c r="CL146" s="100">
        <f>SUM(BR146:CK146)</f>
        <v>84.17</v>
      </c>
      <c r="CM146" s="50"/>
      <c r="CN146" s="104">
        <f>J146</f>
        <v>86.7</v>
      </c>
      <c r="CO146" s="101">
        <f>CL146/CN146</f>
        <v>0.97081891580161472</v>
      </c>
      <c r="CP146" s="51">
        <f>Seilareal/Lwl/Lwl</f>
        <v>1.0154888401641649</v>
      </c>
      <c r="CQ146" s="116">
        <f>Seilareal/Depl^0.667/K$7</f>
        <v>2.0073062860167923</v>
      </c>
      <c r="CR146" s="51">
        <f>Seilareal/Lwl/Lwl/SApRS1</f>
        <v>1.5408207870043731</v>
      </c>
      <c r="CS146" s="204"/>
      <c r="CT146" s="204">
        <f>(ROUND(TBF/CT$6,3)*CT$6)*CT$4</f>
        <v>157.5</v>
      </c>
      <c r="CU146" s="107">
        <f t="shared" si="1267"/>
        <v>1.5725208883937722</v>
      </c>
      <c r="CV146" s="62">
        <f t="shared" si="1297"/>
        <v>4.8076410250686941</v>
      </c>
      <c r="CW146" s="62">
        <f t="shared" si="1268"/>
        <v>2.0512306476384663</v>
      </c>
      <c r="CX146" s="62">
        <f t="shared" si="1298"/>
        <v>1.7434841068143216</v>
      </c>
      <c r="CY146" s="107">
        <f t="shared" si="1269"/>
        <v>1.0567152776518804</v>
      </c>
      <c r="CZ146" s="168" t="str">
        <f>IF(DA146=0,"-",IF(CP146="TBF","-",CZ$7*DA146))</f>
        <v>-</v>
      </c>
      <c r="DA146" s="159">
        <f>DA145</f>
        <v>0</v>
      </c>
      <c r="DB146" s="168">
        <f>IF(DC146=0,"-",IF(CT146="TBF","-",DB$7*DC146))</f>
        <v>1.3854385964912281</v>
      </c>
      <c r="DC146" s="159">
        <f>DC145</f>
        <v>1.49</v>
      </c>
      <c r="DD146" s="190" t="s">
        <v>134</v>
      </c>
      <c r="DE146" s="62">
        <v>1.22</v>
      </c>
      <c r="DF146" s="62">
        <v>1.08</v>
      </c>
      <c r="DG146" s="62">
        <v>1.24</v>
      </c>
      <c r="DH146" s="150">
        <v>1.29</v>
      </c>
      <c r="DI146" s="62">
        <f t="shared" si="1299"/>
        <v>2.1962598284315979</v>
      </c>
      <c r="DJ146" s="47">
        <f t="shared" si="1300"/>
        <v>15.51590380139643</v>
      </c>
      <c r="DK146" s="48">
        <f>DJ$7*IF(DJ146&lt;DJ$5,-0.04,IF(DJ146&lt;DJ$5*1.1,-0.03,IF(DJ146&lt;DJ$5*1.2,-0.02,IF(DJ146&lt;DJ$5*1.3,-0.01,0))))</f>
        <v>0</v>
      </c>
      <c r="DM146" s="107">
        <f t="shared" si="1201"/>
        <v>1.4717286131734517</v>
      </c>
      <c r="DN146" s="141">
        <f>IF($DY146=0,"-",(DM146-$DW146)*100)</f>
        <v>-10.079227522032053</v>
      </c>
      <c r="DO146" s="107">
        <f>SUM(DP146:DS146)^DO$3+DO$7</f>
        <v>6.8075063558692852</v>
      </c>
      <c r="DP146" s="133">
        <f>IF(SeilBeregnet=0,DP145,(SeilBeregnet^0.5/(Depl^0.3333))^DP$3*DP$7)</f>
        <v>4.5875284535485319</v>
      </c>
      <c r="DQ146" s="133">
        <f>IF(SeilBeregnet=0,DQ145,(SeilBeregnet^0.5/Lwl)^DQ$3*DQ$7)</f>
        <v>0</v>
      </c>
      <c r="DR146" s="133">
        <f>IF(SeilBeregnet=0,DR145,(0.1*Loa/Depl^0.3333)^DR$3*DR$7)</f>
        <v>0</v>
      </c>
      <c r="DS146" s="133">
        <f>IF(SeilBeregnet=0,DS145,((Loa)/Bredde)^DS$3*DS$7)</f>
        <v>2.2199779023207533</v>
      </c>
      <c r="DT146" s="107">
        <f>IF(SeilBeregnet=0,DT145,(Lwl)^DT$3)</f>
        <v>1.7434841068143216</v>
      </c>
      <c r="DU146" s="133">
        <f>IF(SeilBeregnet=0,DU145,(Dypg/Loa)^DU$3*5*DU$7)</f>
        <v>1.9566512004870806</v>
      </c>
      <c r="DW146" s="107">
        <f t="shared" si="1241"/>
        <v>1.5725208883937722</v>
      </c>
      <c r="DX146" s="107">
        <f t="shared" si="1301"/>
        <v>1.4848723886012622</v>
      </c>
      <c r="DY146" s="122">
        <f>DX146-DW146</f>
        <v>-8.7648499792509993E-2</v>
      </c>
      <c r="DZ146" s="107">
        <f t="shared" si="1302"/>
        <v>1.4660612985391468</v>
      </c>
      <c r="EA146" s="122">
        <f>IF($DY146=0,"-",DZ146-$DW146)</f>
        <v>-0.10645958985462545</v>
      </c>
      <c r="EB146" s="107">
        <f>IF(SeilBeregnet=0,"-",EB$7*(EB$4*ED146*EE146*EF146*PropF+EB$6)+ErfaringsF+Dyp_F)</f>
        <v>1.5544271866185766</v>
      </c>
      <c r="EC146" s="122">
        <f>IF($DY146=0,"-",EB146-$DW146)</f>
        <v>-1.8093701775195647E-2</v>
      </c>
      <c r="ED146" s="107">
        <f>IF(SeilBeregnet=0,ED145,SeilBeregnet^0.5/Depl^0.33333)</f>
        <v>4.5872422775577197</v>
      </c>
      <c r="EE146" s="107">
        <f>IF(SeilBeregnet=0,EE145,Lwl^0.3333)</f>
        <v>2.0982559726929519</v>
      </c>
      <c r="EF146" s="107">
        <f>IF(SeilBeregnet=0,EF145,((Loa+Lwl)/Bredde)^EF$3)</f>
        <v>1.7031964658974801</v>
      </c>
      <c r="EH146" s="107">
        <f>IF(SeilBeregnet=0,"-",EH$7*(EH$4*EJ146*EK146*EL146*PropF+EH$6)+ErfaringsF+Dyp_F)</f>
        <v>1.5403512233293541</v>
      </c>
      <c r="EJ146" s="107">
        <f>IF(SeilBeregnet=0,EJ145,SeilBeregnet^0.5/Depl^0.33333)</f>
        <v>4.5872422775577197</v>
      </c>
      <c r="EK146" s="107">
        <f>IF(SeilBeregnet=0,EK145,Lwl^EK$3)</f>
        <v>2.0983959441626494</v>
      </c>
      <c r="EL146" s="107">
        <f>IF(SeilBeregnet=0,EL145,((Loa+Lwl)/Bredde)^EL$3)</f>
        <v>2.033865179344414</v>
      </c>
      <c r="EM146" s="107">
        <f>IF(SeilBeregnet=0,"-",EM$7*(EM$4*EO146+EM$6)*ER146*PropF+ErfaringsF+Dyp_F)</f>
        <v>1.524924409414099</v>
      </c>
      <c r="EO146" s="107">
        <f>IF(SeilBeregnet=0,EO145,(EP146*EQ146)^EO$3)</f>
        <v>7.8129748353518158</v>
      </c>
      <c r="EP146" s="107">
        <f>IF(SeilBeregnet=0,EP145,SeilBeregnet^0.5/Depl^0.33333)</f>
        <v>4.5872422775577197</v>
      </c>
      <c r="EQ146" s="107">
        <f>IF(SeilBeregnet=0,EQ145,((Loa+Lwl)/Bredde)^EQ$3)</f>
        <v>1.7031964658974801</v>
      </c>
      <c r="ER146" s="107">
        <f>IF(SeilBeregnet=0,ER145,Lwl^ER$3)</f>
        <v>1.7434841068143216</v>
      </c>
      <c r="ES146" s="107">
        <f t="shared" si="1212"/>
        <v>1.498050831928692</v>
      </c>
      <c r="EU146" s="107">
        <f>IF(SeilBeregnet=0,EU145,(EV:EV*EW:EW)^EU$3)</f>
        <v>2.234288789458001</v>
      </c>
      <c r="EV146" s="107">
        <f>IF(SeilBeregnet=0,EV145,SeilBeregnet^0.5/Depl^0.33333)</f>
        <v>4.5872422775577197</v>
      </c>
      <c r="EW146" s="107">
        <f>IF(SeilBeregnet=0,EW145,((Loa+Lwl)/Bredde/6)^EW$3)</f>
        <v>1.0882456370618165</v>
      </c>
      <c r="EX146" s="107">
        <f>IF(SeilBeregnet=0,EX145,(Lwl*0.7+Loa*0.3)^EX$3)</f>
        <v>1.7951968584194291</v>
      </c>
      <c r="EY146" s="107">
        <f t="shared" si="1213"/>
        <v>1.3487428398522547</v>
      </c>
      <c r="FA146" s="107">
        <f t="shared" si="1214"/>
        <v>2.2343584816387749</v>
      </c>
      <c r="FB146" s="107">
        <f>IF(SeilBeregnet=0,FB145,SeilBeregnet^0.5/Depl^0.3333)</f>
        <v>4.5875284535485319</v>
      </c>
      <c r="FC146" s="107">
        <f>IF(SeilBeregnet=0,FC145,((Loa+Lwl)/Bredde/6)^FC$3)</f>
        <v>1.0882456370618165</v>
      </c>
      <c r="FD146" s="107">
        <f>IF(SeilBeregnet=0,FD145,(Lwl*0.7+Loa*0.3)^FD$3)</f>
        <v>1.7951968584194291</v>
      </c>
      <c r="FE146" s="107">
        <f t="shared" si="1215"/>
        <v>1.575760984649458</v>
      </c>
      <c r="FF146" s="141">
        <f>IF($DY146=0,"-",(FE146-$DW146)*100)</f>
        <v>0.3240096255685776</v>
      </c>
      <c r="FG146" s="107">
        <f t="shared" si="1217"/>
        <v>5.4329116211321304</v>
      </c>
      <c r="FH146" s="133">
        <f>IF(SeilBeregnet=0,FH145,(SeilBeregnet^0.5/(Depl^0.3333))^FH$3)</f>
        <v>4.5875284535485319</v>
      </c>
      <c r="FI146" s="133">
        <f>IF(SeilBeregnet=0,FI145,((Loa+Lwl)/Bredde/6)^FI$3)</f>
        <v>1.1842785665840787</v>
      </c>
      <c r="FJ146" s="107">
        <f>IF(SeilBeregnet=0,FJ145,(Lwl*0.07+Loa*0.03)^FJ$3)</f>
        <v>1.0095133803411334</v>
      </c>
      <c r="FK146" s="107">
        <f t="shared" si="1218"/>
        <v>1.5146495126250805</v>
      </c>
      <c r="FL146" s="141">
        <f>IF($DY146=0,"-",(FK146-$DW146)*100)</f>
        <v>-5.7871375768691724</v>
      </c>
      <c r="FM146" s="107">
        <f t="shared" si="1220"/>
        <v>7.3004090574553038</v>
      </c>
      <c r="FN146" s="133">
        <f>IF(SeilBeregnet=0,FN145,(SeilBeregnet^0.5/(Depl^0.3333))^FN$3)</f>
        <v>4.5875284535485319</v>
      </c>
      <c r="FO146" s="133">
        <f>IF(SeilBeregnet=0,FO145,(SeilBeregnet^0.5/Lwl*FO$7)^FO$3)</f>
        <v>0.99290270158601823</v>
      </c>
      <c r="FP146" s="133">
        <f>IF(SeilBeregnet=0,FP145,((Loa)/Bredde)^FP$3*FP$7)</f>
        <v>2.2199779023207533</v>
      </c>
      <c r="FQ146" s="107">
        <f>IF(SeilBeregnet=0,FQ145,(Lwl)^FQ$3)</f>
        <v>1.7434841068143216</v>
      </c>
      <c r="FR146" s="107">
        <f t="shared" si="1221"/>
        <v>1.5827166610583898</v>
      </c>
      <c r="FS146" s="141">
        <f>IF($DY146=0,"-",(FR146-$DW146)*100)</f>
        <v>1.0195772664617575</v>
      </c>
      <c r="FT146" s="107">
        <f t="shared" si="1223"/>
        <v>10.184211793145439</v>
      </c>
      <c r="FU146" s="133">
        <f>IF(SeilBeregnet=0,FU145,(SeilBeregnet^0.5/(Depl^0.3333))^FU$3)</f>
        <v>4.5875284535485319</v>
      </c>
      <c r="FV146" s="133">
        <f>IF(SeilBeregnet=0,FV145,(Loa/Bredde)^FV$3)</f>
        <v>2.2199779023207533</v>
      </c>
      <c r="FW146" s="107">
        <f>IF(SeilBeregnet=0,FW145,Lwl^FW$3)</f>
        <v>1.7434841068143216</v>
      </c>
      <c r="FY146" s="336">
        <v>1</v>
      </c>
      <c r="FZ146" s="62">
        <f>IF(SeilBeregnet=0,"-",0.06*2.43^(1/2)*(SeilBeregnet^(1/2)/Depl^(1/3)+(Loa/Bredde)^(1/2)+GA146)*Lwl^(1/4)*FY146)</f>
        <v>1.42911375577439</v>
      </c>
      <c r="GA146" s="62">
        <f t="shared" si="1303"/>
        <v>1.9566512004870806</v>
      </c>
      <c r="GB146" s="107">
        <f t="shared" si="1270"/>
        <v>1.7187223136293706</v>
      </c>
      <c r="GC146" s="440"/>
      <c r="GD146" s="57" t="s">
        <v>80</v>
      </c>
      <c r="GE146" s="436" t="s">
        <v>866</v>
      </c>
      <c r="GF146" s="75"/>
      <c r="GG146" s="57"/>
      <c r="GH146" s="57" t="s">
        <v>864</v>
      </c>
      <c r="GI146" s="17"/>
      <c r="GJ146" s="17"/>
      <c r="GL146" s="17"/>
      <c r="GM146" s="442"/>
      <c r="GN146" s="8"/>
      <c r="GO146" s="8"/>
      <c r="GP146" s="8"/>
      <c r="GQ146" s="8"/>
      <c r="GS146" s="17"/>
      <c r="GT146" s="17"/>
      <c r="GU146" s="17"/>
      <c r="GV146" s="629"/>
      <c r="GW146" s="17"/>
      <c r="GX146" s="17"/>
      <c r="GY146" s="17"/>
      <c r="GZ146" s="17"/>
    </row>
    <row r="147" spans="1:208" ht="15.6" x14ac:dyDescent="0.3">
      <c r="A147" s="52" t="s">
        <v>974</v>
      </c>
      <c r="B147" s="218">
        <f t="shared" si="10"/>
        <v>28.871391076115486</v>
      </c>
      <c r="C147" s="53" t="s">
        <v>38</v>
      </c>
      <c r="D147" s="53"/>
      <c r="E147" s="53"/>
      <c r="F147" s="53"/>
      <c r="G147" s="54"/>
      <c r="H147" s="112">
        <f>J148</f>
        <v>0</v>
      </c>
      <c r="I147" s="601">
        <f>H148/100</f>
        <v>0</v>
      </c>
      <c r="J147" s="651">
        <f>IF(DC148=0,"-",DC148)</f>
        <v>1.21</v>
      </c>
      <c r="K147" s="123" t="str">
        <f>A147</f>
        <v>Dragon Dream</v>
      </c>
      <c r="L147" s="116"/>
      <c r="M147" s="116"/>
      <c r="N147" s="92"/>
      <c r="O147" s="165"/>
      <c r="P147" s="165"/>
      <c r="Q147" s="165"/>
      <c r="R147" s="165"/>
      <c r="S147" s="165"/>
      <c r="T147" s="165"/>
      <c r="U147" s="165"/>
      <c r="V147" s="560"/>
      <c r="W147" s="560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552"/>
      <c r="AH147" s="244"/>
      <c r="AI147" s="244"/>
      <c r="AJ147" s="554"/>
      <c r="AK147" s="339"/>
      <c r="AL147" s="268" t="s">
        <v>255</v>
      </c>
      <c r="AM147" s="339">
        <v>0.02</v>
      </c>
      <c r="AN147" s="268" t="s">
        <v>214</v>
      </c>
      <c r="AO147" s="45">
        <f>VLOOKUP(AN147,Skrogform!$1:$1048576,3,FALSE)</f>
        <v>1</v>
      </c>
      <c r="AP147" s="55">
        <v>8.8000000000000007</v>
      </c>
      <c r="AQ147" s="55"/>
      <c r="AR147" s="55">
        <v>1.95</v>
      </c>
      <c r="AS147" s="55"/>
      <c r="AT147" s="55"/>
      <c r="AU147" s="55">
        <v>2</v>
      </c>
      <c r="AV147" s="55"/>
      <c r="AW147" s="55"/>
      <c r="AX147" s="253"/>
      <c r="AY147" s="253"/>
      <c r="AZ147" s="254">
        <f>AY147*7</f>
        <v>0</v>
      </c>
      <c r="BA147" s="253"/>
      <c r="BB147" s="253"/>
      <c r="BC147" s="244">
        <f>Depl+Diesel/1000*0.84+Vann/1000</f>
        <v>2</v>
      </c>
      <c r="BD147" s="95">
        <f>Bredde/(Loa+Lwl)*2</f>
        <v>0.44318181818181812</v>
      </c>
      <c r="BE147" s="95">
        <f>(Kjøl+Ballast)/Depl</f>
        <v>0</v>
      </c>
      <c r="BF147" s="260" t="e">
        <f>BF$7*((Depl-Kjøl-Ballast-VektMotor/1000-VektAnnet/1000)/Lwl/Lwl/Bredde)</f>
        <v>#DIV/0!</v>
      </c>
      <c r="BG147" s="95" t="e">
        <f>BG$7*(Depl/Loa/Lwl/Lwl)</f>
        <v>#DIV/0!</v>
      </c>
      <c r="BH147" s="174" t="e">
        <f>BH$7*(Depl/Loa/Lwl/Bredde)</f>
        <v>#DIV/0!</v>
      </c>
      <c r="BI147" s="95">
        <f>BI$7*Bredde/(Loa+Lwl)*2</f>
        <v>1.2642595307917888</v>
      </c>
      <c r="BJ147" s="95" t="e">
        <f>BJ$7*(Dypg/Lwl)</f>
        <v>#DIV/0!</v>
      </c>
      <c r="BK147" s="56" t="s">
        <v>39</v>
      </c>
      <c r="BL147" s="268">
        <v>3</v>
      </c>
      <c r="BM147" s="268">
        <v>20</v>
      </c>
      <c r="BN147" s="45">
        <f t="shared" ref="BN147:BN148" si="1312">IF((BK147="Fast"),(1.006248-(0.06415*((BM147/100*SQRT(BL147))/POWER(AU147,(1/3))))),1)</f>
        <v>0.98861021875730792</v>
      </c>
      <c r="BO147" s="59"/>
      <c r="BP147" s="59"/>
      <c r="BR147" s="209"/>
      <c r="BS147" s="209"/>
      <c r="BT147" s="209" t="str">
        <f>$A147</f>
        <v>Dragon Dream</v>
      </c>
      <c r="BU147" s="10"/>
      <c r="BV147" s="10"/>
      <c r="BW147" s="10"/>
      <c r="BX147" s="10"/>
      <c r="BY147" s="549"/>
      <c r="BZ147" s="10"/>
      <c r="CA147" s="10"/>
      <c r="CB147" s="209" t="str">
        <f>$A147</f>
        <v>Dragon Dream</v>
      </c>
      <c r="CC147" s="10"/>
      <c r="CD147" s="10"/>
      <c r="CE147" s="10"/>
      <c r="CF147" s="10"/>
      <c r="CG147" s="10"/>
      <c r="CH147" s="10"/>
      <c r="CI147" s="10"/>
      <c r="CJ147" s="10"/>
      <c r="CK147" s="10"/>
      <c r="CL147" s="209"/>
      <c r="CM147" s="10"/>
      <c r="CN147" s="209" t="str">
        <f>$A147</f>
        <v>Dragon Dream</v>
      </c>
      <c r="CO147" s="207"/>
      <c r="CP147" s="207"/>
      <c r="CQ147" s="116"/>
      <c r="CR147" s="207"/>
      <c r="CS147" s="203"/>
      <c r="CT147" s="203" t="s">
        <v>23</v>
      </c>
      <c r="CU147" s="107" t="str">
        <f t="shared" si="36"/>
        <v>-</v>
      </c>
      <c r="CV147" s="62" t="str">
        <f t="shared" si="789"/>
        <v>-</v>
      </c>
      <c r="CW147" s="62" t="str">
        <f t="shared" si="84"/>
        <v>-</v>
      </c>
      <c r="CX147" s="62" t="str">
        <f t="shared" si="790"/>
        <v>-</v>
      </c>
      <c r="CY147" s="107" t="str">
        <f t="shared" si="85"/>
        <v>-</v>
      </c>
      <c r="CZ147" s="168" t="str">
        <f t="shared" ref="CZ147:CZ148" si="1313">IF(DA147=0,"-",IF(CP147="TBF","-",CZ$7*DA147))</f>
        <v>-</v>
      </c>
      <c r="DA147" s="158"/>
      <c r="DB147" s="168" t="str">
        <f t="shared" ref="DB147:DB148" si="1314">IF(DC147=0,"-",IF(CT147="TBF","-",DB$7*DC147))</f>
        <v>-</v>
      </c>
      <c r="DC147" s="160">
        <v>1.21</v>
      </c>
      <c r="DD147" s="190" t="s">
        <v>134</v>
      </c>
      <c r="DE147" s="29" t="s">
        <v>23</v>
      </c>
      <c r="DF147" s="29" t="s">
        <v>23</v>
      </c>
      <c r="DG147" s="29" t="s">
        <v>23</v>
      </c>
      <c r="DH147" s="149">
        <v>2022</v>
      </c>
      <c r="DI147" s="62" t="str">
        <f t="shared" si="1198"/>
        <v>-</v>
      </c>
      <c r="DJ147" s="47">
        <f t="shared" si="1199"/>
        <v>0</v>
      </c>
      <c r="DK147" s="48">
        <f t="shared" ref="DK147:DK148" si="1315">DJ$7*IF(DJ147&lt;DJ$5,-0.04,IF(DJ147&lt;DJ$5*1.1,-0.03,IF(DJ147&lt;DJ$5*1.2,-0.02,IF(DJ147&lt;DJ$5*1.3,-0.01,0))))</f>
        <v>0</v>
      </c>
      <c r="DM147" s="107" t="str">
        <f t="shared" si="1201"/>
        <v>-</v>
      </c>
      <c r="DN147" s="141" t="str">
        <f t="shared" ref="DN147:DN148" si="1316">IF($DY147=0,"-",(DM147-$DW147)*100)</f>
        <v>-</v>
      </c>
      <c r="DO147" s="107">
        <f t="shared" ref="DO147:DO148" si="1317">SUM(DP147:DS147)^DO$3+DO$7</f>
        <v>5.2154234788346185</v>
      </c>
      <c r="DP147" s="133">
        <f>IF(SeilBeregnet=0,DP112,(SeilBeregnet^0.5/(Depl^0.3333))^DP$3*DP$7)</f>
        <v>3.3595020245579446</v>
      </c>
      <c r="DQ147" s="133">
        <f>IF(SeilBeregnet=0,DQ112,(SeilBeregnet^0.5/Lwl)^DQ$3*DQ$7)</f>
        <v>0</v>
      </c>
      <c r="DR147" s="133">
        <f>IF(SeilBeregnet=0,DR112,(0.1*Loa/Depl^0.3333)^DR$3*DR$7)</f>
        <v>0</v>
      </c>
      <c r="DS147" s="133">
        <f>IF(SeilBeregnet=0,DS112,((Loa)/Bredde)^DS$3*DS$7)</f>
        <v>1.855921454276674</v>
      </c>
      <c r="DT147" s="107">
        <f>IF(SeilBeregnet=0,DT112,(Lwl)^DT$3)</f>
        <v>1.7871048890689831</v>
      </c>
      <c r="DU147" s="133">
        <f>IF(SeilBeregnet=0,DU112,(Dypg/Loa)^DU$3*5*DU$7)</f>
        <v>1.9050019050028575</v>
      </c>
      <c r="DW147" s="107" t="str">
        <f t="shared" si="1241"/>
        <v>-</v>
      </c>
      <c r="DX147" s="107" t="str">
        <f t="shared" si="1205"/>
        <v>-</v>
      </c>
      <c r="DZ147" s="107" t="str">
        <f t="shared" si="1206"/>
        <v>-</v>
      </c>
      <c r="EA147" s="122" t="str">
        <f t="shared" ref="EA147:EA148" si="1318">IF($DY147=0,"-",DZ147-$DW147)</f>
        <v>-</v>
      </c>
      <c r="EB147" s="107" t="str">
        <f t="shared" ref="EB147:EB148" si="1319">IF(SeilBeregnet=0,"-",EB$7*(EB$4*ED147*EE147*EF147*PropF+EB$6)+ErfaringsF+Dyp_F)</f>
        <v>-</v>
      </c>
      <c r="EC147" s="122" t="str">
        <f t="shared" ref="EC147:EC148" si="1320">IF($DY147=0,"-",EB147-$DW147)</f>
        <v>-</v>
      </c>
      <c r="ED147" s="107">
        <f>IF(SeilBeregnet=0,ED112,SeilBeregnet^0.5/Depl^0.33333)</f>
        <v>3.3592226006562496</v>
      </c>
      <c r="EE147" s="107">
        <f>IF(SeilBeregnet=0,EE112,Lwl^0.3333)</f>
        <v>2.1685350061166324</v>
      </c>
      <c r="EF147" s="107">
        <f>IF(SeilBeregnet=0,EF112,((Loa+Lwl)/Bredde)^EF$3)</f>
        <v>1.582892730539718</v>
      </c>
      <c r="EH147" s="107" t="str">
        <f t="shared" ref="EH147:EH148" si="1321">IF(SeilBeregnet=0,"-",EH$7*(EH$4*EJ147*EK147*EL147*PropF+EH$6)+ErfaringsF+Dyp_F)</f>
        <v>-</v>
      </c>
      <c r="EJ147" s="107">
        <f>IF(SeilBeregnet=0,EJ112,SeilBeregnet^0.5/Depl^0.33333)</f>
        <v>3.3592226006562496</v>
      </c>
      <c r="EK147" s="107">
        <f>IF(SeilBeregnet=0,EK112,Lwl^EK$3)</f>
        <v>2.1686860967520136</v>
      </c>
      <c r="EL147" s="107">
        <f>IF(SeilBeregnet=0,EL112,((Loa+Lwl)/Bredde)^EL$3)</f>
        <v>1.8446276715143175</v>
      </c>
      <c r="EM147" s="107" t="str">
        <f t="shared" ref="EM147:EM148" si="1322">IF(SeilBeregnet=0,"-",EM$7*(EM$4*EO147+EM$6)*ER147*PropF+ErfaringsF+Dyp_F)</f>
        <v>-</v>
      </c>
      <c r="EO147" s="107">
        <f>IF(SeilBeregnet=0,EO112,(EP147*EQ147)^EO$3)</f>
        <v>5.3172890348435038</v>
      </c>
      <c r="EP147" s="107">
        <f>IF(SeilBeregnet=0,EP112,SeilBeregnet^0.5/Depl^0.33333)</f>
        <v>3.3592226006562496</v>
      </c>
      <c r="EQ147" s="107">
        <f>IF(SeilBeregnet=0,EQ112,((Loa+Lwl)/Bredde)^EQ$3)</f>
        <v>1.582892730539718</v>
      </c>
      <c r="ER147" s="107">
        <f>IF(SeilBeregnet=0,ER112,Lwl^ER$3)</f>
        <v>1.7871048890689831</v>
      </c>
      <c r="ES147" s="107" t="str">
        <f t="shared" si="1212"/>
        <v>-</v>
      </c>
      <c r="EU147" s="107">
        <f>IF(SeilBeregnet=0,EU112,(EV:EV*EW:EW)^EU$3)</f>
        <v>1.8432159835726183</v>
      </c>
      <c r="EV147" s="107">
        <f>IF(SeilBeregnet=0,EV112,SeilBeregnet^0.5/Depl^0.33333)</f>
        <v>3.3592226006562496</v>
      </c>
      <c r="EW147" s="107">
        <f>IF(SeilBeregnet=0,EW112,((Loa+Lwl)/Bredde/6)^EW$3)</f>
        <v>1.011378394939906</v>
      </c>
      <c r="EX147" s="107">
        <f>IF(SeilBeregnet=0,EX112,(Lwl*0.7+Loa*0.3)^EX$3)</f>
        <v>1.8153378227362575</v>
      </c>
      <c r="EY147" s="107" t="str">
        <f t="shared" si="1213"/>
        <v>-</v>
      </c>
      <c r="FA147" s="107">
        <f t="shared" si="1214"/>
        <v>1.8432926423644127</v>
      </c>
      <c r="FB147" s="107">
        <f>IF(SeilBeregnet=0,FB112,SeilBeregnet^0.5/Depl^0.3333)</f>
        <v>3.3595020245579446</v>
      </c>
      <c r="FC147" s="107">
        <f>IF(SeilBeregnet=0,FC112,((Loa+Lwl)/Bredde/6)^FC$3)</f>
        <v>1.011378394939906</v>
      </c>
      <c r="FD147" s="107">
        <f>IF(SeilBeregnet=0,FD112,(Lwl*0.7+Loa*0.3)^FD$3)</f>
        <v>1.8153378227362575</v>
      </c>
      <c r="FE147" s="107" t="str">
        <f t="shared" si="1215"/>
        <v>-</v>
      </c>
      <c r="FF147" s="141" t="str">
        <f t="shared" ref="FF147:FF148" si="1323">IF($DY147=0,"-",(FE147-$DW147)*100)</f>
        <v>-</v>
      </c>
      <c r="FG147" s="107">
        <f t="shared" si="1217"/>
        <v>3.4363884538077247</v>
      </c>
      <c r="FH147" s="133">
        <f>IF(SeilBeregnet=0,FH112,(SeilBeregnet^0.5/(Depl^0.3333))^FH$3)</f>
        <v>3.3595020245579446</v>
      </c>
      <c r="FI147" s="133">
        <f>IF(SeilBeregnet=0,FI112,((Loa+Lwl)/Bredde/6)^FI$3)</f>
        <v>1.0228862577512206</v>
      </c>
      <c r="FJ147" s="107">
        <f>IF(SeilBeregnet=0,FJ112,(Lwl*0.07+Loa*0.03)^FJ$3)</f>
        <v>1.0208394769056701</v>
      </c>
      <c r="FK147" s="107" t="str">
        <f t="shared" si="1218"/>
        <v>-</v>
      </c>
      <c r="FL147" s="141" t="str">
        <f t="shared" ref="FL147:FL148" si="1324">IF($DY147=0,"-",(FK147-$DW147)*100)</f>
        <v>-</v>
      </c>
      <c r="FM147" s="107">
        <f t="shared" si="1220"/>
        <v>5.5452893907487155</v>
      </c>
      <c r="FN147" s="133">
        <f>IF(SeilBeregnet=0,FN112,(SeilBeregnet^0.5/(Depl^0.3333))^FN$3)</f>
        <v>3.3595020245579446</v>
      </c>
      <c r="FO147" s="133">
        <f>IF(SeilBeregnet=0,FO112,(SeilBeregnet^0.5/Lwl*FO$7)^FO$3)</f>
        <v>0.82986591191409753</v>
      </c>
      <c r="FP147" s="133">
        <f>IF(SeilBeregnet=0,FP112,((Loa)/Bredde)^FP$3*FP$7)</f>
        <v>1.855921454276674</v>
      </c>
      <c r="FQ147" s="107">
        <f>IF(SeilBeregnet=0,FQ112,(Lwl)^FQ$3)</f>
        <v>1.7871048890689831</v>
      </c>
      <c r="FR147" s="107" t="str">
        <f t="shared" si="1221"/>
        <v>-</v>
      </c>
      <c r="FS147" s="141" t="str">
        <f t="shared" ref="FS147:FS148" si="1325">IF($DY147=0,"-",(FR147-$DW147)*100)</f>
        <v>-</v>
      </c>
      <c r="FT147" s="107">
        <f t="shared" si="1223"/>
        <v>6.234971883063011</v>
      </c>
      <c r="FU147" s="133">
        <f>IF(SeilBeregnet=0,FU112,(SeilBeregnet^0.5/(Depl^0.3333))^FU$3)</f>
        <v>3.3595020245579446</v>
      </c>
      <c r="FV147" s="133">
        <f>IF(SeilBeregnet=0,FV112,(Loa/Bredde)^FV$3)</f>
        <v>1.855921454276674</v>
      </c>
      <c r="FW147" s="107">
        <f>IF(SeilBeregnet=0,FW112,Lwl^FW$3)</f>
        <v>1.7871048890689831</v>
      </c>
      <c r="FY147" s="336">
        <v>1</v>
      </c>
      <c r="FZ147" s="62" t="str">
        <f t="shared" ref="FZ147:FZ148" si="1326">IF(SeilBeregnet=0,"-",0.06*2.43^(1/2)*(SeilBeregnet^(1/2)/Depl^(1/3)+(Loa/Bredde)^(1/2)+GA147)*Lwl^(1/4)*FY147)</f>
        <v>-</v>
      </c>
      <c r="GA147" s="62">
        <f t="shared" si="712"/>
        <v>2</v>
      </c>
      <c r="GB147" s="107" t="str">
        <f t="shared" si="798"/>
        <v>-</v>
      </c>
      <c r="GC147" s="441" t="s">
        <v>1027</v>
      </c>
      <c r="GD147" s="57" t="s">
        <v>975</v>
      </c>
      <c r="GE147" s="436" t="s">
        <v>1038</v>
      </c>
      <c r="GF147" s="75"/>
      <c r="GG147" s="57" t="s">
        <v>976</v>
      </c>
      <c r="GH147" s="57" t="s">
        <v>674</v>
      </c>
      <c r="GI147" s="57" t="s">
        <v>416</v>
      </c>
      <c r="GJ147" s="57" t="s">
        <v>681</v>
      </c>
      <c r="GL147" s="57" t="s">
        <v>970</v>
      </c>
      <c r="GM147" s="436" t="s">
        <v>679</v>
      </c>
      <c r="GN147" s="58" t="s">
        <v>478</v>
      </c>
      <c r="GO147" s="58" t="s">
        <v>971</v>
      </c>
      <c r="GP147" s="58" t="s">
        <v>674</v>
      </c>
      <c r="GQ147" s="58" t="s">
        <v>478</v>
      </c>
      <c r="GS147" s="57" t="s">
        <v>208</v>
      </c>
      <c r="GT147" s="57" t="s">
        <v>977</v>
      </c>
      <c r="GU147" s="57" t="s">
        <v>842</v>
      </c>
      <c r="GV147" s="632" t="s">
        <v>979</v>
      </c>
      <c r="GW147" s="57">
        <v>1962</v>
      </c>
      <c r="GX147" s="57" t="s">
        <v>431</v>
      </c>
      <c r="GY147" s="57" t="s">
        <v>978</v>
      </c>
      <c r="GZ147" s="57"/>
    </row>
    <row r="148" spans="1:208" ht="15.6" x14ac:dyDescent="0.3">
      <c r="A148" s="60" t="s">
        <v>33</v>
      </c>
      <c r="B148" s="218"/>
      <c r="C148" s="61" t="str">
        <f>C147</f>
        <v>Bermuda</v>
      </c>
      <c r="D148" s="61"/>
      <c r="E148" s="61"/>
      <c r="F148" s="61"/>
      <c r="G148" s="54"/>
      <c r="H148" s="204">
        <f>IF(StH=0,0,TBFavrundet)</f>
        <v>0</v>
      </c>
      <c r="I148" s="63">
        <f>COUNTA(O148:AG148)</f>
        <v>0</v>
      </c>
      <c r="J148" s="222">
        <f>SUM(O148:AG148)</f>
        <v>0</v>
      </c>
      <c r="K148" s="116">
        <f>Seilareal/Depl^0.667/K$7</f>
        <v>0</v>
      </c>
      <c r="L148" s="116" t="e">
        <f>Seilareal/Lwl/Lwl/L$7</f>
        <v>#DIV/0!</v>
      </c>
      <c r="M148" s="92" t="e">
        <f>RiggF</f>
        <v>#DIV/0!</v>
      </c>
      <c r="N148" s="242" t="str">
        <f>StHfaktor</f>
        <v>-</v>
      </c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551"/>
      <c r="AH148" s="557">
        <f t="shared" ref="AH148:AI148" si="1327">AH147</f>
        <v>0</v>
      </c>
      <c r="AI148" s="557">
        <f t="shared" si="1327"/>
        <v>0</v>
      </c>
      <c r="AJ148" s="337">
        <f t="shared" ref="AJ148:AJ150" si="1328" xml:space="preserve"> AJ147</f>
        <v>0</v>
      </c>
      <c r="AK148" s="339"/>
      <c r="AL148" s="337" t="str">
        <f t="shared" ref="AL148:AL150" si="1329" xml:space="preserve"> AL147</f>
        <v>Alu</v>
      </c>
      <c r="AM148" s="339">
        <v>0.02</v>
      </c>
      <c r="AN148" s="267" t="str">
        <f t="shared" ref="AN148:AN150" si="1330" xml:space="preserve"> AN147</f>
        <v>Meter</v>
      </c>
      <c r="AO148" s="45">
        <f>VLOOKUP(AN148,Skrogform!$1:$1048576,3,FALSE)</f>
        <v>1</v>
      </c>
      <c r="AP148" s="64">
        <f t="shared" ref="AP148:AW148" si="1331">AP147</f>
        <v>8.8000000000000007</v>
      </c>
      <c r="AQ148" s="64">
        <f t="shared" si="1331"/>
        <v>0</v>
      </c>
      <c r="AR148" s="64">
        <f t="shared" si="1331"/>
        <v>1.95</v>
      </c>
      <c r="AS148" s="64">
        <f t="shared" si="1331"/>
        <v>0</v>
      </c>
      <c r="AT148" s="64">
        <f t="shared" si="1331"/>
        <v>0</v>
      </c>
      <c r="AU148" s="64">
        <f t="shared" si="1331"/>
        <v>2</v>
      </c>
      <c r="AV148" s="64">
        <f t="shared" si="1331"/>
        <v>0</v>
      </c>
      <c r="AW148" s="64">
        <f t="shared" si="1331"/>
        <v>0</v>
      </c>
      <c r="AX148" s="256">
        <f>AX147</f>
        <v>0</v>
      </c>
      <c r="AY148" s="256">
        <f t="shared" ref="AY148:BB148" si="1332">AY147</f>
        <v>0</v>
      </c>
      <c r="AZ148" s="256">
        <f t="shared" si="1332"/>
        <v>0</v>
      </c>
      <c r="BA148" s="256">
        <f t="shared" si="1332"/>
        <v>0</v>
      </c>
      <c r="BB148" s="256">
        <f t="shared" si="1332"/>
        <v>0</v>
      </c>
      <c r="BC148" s="256"/>
      <c r="BD148" s="66"/>
      <c r="BE148" s="66"/>
      <c r="BF148" s="261"/>
      <c r="BG148" s="66"/>
      <c r="BH148" s="175"/>
      <c r="BI148" s="66"/>
      <c r="BJ148" s="66"/>
      <c r="BK148" s="65" t="str">
        <f t="shared" ref="BK148:BM148" si="1333" xml:space="preserve"> BK147</f>
        <v>Fast</v>
      </c>
      <c r="BL148" s="267">
        <f t="shared" si="1333"/>
        <v>3</v>
      </c>
      <c r="BM148" s="267">
        <f t="shared" si="1333"/>
        <v>20</v>
      </c>
      <c r="BN148" s="45">
        <f t="shared" si="1312"/>
        <v>0.98861021875730792</v>
      </c>
      <c r="BO148" s="59"/>
      <c r="BP148" s="59"/>
      <c r="BR148" s="49">
        <f t="shared" ref="BR148" si="1334">IF(O148=0,0,O148*BR$9)</f>
        <v>0</v>
      </c>
      <c r="BS148" s="49">
        <f t="shared" ref="BS148" si="1335">IF(P148=0,0,P148*BS$9)</f>
        <v>0</v>
      </c>
      <c r="BT148" s="49">
        <f t="shared" ref="BT148" si="1336">IF(Q148=0,0,Q148*BT$9)</f>
        <v>0</v>
      </c>
      <c r="BU148" s="49">
        <f t="shared" ref="BU148" si="1337">IF(R148=0,0,R148*BU$9)</f>
        <v>0</v>
      </c>
      <c r="BV148" s="49">
        <f t="shared" ref="BV148" si="1338">IF(S148=0,0,S148*BV$9)</f>
        <v>0</v>
      </c>
      <c r="BW148" s="49">
        <f t="shared" ref="BW148" si="1339">IF(T148=0,0,T148*BW$9)</f>
        <v>0</v>
      </c>
      <c r="BX148" s="49">
        <f t="shared" ref="BX148" si="1340">IF(U148=0,0,U148*BX$9)</f>
        <v>0</v>
      </c>
      <c r="BY148" s="549">
        <f>IF(COUNT(Q148:U148)&gt;1,MINA(Q148:U148)*BY$9,0)</f>
        <v>0</v>
      </c>
      <c r="BZ148" s="85">
        <f t="shared" ref="BZ148" si="1341">IF(V148=0,0,V148*BZ$9)</f>
        <v>0</v>
      </c>
      <c r="CA148" s="85">
        <f t="shared" ref="CA148" si="1342">IF(W148=0,0,W148*CA$9)</f>
        <v>0</v>
      </c>
      <c r="CB148" s="85">
        <f t="shared" ref="CB148" si="1343">IF(X148=0,0,X148*CB$9)</f>
        <v>0</v>
      </c>
      <c r="CC148" s="85">
        <f t="shared" ref="CC148" si="1344">IF(Y148=0,0,Y148*CC$9)</f>
        <v>0</v>
      </c>
      <c r="CD148" s="85">
        <f t="shared" ref="CD148" si="1345">IF(Z148=0,0,Z148*CD$9)</f>
        <v>0</v>
      </c>
      <c r="CE148" s="85">
        <f>IF(AC148=0,0,AC148*CE$9)</f>
        <v>0</v>
      </c>
      <c r="CF148" s="85">
        <f t="shared" ref="CF148" si="1346">IF(AA148=0,0,AA148*CF$9)</f>
        <v>0</v>
      </c>
      <c r="CG148" s="85">
        <f t="shared" ref="CG148" si="1347">IF(AB148=0,0,AB148*CG$9)</f>
        <v>0</v>
      </c>
      <c r="CH148" s="85">
        <f t="shared" ref="CH148" si="1348">IF(AD148=0,0,AD148*CH$9)</f>
        <v>0</v>
      </c>
      <c r="CI148" s="85">
        <f t="shared" ref="CI148" si="1349">IF(AE148=0,0,AE148*CI$9)</f>
        <v>0</v>
      </c>
      <c r="CJ148" s="85">
        <f t="shared" ref="CJ148" si="1350">IF(AF148=0,0,AF148*CJ$9)</f>
        <v>0</v>
      </c>
      <c r="CK148" s="85">
        <f t="shared" ref="CK148" si="1351">IF(AG148=0,0,AG148*CK$9)</f>
        <v>0</v>
      </c>
      <c r="CL148" s="100">
        <f>SUM(BR148:CK148)</f>
        <v>0</v>
      </c>
      <c r="CM148" s="50"/>
      <c r="CN148" s="104">
        <f>J148</f>
        <v>0</v>
      </c>
      <c r="CO148" s="101" t="e">
        <f>CL148/CN148</f>
        <v>#DIV/0!</v>
      </c>
      <c r="CP148" s="51" t="e">
        <f>Seilareal/Lwl/Lwl</f>
        <v>#DIV/0!</v>
      </c>
      <c r="CQ148" s="116">
        <f>Seilareal/Depl^0.667/K$7</f>
        <v>0</v>
      </c>
      <c r="CR148" s="51" t="e">
        <f>Seilareal/Lwl/Lwl/SApRS1</f>
        <v>#DIV/0!</v>
      </c>
      <c r="CS148" s="204"/>
      <c r="CT148" s="204" t="e">
        <f>(ROUND(TBF/CT$6,3)*CT$6)*CT$4</f>
        <v>#VALUE!</v>
      </c>
      <c r="CU148" s="107" t="str">
        <f t="shared" si="36"/>
        <v>-</v>
      </c>
      <c r="CV148" s="62" t="str">
        <f t="shared" si="789"/>
        <v>-</v>
      </c>
      <c r="CW148" s="62" t="str">
        <f t="shared" si="84"/>
        <v>-</v>
      </c>
      <c r="CX148" s="62" t="str">
        <f t="shared" si="790"/>
        <v>-</v>
      </c>
      <c r="CY148" s="107" t="str">
        <f t="shared" si="85"/>
        <v>-</v>
      </c>
      <c r="CZ148" s="168" t="str">
        <f t="shared" si="1313"/>
        <v>-</v>
      </c>
      <c r="DA148" s="159">
        <f>DA147</f>
        <v>0</v>
      </c>
      <c r="DB148" s="168" t="e">
        <f t="shared" si="1314"/>
        <v>#VALUE!</v>
      </c>
      <c r="DC148" s="159">
        <f>DC147</f>
        <v>1.21</v>
      </c>
      <c r="DD148" s="190" t="s">
        <v>134</v>
      </c>
      <c r="DE148" s="62" t="s">
        <v>102</v>
      </c>
      <c r="DF148" s="62" t="s">
        <v>102</v>
      </c>
      <c r="DG148" s="62" t="s">
        <v>102</v>
      </c>
      <c r="DH148" s="150" t="s">
        <v>102</v>
      </c>
      <c r="DI148" s="62" t="str">
        <f t="shared" si="1198"/>
        <v>-</v>
      </c>
      <c r="DJ148" s="47">
        <f t="shared" si="1199"/>
        <v>0</v>
      </c>
      <c r="DK148" s="48">
        <f t="shared" si="1315"/>
        <v>0</v>
      </c>
      <c r="DM148" s="107" t="str">
        <f t="shared" si="1201"/>
        <v>-</v>
      </c>
      <c r="DN148" s="141" t="str">
        <f t="shared" si="1316"/>
        <v>-</v>
      </c>
      <c r="DO148" s="107">
        <f t="shared" si="1317"/>
        <v>5.2154234788346185</v>
      </c>
      <c r="DP148" s="133">
        <f>IF(SeilBeregnet=0,DP147,(SeilBeregnet^0.5/(Depl^0.3333))^DP$3*DP$7)</f>
        <v>3.3595020245579446</v>
      </c>
      <c r="DQ148" s="133">
        <f>IF(SeilBeregnet=0,DQ147,(SeilBeregnet^0.5/Lwl)^DQ$3*DQ$7)</f>
        <v>0</v>
      </c>
      <c r="DR148" s="133">
        <f>IF(SeilBeregnet=0,DR147,(0.1*Loa/Depl^0.3333)^DR$3*DR$7)</f>
        <v>0</v>
      </c>
      <c r="DS148" s="133">
        <f>IF(SeilBeregnet=0,DS147,((Loa)/Bredde)^DS$3*DS$7)</f>
        <v>1.855921454276674</v>
      </c>
      <c r="DT148" s="107">
        <f>IF(SeilBeregnet=0,DT147,(Lwl)^DT$3)</f>
        <v>1.7871048890689831</v>
      </c>
      <c r="DU148" s="133">
        <f>IF(SeilBeregnet=0,DU147,(Dypg/Loa)^DU$3*5*DU$7)</f>
        <v>1.9050019050028575</v>
      </c>
      <c r="DW148" s="107" t="str">
        <f t="shared" si="1241"/>
        <v>-</v>
      </c>
      <c r="DX148" s="107" t="str">
        <f t="shared" si="1205"/>
        <v>-</v>
      </c>
      <c r="DZ148" s="107" t="str">
        <f t="shared" si="1206"/>
        <v>-</v>
      </c>
      <c r="EA148" s="122" t="str">
        <f t="shared" si="1318"/>
        <v>-</v>
      </c>
      <c r="EB148" s="107" t="str">
        <f t="shared" si="1319"/>
        <v>-</v>
      </c>
      <c r="EC148" s="122" t="str">
        <f t="shared" si="1320"/>
        <v>-</v>
      </c>
      <c r="ED148" s="107">
        <f>IF(SeilBeregnet=0,ED147,SeilBeregnet^0.5/Depl^0.33333)</f>
        <v>3.3592226006562496</v>
      </c>
      <c r="EE148" s="107">
        <f>IF(SeilBeregnet=0,EE147,Lwl^0.3333)</f>
        <v>2.1685350061166324</v>
      </c>
      <c r="EF148" s="107">
        <f>IF(SeilBeregnet=0,EF147,((Loa+Lwl)/Bredde)^EF$3)</f>
        <v>1.582892730539718</v>
      </c>
      <c r="EH148" s="107" t="str">
        <f t="shared" si="1321"/>
        <v>-</v>
      </c>
      <c r="EJ148" s="107">
        <f>IF(SeilBeregnet=0,EJ147,SeilBeregnet^0.5/Depl^0.33333)</f>
        <v>3.3592226006562496</v>
      </c>
      <c r="EK148" s="107">
        <f>IF(SeilBeregnet=0,EK147,Lwl^EK$3)</f>
        <v>2.1686860967520136</v>
      </c>
      <c r="EL148" s="107">
        <f>IF(SeilBeregnet=0,EL147,((Loa+Lwl)/Bredde)^EL$3)</f>
        <v>1.8446276715143175</v>
      </c>
      <c r="EM148" s="107" t="str">
        <f t="shared" si="1322"/>
        <v>-</v>
      </c>
      <c r="EO148" s="107">
        <f>IF(SeilBeregnet=0,EO147,(EP148*EQ148)^EO$3)</f>
        <v>5.3172890348435038</v>
      </c>
      <c r="EP148" s="107">
        <f>IF(SeilBeregnet=0,EP147,SeilBeregnet^0.5/Depl^0.33333)</f>
        <v>3.3592226006562496</v>
      </c>
      <c r="EQ148" s="107">
        <f>IF(SeilBeregnet=0,EQ147,((Loa+Lwl)/Bredde)^EQ$3)</f>
        <v>1.582892730539718</v>
      </c>
      <c r="ER148" s="107">
        <f>IF(SeilBeregnet=0,ER147,Lwl^ER$3)</f>
        <v>1.7871048890689831</v>
      </c>
      <c r="ES148" s="107" t="str">
        <f t="shared" si="1212"/>
        <v>-</v>
      </c>
      <c r="EU148" s="107">
        <f>IF(SeilBeregnet=0,EU147,(EV:EV*EW:EW)^EU$3)</f>
        <v>1.8432159835726183</v>
      </c>
      <c r="EV148" s="107">
        <f>IF(SeilBeregnet=0,EV147,SeilBeregnet^0.5/Depl^0.33333)</f>
        <v>3.3592226006562496</v>
      </c>
      <c r="EW148" s="107">
        <f>IF(SeilBeregnet=0,EW147,((Loa+Lwl)/Bredde/6)^EW$3)</f>
        <v>1.011378394939906</v>
      </c>
      <c r="EX148" s="107">
        <f>IF(SeilBeregnet=0,EX147,(Lwl*0.7+Loa*0.3)^EX$3)</f>
        <v>1.8153378227362575</v>
      </c>
      <c r="EY148" s="107" t="str">
        <f t="shared" si="1213"/>
        <v>-</v>
      </c>
      <c r="FA148" s="107">
        <f t="shared" si="1214"/>
        <v>1.8432926423644127</v>
      </c>
      <c r="FB148" s="107">
        <f>IF(SeilBeregnet=0,FB147,SeilBeregnet^0.5/Depl^0.3333)</f>
        <v>3.3595020245579446</v>
      </c>
      <c r="FC148" s="107">
        <f>IF(SeilBeregnet=0,FC147,((Loa+Lwl)/Bredde/6)^FC$3)</f>
        <v>1.011378394939906</v>
      </c>
      <c r="FD148" s="107">
        <f>IF(SeilBeregnet=0,FD147,(Lwl*0.7+Loa*0.3)^FD$3)</f>
        <v>1.8153378227362575</v>
      </c>
      <c r="FE148" s="107" t="str">
        <f t="shared" si="1215"/>
        <v>-</v>
      </c>
      <c r="FF148" s="141" t="str">
        <f t="shared" si="1323"/>
        <v>-</v>
      </c>
      <c r="FG148" s="107">
        <f t="shared" si="1217"/>
        <v>3.4363884538077247</v>
      </c>
      <c r="FH148" s="133">
        <f>IF(SeilBeregnet=0,FH147,(SeilBeregnet^0.5/(Depl^0.3333))^FH$3)</f>
        <v>3.3595020245579446</v>
      </c>
      <c r="FI148" s="133">
        <f>IF(SeilBeregnet=0,FI147,((Loa+Lwl)/Bredde/6)^FI$3)</f>
        <v>1.0228862577512206</v>
      </c>
      <c r="FJ148" s="107">
        <f>IF(SeilBeregnet=0,FJ147,(Lwl*0.07+Loa*0.03)^FJ$3)</f>
        <v>1.0208394769056701</v>
      </c>
      <c r="FK148" s="107" t="str">
        <f t="shared" si="1218"/>
        <v>-</v>
      </c>
      <c r="FL148" s="141" t="str">
        <f t="shared" si="1324"/>
        <v>-</v>
      </c>
      <c r="FM148" s="107">
        <f t="shared" si="1220"/>
        <v>5.5452893907487155</v>
      </c>
      <c r="FN148" s="133">
        <f>IF(SeilBeregnet=0,FN147,(SeilBeregnet^0.5/(Depl^0.3333))^FN$3)</f>
        <v>3.3595020245579446</v>
      </c>
      <c r="FO148" s="133">
        <f>IF(SeilBeregnet=0,FO147,(SeilBeregnet^0.5/Lwl*FO$7)^FO$3)</f>
        <v>0.82986591191409753</v>
      </c>
      <c r="FP148" s="133">
        <f>IF(SeilBeregnet=0,FP147,((Loa)/Bredde)^FP$3*FP$7)</f>
        <v>1.855921454276674</v>
      </c>
      <c r="FQ148" s="107">
        <f>IF(SeilBeregnet=0,FQ147,(Lwl)^FQ$3)</f>
        <v>1.7871048890689831</v>
      </c>
      <c r="FR148" s="107" t="str">
        <f t="shared" si="1221"/>
        <v>-</v>
      </c>
      <c r="FS148" s="141" t="str">
        <f t="shared" si="1325"/>
        <v>-</v>
      </c>
      <c r="FT148" s="107">
        <f t="shared" si="1223"/>
        <v>6.234971883063011</v>
      </c>
      <c r="FU148" s="133">
        <f>IF(SeilBeregnet=0,FU147,(SeilBeregnet^0.5/(Depl^0.3333))^FU$3)</f>
        <v>3.3595020245579446</v>
      </c>
      <c r="FV148" s="133">
        <f>IF(SeilBeregnet=0,FV147,(Loa/Bredde)^FV$3)</f>
        <v>1.855921454276674</v>
      </c>
      <c r="FW148" s="107">
        <f>IF(SeilBeregnet=0,FW147,Lwl^FW$3)</f>
        <v>1.7871048890689831</v>
      </c>
      <c r="FY148" s="336">
        <v>1</v>
      </c>
      <c r="FZ148" s="62" t="str">
        <f t="shared" si="1326"/>
        <v>-</v>
      </c>
      <c r="GA148" s="62">
        <f t="shared" si="712"/>
        <v>2</v>
      </c>
      <c r="GB148" s="107" t="str">
        <f t="shared" si="798"/>
        <v>-</v>
      </c>
      <c r="GC148" s="440"/>
      <c r="GD148" s="17"/>
      <c r="GE148" s="442"/>
      <c r="GF148" s="462"/>
      <c r="GG148" s="17"/>
      <c r="GH148" s="17"/>
      <c r="GI148" s="17"/>
      <c r="GJ148" s="17"/>
      <c r="GL148" s="17"/>
      <c r="GM148" s="442"/>
      <c r="GN148" s="8"/>
      <c r="GO148" s="8"/>
      <c r="GP148" s="8"/>
      <c r="GQ148" s="8"/>
      <c r="GS148" s="17"/>
      <c r="GT148" s="17"/>
      <c r="GU148" s="17"/>
      <c r="GV148" s="629"/>
      <c r="GW148" s="17"/>
      <c r="GX148" s="17"/>
      <c r="GY148" s="17"/>
      <c r="GZ148" s="17"/>
    </row>
    <row r="149" spans="1:208" ht="15.6" x14ac:dyDescent="0.3">
      <c r="A149" s="52" t="s">
        <v>980</v>
      </c>
      <c r="B149" s="218">
        <f t="shared" si="10"/>
        <v>28.871391076115486</v>
      </c>
      <c r="C149" s="53" t="s">
        <v>38</v>
      </c>
      <c r="D149" s="53"/>
      <c r="E149" s="53"/>
      <c r="F149" s="53"/>
      <c r="G149" s="54"/>
      <c r="H149" s="112">
        <f>J150</f>
        <v>0</v>
      </c>
      <c r="I149" s="601">
        <f>H150/100</f>
        <v>0</v>
      </c>
      <c r="J149" s="651">
        <f>IF(DC150=0,"-",DC150)</f>
        <v>1.23</v>
      </c>
      <c r="K149" s="123" t="str">
        <f>A149</f>
        <v>Fiin gammel af Oslo</v>
      </c>
      <c r="L149" s="116"/>
      <c r="M149" s="116"/>
      <c r="N149" s="92"/>
      <c r="O149" s="165"/>
      <c r="P149" s="165"/>
      <c r="Q149" s="165"/>
      <c r="R149" s="165"/>
      <c r="S149" s="165"/>
      <c r="T149" s="165"/>
      <c r="U149" s="165"/>
      <c r="V149" s="560"/>
      <c r="W149" s="560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552"/>
      <c r="AH149" s="244"/>
      <c r="AI149" s="244"/>
      <c r="AJ149" s="554"/>
      <c r="AK149" s="339"/>
      <c r="AL149" s="268"/>
      <c r="AM149" s="339"/>
      <c r="AN149" s="268" t="s">
        <v>214</v>
      </c>
      <c r="AO149" s="45">
        <f>VLOOKUP(AN149,Skrogform!$1:$1048576,3,FALSE)</f>
        <v>1</v>
      </c>
      <c r="AP149" s="55">
        <v>8.8000000000000007</v>
      </c>
      <c r="AQ149" s="55"/>
      <c r="AR149" s="55">
        <v>1.95</v>
      </c>
      <c r="AS149" s="55"/>
      <c r="AT149" s="55"/>
      <c r="AU149" s="55"/>
      <c r="AV149" s="55"/>
      <c r="AW149" s="55"/>
      <c r="AX149" s="253"/>
      <c r="AY149" s="253"/>
      <c r="AZ149" s="254">
        <f>AY149*7</f>
        <v>0</v>
      </c>
      <c r="BA149" s="253"/>
      <c r="BB149" s="253"/>
      <c r="BC149" s="244">
        <f>Depl+Diesel/1000*0.84+Vann/1000</f>
        <v>0</v>
      </c>
      <c r="BD149" s="95">
        <f>Bredde/(Loa+Lwl)*2</f>
        <v>0.44318181818181812</v>
      </c>
      <c r="BE149" s="95" t="e">
        <f>(Kjøl+Ballast)/Depl</f>
        <v>#DIV/0!</v>
      </c>
      <c r="BF149" s="260" t="e">
        <f>BF$7*((Depl-Kjøl-Ballast-VektMotor/1000-VektAnnet/1000)/Lwl/Lwl/Bredde)</f>
        <v>#DIV/0!</v>
      </c>
      <c r="BG149" s="95" t="e">
        <f>BG$7*(Depl/Loa/Lwl/Lwl)</f>
        <v>#DIV/0!</v>
      </c>
      <c r="BH149" s="174" t="e">
        <f>BH$7*(Depl/Loa/Lwl/Bredde)</f>
        <v>#DIV/0!</v>
      </c>
      <c r="BI149" s="95">
        <f>BI$7*Bredde/(Loa+Lwl)*2</f>
        <v>1.2642595307917888</v>
      </c>
      <c r="BJ149" s="95" t="e">
        <f>BJ$7*(Dypg/Lwl)</f>
        <v>#DIV/0!</v>
      </c>
      <c r="BK149" s="56"/>
      <c r="BL149" s="268"/>
      <c r="BM149" s="268"/>
      <c r="BN149" s="45">
        <f t="shared" si="1197"/>
        <v>1</v>
      </c>
      <c r="BO149" s="59"/>
      <c r="BP149" s="59"/>
      <c r="BR149" s="209"/>
      <c r="BS149" s="209"/>
      <c r="BT149" s="209" t="str">
        <f>$A149</f>
        <v>Fiin gammel af Oslo</v>
      </c>
      <c r="BU149" s="10"/>
      <c r="BV149" s="10"/>
      <c r="BW149" s="10"/>
      <c r="BX149" s="10"/>
      <c r="BY149" s="549"/>
      <c r="BZ149" s="10"/>
      <c r="CA149" s="10"/>
      <c r="CB149" s="209" t="str">
        <f>$A149</f>
        <v>Fiin gammel af Oslo</v>
      </c>
      <c r="CC149" s="10"/>
      <c r="CD149" s="10"/>
      <c r="CE149" s="10"/>
      <c r="CF149" s="10"/>
      <c r="CG149" s="10"/>
      <c r="CH149" s="10"/>
      <c r="CI149" s="10"/>
      <c r="CJ149" s="10"/>
      <c r="CK149" s="10"/>
      <c r="CL149" s="209"/>
      <c r="CM149" s="10"/>
      <c r="CN149" s="209" t="str">
        <f>$A149</f>
        <v>Fiin gammel af Oslo</v>
      </c>
      <c r="CO149" s="207"/>
      <c r="CP149" s="207"/>
      <c r="CQ149" s="116"/>
      <c r="CR149" s="207"/>
      <c r="CS149" s="203"/>
      <c r="CT149" s="203" t="s">
        <v>23</v>
      </c>
      <c r="CU149" s="107" t="str">
        <f t="shared" si="36"/>
        <v>-</v>
      </c>
      <c r="CV149" s="62" t="str">
        <f t="shared" si="789"/>
        <v>-</v>
      </c>
      <c r="CW149" s="62" t="str">
        <f t="shared" si="84"/>
        <v>-</v>
      </c>
      <c r="CX149" s="62" t="str">
        <f t="shared" si="790"/>
        <v>-</v>
      </c>
      <c r="CY149" s="107" t="str">
        <f t="shared" si="85"/>
        <v>-</v>
      </c>
      <c r="CZ149" s="168" t="str">
        <f t="shared" si="693"/>
        <v>-</v>
      </c>
      <c r="DA149" s="158"/>
      <c r="DB149" s="168" t="str">
        <f t="shared" si="694"/>
        <v>-</v>
      </c>
      <c r="DC149" s="160">
        <v>1.23</v>
      </c>
      <c r="DD149" s="190" t="s">
        <v>134</v>
      </c>
      <c r="DE149" s="29" t="s">
        <v>23</v>
      </c>
      <c r="DF149" s="29" t="s">
        <v>23</v>
      </c>
      <c r="DG149" s="29" t="s">
        <v>23</v>
      </c>
      <c r="DH149" s="149">
        <v>2022</v>
      </c>
      <c r="DI149" s="62" t="str">
        <f t="shared" si="1198"/>
        <v>-</v>
      </c>
      <c r="DJ149" s="47">
        <f t="shared" si="1199"/>
        <v>0</v>
      </c>
      <c r="DK149" s="48">
        <f t="shared" si="1200"/>
        <v>0</v>
      </c>
      <c r="DM149" s="107" t="str">
        <f t="shared" si="1201"/>
        <v>-</v>
      </c>
      <c r="DN149" s="141" t="str">
        <f t="shared" si="1202"/>
        <v>-</v>
      </c>
      <c r="DO149" s="107">
        <f t="shared" si="1203"/>
        <v>4.3883753514569079</v>
      </c>
      <c r="DP149" s="133">
        <f>IF(SeilBeregnet=0,DP114,(SeilBeregnet^0.5/(Depl^0.3333))^DP$3*DP$7)</f>
        <v>2.5601341875442647</v>
      </c>
      <c r="DQ149" s="133">
        <f>IF(SeilBeregnet=0,DQ114,(SeilBeregnet^0.5/Lwl)^DQ$3*DQ$7)</f>
        <v>0</v>
      </c>
      <c r="DR149" s="133">
        <f>IF(SeilBeregnet=0,DR114,(0.1*Loa/Depl^0.3333)^DR$3*DR$7)</f>
        <v>0</v>
      </c>
      <c r="DS149" s="133">
        <f>IF(SeilBeregnet=0,DS114,((Loa)/Bredde)^DS$3*DS$7)</f>
        <v>1.8282411639126435</v>
      </c>
      <c r="DT149" s="107">
        <f>IF(SeilBeregnet=0,DT114,(Lwl)^DT$3)</f>
        <v>1.800102871839254</v>
      </c>
      <c r="DU149" s="133">
        <f>IF(SeilBeregnet=0,DU114,(Dypg/Loa)^DU$3*5*DU$7)</f>
        <v>1.9470448393802795</v>
      </c>
      <c r="DW149" s="107" t="str">
        <f t="shared" si="1241"/>
        <v>-</v>
      </c>
      <c r="DX149" s="107" t="str">
        <f t="shared" si="1205"/>
        <v>-</v>
      </c>
      <c r="DZ149" s="107" t="str">
        <f t="shared" si="1206"/>
        <v>-</v>
      </c>
      <c r="EA149" s="122" t="str">
        <f t="shared" si="1207"/>
        <v>-</v>
      </c>
      <c r="EB149" s="107" t="str">
        <f t="shared" si="1208"/>
        <v>-</v>
      </c>
      <c r="EC149" s="122" t="str">
        <f t="shared" si="1209"/>
        <v>-</v>
      </c>
      <c r="ED149" s="107">
        <f>IF(SeilBeregnet=0,ED114,SeilBeregnet^0.5/Depl^0.33333)</f>
        <v>2.5599193540913108</v>
      </c>
      <c r="EE149" s="107">
        <f>IF(SeilBeregnet=0,EE114,Lwl^0.3333)</f>
        <v>2.1895879451208748</v>
      </c>
      <c r="EF149" s="107">
        <f>IF(SeilBeregnet=0,EF114,((Loa+Lwl)/Bredde)^EF$3)</f>
        <v>1.579185865474966</v>
      </c>
      <c r="EH149" s="107" t="str">
        <f t="shared" si="1210"/>
        <v>-</v>
      </c>
      <c r="EJ149" s="107">
        <f>IF(SeilBeregnet=0,EJ114,SeilBeregnet^0.5/Depl^0.33333)</f>
        <v>2.5599193540913108</v>
      </c>
      <c r="EK149" s="107">
        <f>IF(SeilBeregnet=0,EK114,Lwl^EK$3)</f>
        <v>2.1897424068563001</v>
      </c>
      <c r="EL149" s="107">
        <f>IF(SeilBeregnet=0,EL114,((Loa+Lwl)/Bredde)^EL$3)</f>
        <v>1.8388707573234102</v>
      </c>
      <c r="EM149" s="107" t="str">
        <f t="shared" si="1211"/>
        <v>-</v>
      </c>
      <c r="EO149" s="107">
        <f>IF(SeilBeregnet=0,EO114,(EP149*EQ149)^EO$3)</f>
        <v>4.0425884607368028</v>
      </c>
      <c r="EP149" s="107">
        <f>IF(SeilBeregnet=0,EP114,SeilBeregnet^0.5/Depl^0.33333)</f>
        <v>2.5599193540913108</v>
      </c>
      <c r="EQ149" s="107">
        <f>IF(SeilBeregnet=0,EQ114,((Loa+Lwl)/Bredde)^EQ$3)</f>
        <v>1.579185865474966</v>
      </c>
      <c r="ER149" s="107">
        <f>IF(SeilBeregnet=0,ER114,Lwl^ER$3)</f>
        <v>1.800102871839254</v>
      </c>
      <c r="ES149" s="107" t="str">
        <f t="shared" si="1212"/>
        <v>-</v>
      </c>
      <c r="EU149" s="107">
        <f>IF(SeilBeregnet=0,EU114,(EV:EV*EW:EW)^EU$3)</f>
        <v>1.6071664569338588</v>
      </c>
      <c r="EV149" s="107">
        <f>IF(SeilBeregnet=0,EV114,SeilBeregnet^0.5/Depl^0.33333)</f>
        <v>2.5599193540913108</v>
      </c>
      <c r="EW149" s="107">
        <f>IF(SeilBeregnet=0,EW114,((Loa+Lwl)/Bredde/6)^EW$3)</f>
        <v>1.0090099190684112</v>
      </c>
      <c r="EX149" s="107">
        <f>IF(SeilBeregnet=0,EX114,(Lwl*0.7+Loa*0.3)^EX$3)</f>
        <v>1.8215740458755476</v>
      </c>
      <c r="EY149" s="107" t="str">
        <f t="shared" si="1213"/>
        <v>-</v>
      </c>
      <c r="FA149" s="107">
        <f t="shared" si="1214"/>
        <v>1.6072338937996271</v>
      </c>
      <c r="FB149" s="107">
        <f>IF(SeilBeregnet=0,FB114,SeilBeregnet^0.5/Depl^0.3333)</f>
        <v>2.5601341875442647</v>
      </c>
      <c r="FC149" s="107">
        <f>IF(SeilBeregnet=0,FC114,((Loa+Lwl)/Bredde/6)^FC$3)</f>
        <v>1.0090099190684112</v>
      </c>
      <c r="FD149" s="107">
        <f>IF(SeilBeregnet=0,FD114,(Lwl*0.7+Loa*0.3)^FD$3)</f>
        <v>1.8215740458755476</v>
      </c>
      <c r="FE149" s="107" t="str">
        <f t="shared" si="1215"/>
        <v>-</v>
      </c>
      <c r="FF149" s="141" t="str">
        <f t="shared" si="1216"/>
        <v>-</v>
      </c>
      <c r="FG149" s="107">
        <f t="shared" si="1217"/>
        <v>2.6064752194280656</v>
      </c>
      <c r="FH149" s="133">
        <f>IF(SeilBeregnet=0,FH114,(SeilBeregnet^0.5/(Depl^0.3333))^FH$3)</f>
        <v>2.5601341875442647</v>
      </c>
      <c r="FI149" s="133">
        <f>IF(SeilBeregnet=0,FI114,((Loa+Lwl)/Bredde/6)^FI$3)</f>
        <v>1.0181010167784417</v>
      </c>
      <c r="FJ149" s="107">
        <f>IF(SeilBeregnet=0,FJ114,(Lwl*0.07+Loa*0.03)^FJ$3)</f>
        <v>1.0243463628900011</v>
      </c>
      <c r="FK149" s="107" t="str">
        <f t="shared" si="1218"/>
        <v>-</v>
      </c>
      <c r="FL149" s="141" t="str">
        <f t="shared" si="1219"/>
        <v>-</v>
      </c>
      <c r="FM149" s="107">
        <f t="shared" si="1220"/>
        <v>4.507789162562017</v>
      </c>
      <c r="FN149" s="133">
        <f>IF(SeilBeregnet=0,FN114,(SeilBeregnet^0.5/(Depl^0.3333))^FN$3)</f>
        <v>2.5601341875442647</v>
      </c>
      <c r="FO149" s="133">
        <f>IF(SeilBeregnet=0,FO114,(SeilBeregnet^0.5/Lwl*FO$7)^FO$3)</f>
        <v>0.61941381110510851</v>
      </c>
      <c r="FP149" s="133">
        <f>IF(SeilBeregnet=0,FP114,((Loa)/Bredde)^FP$3*FP$7)</f>
        <v>1.8282411639126435</v>
      </c>
      <c r="FQ149" s="107">
        <f>IF(SeilBeregnet=0,FQ114,(Lwl)^FQ$3)</f>
        <v>1.800102871839254</v>
      </c>
      <c r="FR149" s="107" t="str">
        <f t="shared" si="1221"/>
        <v>-</v>
      </c>
      <c r="FS149" s="141" t="str">
        <f t="shared" si="1222"/>
        <v>-</v>
      </c>
      <c r="FT149" s="107">
        <f t="shared" si="1223"/>
        <v>4.6805427068084766</v>
      </c>
      <c r="FU149" s="133">
        <f>IF(SeilBeregnet=0,FU114,(SeilBeregnet^0.5/(Depl^0.3333))^FU$3)</f>
        <v>2.5601341875442647</v>
      </c>
      <c r="FV149" s="133">
        <f>IF(SeilBeregnet=0,FV114,(Loa/Bredde)^FV$3)</f>
        <v>1.8282411639126435</v>
      </c>
      <c r="FW149" s="107">
        <f>IF(SeilBeregnet=0,FW114,Lwl^FW$3)</f>
        <v>1.800102871839254</v>
      </c>
      <c r="FY149" s="336">
        <v>1</v>
      </c>
      <c r="FZ149" s="62" t="str">
        <f t="shared" si="711"/>
        <v>-</v>
      </c>
      <c r="GA149" s="62">
        <f t="shared" si="712"/>
        <v>2</v>
      </c>
      <c r="GB149" s="107" t="str">
        <f t="shared" si="798"/>
        <v>-</v>
      </c>
      <c r="GC149" s="441" t="s">
        <v>982</v>
      </c>
      <c r="GD149" s="57" t="s">
        <v>983</v>
      </c>
      <c r="GE149" s="436" t="s">
        <v>984</v>
      </c>
      <c r="GF149" s="496" t="s">
        <v>985</v>
      </c>
      <c r="GG149" s="57" t="s">
        <v>986</v>
      </c>
      <c r="GH149" s="57" t="s">
        <v>987</v>
      </c>
      <c r="GI149" s="57" t="s">
        <v>416</v>
      </c>
      <c r="GJ149" s="57" t="s">
        <v>988</v>
      </c>
      <c r="GL149" s="57"/>
      <c r="GM149" s="436"/>
      <c r="GN149" s="58"/>
      <c r="GO149" s="58"/>
      <c r="GP149" s="58"/>
      <c r="GQ149" s="58"/>
      <c r="GS149" s="57" t="s">
        <v>208</v>
      </c>
      <c r="GT149" s="599" t="s">
        <v>989</v>
      </c>
      <c r="GU149" s="57" t="s">
        <v>842</v>
      </c>
      <c r="GV149" s="632" t="s">
        <v>981</v>
      </c>
      <c r="GW149" s="57">
        <v>1983</v>
      </c>
      <c r="GX149" s="57" t="s">
        <v>431</v>
      </c>
      <c r="GY149" s="57" t="s">
        <v>683</v>
      </c>
      <c r="GZ149" s="57"/>
    </row>
    <row r="150" spans="1:208" ht="15.6" x14ac:dyDescent="0.3">
      <c r="A150" s="60" t="s">
        <v>33</v>
      </c>
      <c r="B150" s="218"/>
      <c r="C150" s="61" t="str">
        <f>C149</f>
        <v>Bermuda</v>
      </c>
      <c r="D150" s="61"/>
      <c r="E150" s="61"/>
      <c r="F150" s="61"/>
      <c r="G150" s="54"/>
      <c r="H150" s="204">
        <f>IF(StH=0,0,TBFavrundet)</f>
        <v>0</v>
      </c>
      <c r="I150" s="63">
        <f>COUNTA(O150:AG150)</f>
        <v>0</v>
      </c>
      <c r="J150" s="222">
        <f>SUM(O150:AG150)</f>
        <v>0</v>
      </c>
      <c r="K150" s="116" t="e">
        <f>Seilareal/Depl^0.667/K$7</f>
        <v>#DIV/0!</v>
      </c>
      <c r="L150" s="116" t="e">
        <f>Seilareal/Lwl/Lwl/L$7</f>
        <v>#DIV/0!</v>
      </c>
      <c r="M150" s="92" t="e">
        <f>RiggF</f>
        <v>#DIV/0!</v>
      </c>
      <c r="N150" s="242" t="str">
        <f>StHfaktor</f>
        <v>-</v>
      </c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551"/>
      <c r="AH150" s="557">
        <f t="shared" ref="AH150:AI150" si="1352">AH149</f>
        <v>0</v>
      </c>
      <c r="AI150" s="557">
        <f t="shared" si="1352"/>
        <v>0</v>
      </c>
      <c r="AJ150" s="337">
        <f t="shared" si="1328"/>
        <v>0</v>
      </c>
      <c r="AK150" s="339"/>
      <c r="AL150" s="337">
        <f t="shared" si="1329"/>
        <v>0</v>
      </c>
      <c r="AM150" s="339"/>
      <c r="AN150" s="267" t="str">
        <f t="shared" si="1330"/>
        <v>Meter</v>
      </c>
      <c r="AO150" s="45">
        <f>VLOOKUP(AN150,Skrogform!$1:$1048576,3,FALSE)</f>
        <v>1</v>
      </c>
      <c r="AP150" s="64">
        <f t="shared" ref="AP150:AW150" si="1353">AP149</f>
        <v>8.8000000000000007</v>
      </c>
      <c r="AQ150" s="64">
        <f t="shared" si="1353"/>
        <v>0</v>
      </c>
      <c r="AR150" s="64">
        <f t="shared" si="1353"/>
        <v>1.95</v>
      </c>
      <c r="AS150" s="64">
        <f t="shared" si="1353"/>
        <v>0</v>
      </c>
      <c r="AT150" s="64">
        <f t="shared" si="1353"/>
        <v>0</v>
      </c>
      <c r="AU150" s="64">
        <f t="shared" si="1353"/>
        <v>0</v>
      </c>
      <c r="AV150" s="64">
        <f t="shared" si="1353"/>
        <v>0</v>
      </c>
      <c r="AW150" s="64">
        <f t="shared" si="1353"/>
        <v>0</v>
      </c>
      <c r="AX150" s="256">
        <f>AX149</f>
        <v>0</v>
      </c>
      <c r="AY150" s="256">
        <f t="shared" ref="AY150:BB150" si="1354">AY149</f>
        <v>0</v>
      </c>
      <c r="AZ150" s="256">
        <f t="shared" si="1354"/>
        <v>0</v>
      </c>
      <c r="BA150" s="256">
        <f t="shared" si="1354"/>
        <v>0</v>
      </c>
      <c r="BB150" s="256">
        <f t="shared" si="1354"/>
        <v>0</v>
      </c>
      <c r="BC150" s="256"/>
      <c r="BD150" s="66"/>
      <c r="BE150" s="66"/>
      <c r="BF150" s="261"/>
      <c r="BG150" s="66"/>
      <c r="BH150" s="175"/>
      <c r="BI150" s="66"/>
      <c r="BJ150" s="66"/>
      <c r="BK150" s="65">
        <f t="shared" ref="BK150:BM150" si="1355" xml:space="preserve"> BK149</f>
        <v>0</v>
      </c>
      <c r="BL150" s="267">
        <f t="shared" si="1355"/>
        <v>0</v>
      </c>
      <c r="BM150" s="267">
        <f t="shared" si="1355"/>
        <v>0</v>
      </c>
      <c r="BN150" s="45">
        <f t="shared" si="1197"/>
        <v>1</v>
      </c>
      <c r="BO150" s="59"/>
      <c r="BP150" s="59"/>
      <c r="BR150" s="49">
        <f t="shared" ref="BR150" si="1356">IF(O150=0,0,O150*BR$9)</f>
        <v>0</v>
      </c>
      <c r="BS150" s="49">
        <f t="shared" ref="BS150" si="1357">IF(P150=0,0,P150*BS$9)</f>
        <v>0</v>
      </c>
      <c r="BT150" s="49">
        <f t="shared" ref="BT150" si="1358">IF(Q150=0,0,Q150*BT$9)</f>
        <v>0</v>
      </c>
      <c r="BU150" s="49">
        <f t="shared" ref="BU150" si="1359">IF(R150=0,0,R150*BU$9)</f>
        <v>0</v>
      </c>
      <c r="BV150" s="49">
        <f t="shared" ref="BV150" si="1360">IF(S150=0,0,S150*BV$9)</f>
        <v>0</v>
      </c>
      <c r="BW150" s="49">
        <f t="shared" ref="BW150" si="1361">IF(T150=0,0,T150*BW$9)</f>
        <v>0</v>
      </c>
      <c r="BX150" s="49">
        <f t="shared" ref="BX150" si="1362">IF(U150=0,0,U150*BX$9)</f>
        <v>0</v>
      </c>
      <c r="BY150" s="549">
        <f>IF(COUNT(Q150:U150)&gt;1,MINA(Q150:U150)*BY$9,0)</f>
        <v>0</v>
      </c>
      <c r="BZ150" s="85">
        <f t="shared" ref="BZ150" si="1363">IF(V150=0,0,V150*BZ$9)</f>
        <v>0</v>
      </c>
      <c r="CA150" s="85">
        <f t="shared" ref="CA150" si="1364">IF(W150=0,0,W150*CA$9)</f>
        <v>0</v>
      </c>
      <c r="CB150" s="85">
        <f t="shared" ref="CB150" si="1365">IF(X150=0,0,X150*CB$9)</f>
        <v>0</v>
      </c>
      <c r="CC150" s="85">
        <f t="shared" ref="CC150" si="1366">IF(Y150=0,0,Y150*CC$9)</f>
        <v>0</v>
      </c>
      <c r="CD150" s="85">
        <f t="shared" ref="CD150" si="1367">IF(Z150=0,0,Z150*CD$9)</f>
        <v>0</v>
      </c>
      <c r="CE150" s="85">
        <f>IF(AC150=0,0,AC150*CE$9)</f>
        <v>0</v>
      </c>
      <c r="CF150" s="85">
        <f t="shared" ref="CF150" si="1368">IF(AA150=0,0,AA150*CF$9)</f>
        <v>0</v>
      </c>
      <c r="CG150" s="85">
        <f t="shared" ref="CG150" si="1369">IF(AB150=0,0,AB150*CG$9)</f>
        <v>0</v>
      </c>
      <c r="CH150" s="85">
        <f t="shared" ref="CH150" si="1370">IF(AD150=0,0,AD150*CH$9)</f>
        <v>0</v>
      </c>
      <c r="CI150" s="85">
        <f t="shared" ref="CI150" si="1371">IF(AE150=0,0,AE150*CI$9)</f>
        <v>0</v>
      </c>
      <c r="CJ150" s="85">
        <f t="shared" ref="CJ150" si="1372">IF(AF150=0,0,AF150*CJ$9)</f>
        <v>0</v>
      </c>
      <c r="CK150" s="85">
        <f t="shared" ref="CK150" si="1373">IF(AG150=0,0,AG150*CK$9)</f>
        <v>0</v>
      </c>
      <c r="CL150" s="100">
        <f>SUM(BR150:CK150)</f>
        <v>0</v>
      </c>
      <c r="CM150" s="50"/>
      <c r="CN150" s="104">
        <f>J150</f>
        <v>0</v>
      </c>
      <c r="CO150" s="101" t="e">
        <f>CL150/CN150</f>
        <v>#DIV/0!</v>
      </c>
      <c r="CP150" s="51" t="e">
        <f>Seilareal/Lwl/Lwl</f>
        <v>#DIV/0!</v>
      </c>
      <c r="CQ150" s="116" t="e">
        <f>Seilareal/Depl^0.667/K$7</f>
        <v>#DIV/0!</v>
      </c>
      <c r="CR150" s="51" t="e">
        <f>Seilareal/Lwl/Lwl/SApRS1</f>
        <v>#DIV/0!</v>
      </c>
      <c r="CS150" s="204"/>
      <c r="CT150" s="204" t="e">
        <f>(ROUND(TBF/CT$6,3)*CT$6)*CT$4</f>
        <v>#VALUE!</v>
      </c>
      <c r="CU150" s="107" t="str">
        <f t="shared" si="36"/>
        <v>-</v>
      </c>
      <c r="CV150" s="62" t="str">
        <f t="shared" si="789"/>
        <v>-</v>
      </c>
      <c r="CW150" s="62" t="str">
        <f t="shared" si="84"/>
        <v>-</v>
      </c>
      <c r="CX150" s="62" t="str">
        <f t="shared" si="790"/>
        <v>-</v>
      </c>
      <c r="CY150" s="107" t="str">
        <f t="shared" si="85"/>
        <v>-</v>
      </c>
      <c r="CZ150" s="168" t="str">
        <f t="shared" si="693"/>
        <v>-</v>
      </c>
      <c r="DA150" s="159">
        <f>DA149</f>
        <v>0</v>
      </c>
      <c r="DB150" s="168" t="e">
        <f t="shared" si="694"/>
        <v>#VALUE!</v>
      </c>
      <c r="DC150" s="159">
        <f>DC149</f>
        <v>1.23</v>
      </c>
      <c r="DD150" s="190" t="s">
        <v>134</v>
      </c>
      <c r="DE150" s="62" t="s">
        <v>102</v>
      </c>
      <c r="DF150" s="62" t="s">
        <v>102</v>
      </c>
      <c r="DG150" s="62" t="s">
        <v>102</v>
      </c>
      <c r="DH150" s="150" t="s">
        <v>102</v>
      </c>
      <c r="DI150" s="62" t="str">
        <f t="shared" si="1198"/>
        <v>-</v>
      </c>
      <c r="DJ150" s="47">
        <f t="shared" si="1199"/>
        <v>0</v>
      </c>
      <c r="DK150" s="48">
        <f t="shared" si="1200"/>
        <v>0</v>
      </c>
      <c r="DM150" s="107" t="str">
        <f t="shared" si="1201"/>
        <v>-</v>
      </c>
      <c r="DN150" s="141" t="str">
        <f t="shared" si="1202"/>
        <v>-</v>
      </c>
      <c r="DO150" s="107">
        <f t="shared" si="1203"/>
        <v>4.3883753514569079</v>
      </c>
      <c r="DP150" s="133">
        <f>IF(SeilBeregnet=0,DP149,(SeilBeregnet^0.5/(Depl^0.3333))^DP$3*DP$7)</f>
        <v>2.5601341875442647</v>
      </c>
      <c r="DQ150" s="133">
        <f>IF(SeilBeregnet=0,DQ149,(SeilBeregnet^0.5/Lwl)^DQ$3*DQ$7)</f>
        <v>0</v>
      </c>
      <c r="DR150" s="133">
        <f>IF(SeilBeregnet=0,DR149,(0.1*Loa/Depl^0.3333)^DR$3*DR$7)</f>
        <v>0</v>
      </c>
      <c r="DS150" s="133">
        <f>IF(SeilBeregnet=0,DS149,((Loa)/Bredde)^DS$3*DS$7)</f>
        <v>1.8282411639126435</v>
      </c>
      <c r="DT150" s="107">
        <f>IF(SeilBeregnet=0,DT149,(Lwl)^DT$3)</f>
        <v>1.800102871839254</v>
      </c>
      <c r="DU150" s="133">
        <f>IF(SeilBeregnet=0,DU149,(Dypg/Loa)^DU$3*5*DU$7)</f>
        <v>1.9470448393802795</v>
      </c>
      <c r="DW150" s="107" t="str">
        <f t="shared" si="1241"/>
        <v>-</v>
      </c>
      <c r="DX150" s="107" t="str">
        <f t="shared" si="1205"/>
        <v>-</v>
      </c>
      <c r="DZ150" s="107" t="str">
        <f t="shared" si="1206"/>
        <v>-</v>
      </c>
      <c r="EA150" s="122" t="str">
        <f t="shared" si="1207"/>
        <v>-</v>
      </c>
      <c r="EB150" s="107" t="str">
        <f t="shared" si="1208"/>
        <v>-</v>
      </c>
      <c r="EC150" s="122" t="str">
        <f t="shared" si="1209"/>
        <v>-</v>
      </c>
      <c r="ED150" s="107">
        <f>IF(SeilBeregnet=0,ED149,SeilBeregnet^0.5/Depl^0.33333)</f>
        <v>2.5599193540913108</v>
      </c>
      <c r="EE150" s="107">
        <f>IF(SeilBeregnet=0,EE149,Lwl^0.3333)</f>
        <v>2.1895879451208748</v>
      </c>
      <c r="EF150" s="107">
        <f>IF(SeilBeregnet=0,EF149,((Loa+Lwl)/Bredde)^EF$3)</f>
        <v>1.579185865474966</v>
      </c>
      <c r="EH150" s="107" t="str">
        <f t="shared" si="1210"/>
        <v>-</v>
      </c>
      <c r="EJ150" s="107">
        <f>IF(SeilBeregnet=0,EJ149,SeilBeregnet^0.5/Depl^0.33333)</f>
        <v>2.5599193540913108</v>
      </c>
      <c r="EK150" s="107">
        <f>IF(SeilBeregnet=0,EK149,Lwl^EK$3)</f>
        <v>2.1897424068563001</v>
      </c>
      <c r="EL150" s="107">
        <f>IF(SeilBeregnet=0,EL149,((Loa+Lwl)/Bredde)^EL$3)</f>
        <v>1.8388707573234102</v>
      </c>
      <c r="EM150" s="107" t="str">
        <f t="shared" si="1211"/>
        <v>-</v>
      </c>
      <c r="EO150" s="107">
        <f>IF(SeilBeregnet=0,EO149,(EP150*EQ150)^EO$3)</f>
        <v>4.0425884607368028</v>
      </c>
      <c r="EP150" s="107">
        <f>IF(SeilBeregnet=0,EP149,SeilBeregnet^0.5/Depl^0.33333)</f>
        <v>2.5599193540913108</v>
      </c>
      <c r="EQ150" s="107">
        <f>IF(SeilBeregnet=0,EQ149,((Loa+Lwl)/Bredde)^EQ$3)</f>
        <v>1.579185865474966</v>
      </c>
      <c r="ER150" s="107">
        <f>IF(SeilBeregnet=0,ER149,Lwl^ER$3)</f>
        <v>1.800102871839254</v>
      </c>
      <c r="ES150" s="107" t="str">
        <f t="shared" si="1212"/>
        <v>-</v>
      </c>
      <c r="EU150" s="107">
        <f>IF(SeilBeregnet=0,EU149,(EV:EV*EW:EW)^EU$3)</f>
        <v>1.6071664569338588</v>
      </c>
      <c r="EV150" s="107">
        <f>IF(SeilBeregnet=0,EV149,SeilBeregnet^0.5/Depl^0.33333)</f>
        <v>2.5599193540913108</v>
      </c>
      <c r="EW150" s="107">
        <f>IF(SeilBeregnet=0,EW149,((Loa+Lwl)/Bredde/6)^EW$3)</f>
        <v>1.0090099190684112</v>
      </c>
      <c r="EX150" s="107">
        <f>IF(SeilBeregnet=0,EX149,(Lwl*0.7+Loa*0.3)^EX$3)</f>
        <v>1.8215740458755476</v>
      </c>
      <c r="EY150" s="107" t="str">
        <f t="shared" si="1213"/>
        <v>-</v>
      </c>
      <c r="FA150" s="107">
        <f t="shared" si="1214"/>
        <v>1.6072338937996271</v>
      </c>
      <c r="FB150" s="107">
        <f>IF(SeilBeregnet=0,FB149,SeilBeregnet^0.5/Depl^0.3333)</f>
        <v>2.5601341875442647</v>
      </c>
      <c r="FC150" s="107">
        <f>IF(SeilBeregnet=0,FC149,((Loa+Lwl)/Bredde/6)^FC$3)</f>
        <v>1.0090099190684112</v>
      </c>
      <c r="FD150" s="107">
        <f>IF(SeilBeregnet=0,FD149,(Lwl*0.7+Loa*0.3)^FD$3)</f>
        <v>1.8215740458755476</v>
      </c>
      <c r="FE150" s="107" t="str">
        <f t="shared" si="1215"/>
        <v>-</v>
      </c>
      <c r="FF150" s="141" t="str">
        <f t="shared" si="1216"/>
        <v>-</v>
      </c>
      <c r="FG150" s="107">
        <f t="shared" si="1217"/>
        <v>2.6064752194280656</v>
      </c>
      <c r="FH150" s="133">
        <f>IF(SeilBeregnet=0,FH149,(SeilBeregnet^0.5/(Depl^0.3333))^FH$3)</f>
        <v>2.5601341875442647</v>
      </c>
      <c r="FI150" s="133">
        <f>IF(SeilBeregnet=0,FI149,((Loa+Lwl)/Bredde/6)^FI$3)</f>
        <v>1.0181010167784417</v>
      </c>
      <c r="FJ150" s="107">
        <f>IF(SeilBeregnet=0,FJ149,(Lwl*0.07+Loa*0.03)^FJ$3)</f>
        <v>1.0243463628900011</v>
      </c>
      <c r="FK150" s="107" t="str">
        <f t="shared" si="1218"/>
        <v>-</v>
      </c>
      <c r="FL150" s="141" t="str">
        <f t="shared" si="1219"/>
        <v>-</v>
      </c>
      <c r="FM150" s="107">
        <f t="shared" si="1220"/>
        <v>4.507789162562017</v>
      </c>
      <c r="FN150" s="133">
        <f>IF(SeilBeregnet=0,FN149,(SeilBeregnet^0.5/(Depl^0.3333))^FN$3)</f>
        <v>2.5601341875442647</v>
      </c>
      <c r="FO150" s="133">
        <f>IF(SeilBeregnet=0,FO149,(SeilBeregnet^0.5/Lwl*FO$7)^FO$3)</f>
        <v>0.61941381110510851</v>
      </c>
      <c r="FP150" s="133">
        <f>IF(SeilBeregnet=0,FP149,((Loa)/Bredde)^FP$3*FP$7)</f>
        <v>1.8282411639126435</v>
      </c>
      <c r="FQ150" s="107">
        <f>IF(SeilBeregnet=0,FQ149,(Lwl)^FQ$3)</f>
        <v>1.800102871839254</v>
      </c>
      <c r="FR150" s="107" t="str">
        <f t="shared" si="1221"/>
        <v>-</v>
      </c>
      <c r="FS150" s="141" t="str">
        <f t="shared" si="1222"/>
        <v>-</v>
      </c>
      <c r="FT150" s="107">
        <f t="shared" si="1223"/>
        <v>4.6805427068084766</v>
      </c>
      <c r="FU150" s="133">
        <f>IF(SeilBeregnet=0,FU149,(SeilBeregnet^0.5/(Depl^0.3333))^FU$3)</f>
        <v>2.5601341875442647</v>
      </c>
      <c r="FV150" s="133">
        <f>IF(SeilBeregnet=0,FV149,(Loa/Bredde)^FV$3)</f>
        <v>1.8282411639126435</v>
      </c>
      <c r="FW150" s="107">
        <f>IF(SeilBeregnet=0,FW149,Lwl^FW$3)</f>
        <v>1.800102871839254</v>
      </c>
      <c r="FY150" s="336">
        <v>1</v>
      </c>
      <c r="FZ150" s="62" t="str">
        <f t="shared" si="711"/>
        <v>-</v>
      </c>
      <c r="GA150" s="62">
        <f t="shared" si="712"/>
        <v>2</v>
      </c>
      <c r="GB150" s="107" t="str">
        <f t="shared" si="798"/>
        <v>-</v>
      </c>
      <c r="GC150" s="440"/>
      <c r="GD150" s="17"/>
      <c r="GE150" s="442"/>
      <c r="GF150" s="462"/>
      <c r="GG150" s="17"/>
      <c r="GH150" s="17"/>
      <c r="GI150" s="17"/>
      <c r="GJ150" s="17"/>
      <c r="GL150" s="17"/>
      <c r="GM150" s="442"/>
      <c r="GN150" s="8"/>
      <c r="GO150" s="8"/>
      <c r="GP150" s="8"/>
      <c r="GQ150" s="8"/>
      <c r="GS150" s="17"/>
      <c r="GT150" s="17"/>
      <c r="GU150" s="17"/>
      <c r="GV150" s="629"/>
      <c r="GW150" s="17"/>
      <c r="GX150" s="17"/>
      <c r="GY150" s="17"/>
      <c r="GZ150" s="17"/>
    </row>
    <row r="151" spans="1:208" ht="15.6" x14ac:dyDescent="0.3">
      <c r="A151" s="52" t="s">
        <v>938</v>
      </c>
      <c r="B151" s="218">
        <f t="shared" si="10"/>
        <v>34.776902887139101</v>
      </c>
      <c r="C151" s="53" t="s">
        <v>38</v>
      </c>
      <c r="D151" s="53"/>
      <c r="E151" s="53"/>
      <c r="F151" s="53"/>
      <c r="G151" s="54"/>
      <c r="H151" s="112">
        <f>J152</f>
        <v>40</v>
      </c>
      <c r="I151" s="601">
        <f>H152/100</f>
        <v>1.37</v>
      </c>
      <c r="J151" s="651">
        <f>IF(DC152=0,"-",DC152)</f>
        <v>1.29</v>
      </c>
      <c r="K151" s="123" t="str">
        <f>A151</f>
        <v>Era IOD</v>
      </c>
      <c r="L151" s="116"/>
      <c r="M151" s="116"/>
      <c r="N151" s="92"/>
      <c r="O151" s="165"/>
      <c r="P151" s="165"/>
      <c r="Q151" s="165"/>
      <c r="R151" s="165"/>
      <c r="S151" s="165"/>
      <c r="T151" s="165"/>
      <c r="U151" s="165">
        <v>10.199999999999999</v>
      </c>
      <c r="V151" s="559"/>
      <c r="W151" s="559"/>
      <c r="X151" s="165"/>
      <c r="Y151" s="165"/>
      <c r="Z151" s="165"/>
      <c r="AA151" s="165"/>
      <c r="AB151" s="165"/>
      <c r="AC151" s="165"/>
      <c r="AD151" s="165"/>
      <c r="AE151" s="165">
        <v>29.8</v>
      </c>
      <c r="AF151" s="165"/>
      <c r="AG151" s="552"/>
      <c r="AH151" s="241">
        <f>Loa*1.1</f>
        <v>11.66</v>
      </c>
      <c r="AI151" s="241">
        <f>Loa*1.1</f>
        <v>11.66</v>
      </c>
      <c r="AJ151" s="554"/>
      <c r="AK151" s="339"/>
      <c r="AL151" s="268"/>
      <c r="AM151" s="339"/>
      <c r="AN151" s="268" t="s">
        <v>214</v>
      </c>
      <c r="AO151" s="45">
        <f>VLOOKUP(AN151,Skrogform!$1:$1048576,3,FALSE)</f>
        <v>1</v>
      </c>
      <c r="AP151" s="55">
        <v>10.6</v>
      </c>
      <c r="AQ151" s="171">
        <f>AP151*0.7</f>
        <v>7.419999999999999</v>
      </c>
      <c r="AR151" s="55">
        <v>2.06</v>
      </c>
      <c r="AS151" s="55"/>
      <c r="AT151" s="637">
        <v>3.23</v>
      </c>
      <c r="AU151" s="55">
        <f>AT151+VektAnnet/1000+VektMotor/1000</f>
        <v>3.5300000000000002</v>
      </c>
      <c r="AV151" s="55">
        <v>2.06</v>
      </c>
      <c r="AW151" s="55"/>
      <c r="AX151" s="253">
        <v>200</v>
      </c>
      <c r="AY151" s="253">
        <v>7</v>
      </c>
      <c r="AZ151" s="254">
        <v>100</v>
      </c>
      <c r="BA151" s="253">
        <v>30</v>
      </c>
      <c r="BB151" s="253">
        <v>20</v>
      </c>
      <c r="BC151" s="244">
        <f>Depl+Diesel/1000*0.84+Vann/1000</f>
        <v>3.5768</v>
      </c>
      <c r="BD151" s="95">
        <f>Bredde/(Loa+Lwl)*2</f>
        <v>0.22863485016648169</v>
      </c>
      <c r="BE151" s="95">
        <f>(Kjøl+Ballast)/Depl</f>
        <v>0.58356940509915012</v>
      </c>
      <c r="BF151" s="260">
        <f>BF$7*((Depl-Kjøl-Ballast-VektMotor/1000-VektAnnet/1000)/Lwl/Lwl/Bredde)</f>
        <v>0.38930542399486845</v>
      </c>
      <c r="BG151" s="95">
        <f>BG$7*(Depl/Loa/Lwl/Lwl)</f>
        <v>0.44511811040973026</v>
      </c>
      <c r="BH151" s="174">
        <f>BH$7*(Depl/Loa/Lwl/Bredde)</f>
        <v>0.59263085817629002</v>
      </c>
      <c r="BI151" s="95">
        <f>BI$7*Bredde/(Loa+Lwl)*2</f>
        <v>0.65222393278674828</v>
      </c>
      <c r="BJ151" s="95">
        <f>BJ$7*(Dypg/Lwl)</f>
        <v>0</v>
      </c>
      <c r="BK151" s="56"/>
      <c r="BL151" s="268"/>
      <c r="BM151" s="268"/>
      <c r="BN151" s="45">
        <f>IF((BK151="Fast"),(1.006248-(0.06415*((BM151/100*SQRT(BL151))/POWER(AU151,(1/3))))),1)</f>
        <v>1</v>
      </c>
      <c r="BO151" s="59"/>
      <c r="BP151" s="59"/>
      <c r="BR151" s="209"/>
      <c r="BS151" s="209"/>
      <c r="BT151" s="209" t="str">
        <f>$A151</f>
        <v>Era IOD</v>
      </c>
      <c r="BU151" s="10"/>
      <c r="BV151" s="10"/>
      <c r="BW151" s="10"/>
      <c r="BX151" s="10"/>
      <c r="BY151" s="549"/>
      <c r="BZ151" s="10"/>
      <c r="CA151" s="10"/>
      <c r="CB151" s="209" t="str">
        <f>$A151</f>
        <v>Era IOD</v>
      </c>
      <c r="CC151" s="10"/>
      <c r="CD151" s="10"/>
      <c r="CE151" s="10"/>
      <c r="CF151" s="10"/>
      <c r="CG151" s="10"/>
      <c r="CH151" s="10"/>
      <c r="CI151" s="10"/>
      <c r="CJ151" s="10"/>
      <c r="CK151" s="10"/>
      <c r="CL151" s="209"/>
      <c r="CM151" s="10"/>
      <c r="CN151" s="209" t="str">
        <f>$A151</f>
        <v>Era IOD</v>
      </c>
      <c r="CO151" s="207"/>
      <c r="CP151" s="207"/>
      <c r="CQ151" s="116"/>
      <c r="CR151" s="207"/>
      <c r="CS151" s="203"/>
      <c r="CT151" s="203" t="s">
        <v>23</v>
      </c>
      <c r="CU151" s="107" t="str">
        <f t="shared" si="83"/>
        <v>-</v>
      </c>
      <c r="CV151" s="62" t="str">
        <f t="shared" si="789"/>
        <v>-</v>
      </c>
      <c r="CW151" s="62" t="str">
        <f t="shared" si="84"/>
        <v>-</v>
      </c>
      <c r="CX151" s="62" t="str">
        <f t="shared" si="790"/>
        <v>-</v>
      </c>
      <c r="CY151" s="107" t="str">
        <f t="shared" si="85"/>
        <v>-</v>
      </c>
      <c r="CZ151" s="168" t="str">
        <f>IF(DA151=0,"-",IF(CP151="TBF","-",CZ$7*DA151))</f>
        <v>-</v>
      </c>
      <c r="DA151" s="158"/>
      <c r="DB151" s="168" t="str">
        <f>IF(DC151=0,"-",IF(CT151="TBF","-",DB$7*DC151))</f>
        <v>-</v>
      </c>
      <c r="DC151" s="160">
        <v>1.29</v>
      </c>
      <c r="DD151" s="190" t="s">
        <v>134</v>
      </c>
      <c r="DE151" s="29" t="s">
        <v>23</v>
      </c>
      <c r="DF151" s="29" t="s">
        <v>23</v>
      </c>
      <c r="DG151" s="29" t="s">
        <v>23</v>
      </c>
      <c r="DH151" s="149">
        <v>2022</v>
      </c>
      <c r="DI151" s="62" t="str">
        <f t="shared" ref="DI151:DI275" si="1374">IF(SeilBeregnet=0,"-",((Dypg/(Lwl+DI$6-Bredde*DI$5))^(1/DI$4)*5)*DI$3*DI$7)</f>
        <v>-</v>
      </c>
      <c r="DJ151" s="47">
        <f t="shared" ref="DJ151:DJ275" si="1375">(Dypg/(Lwl+Bredde+DJ$8)*100)</f>
        <v>0</v>
      </c>
      <c r="DK151" s="48">
        <f>DJ$7*IF(DJ151&lt;DJ$5,-0.04,IF(DJ151&lt;DJ$5*1.1,-0.03,IF(DJ151&lt;DJ$5*1.2,-0.02,IF(DJ151&lt;DJ$5*1.3,-0.01,0))))</f>
        <v>0</v>
      </c>
      <c r="DM151" s="107" t="str">
        <f t="shared" si="1201"/>
        <v>-</v>
      </c>
      <c r="DN151" s="141" t="str">
        <f>IF($DY151=0,"-",(DM151-$DW151)*100)</f>
        <v>-</v>
      </c>
      <c r="DO151" s="107">
        <f>SUM(DP151:DS151)^DO$3+DO$7</f>
        <v>5.2182450623375232</v>
      </c>
      <c r="DP151" s="133">
        <f>IF(SeilBeregnet=0,DP132,(SeilBeregnet^0.5/(Depl^0.3333))^DP$3*DP$7)</f>
        <v>3.3536421056610863</v>
      </c>
      <c r="DQ151" s="133">
        <f>IF(SeilBeregnet=0,DQ132,(SeilBeregnet^0.5/Lwl)^DQ$3*DQ$7)</f>
        <v>0</v>
      </c>
      <c r="DR151" s="133">
        <f>IF(SeilBeregnet=0,DR132,(0.1*Loa/Depl^0.3333)^DR$3*DR$7)</f>
        <v>0</v>
      </c>
      <c r="DS151" s="133">
        <f>IF(SeilBeregnet=0,DS132,((Loa)/Bredde)^DS$3*DS$7)</f>
        <v>1.8646029566764373</v>
      </c>
      <c r="DT151" s="107">
        <f>IF(SeilBeregnet=0,DT132,(Lwl)^DT$3)</f>
        <v>1.8859172433475835</v>
      </c>
      <c r="DU151" s="133">
        <f>IF(SeilBeregnet=0,DU132,(Dypg/Loa)^DU$3*5*DU$7)</f>
        <v>2.0446520502738266</v>
      </c>
      <c r="DW151" s="107" t="str">
        <f t="shared" si="1241"/>
        <v>-</v>
      </c>
      <c r="DX151" s="107" t="str">
        <f t="shared" ref="DX151:DX275" si="1376">IF(SeilBeregnet=0,"-",DX$7*(DX$4*SeilBeregnet^0.5/(Depl^0.33333*Bredde*Lwl)^0.3333*((Loa*0.03+Lwl*0.07)^0.33)*PropF+DX$6)+ErfaringsF+Dyp_F)</f>
        <v>-</v>
      </c>
      <c r="DZ151" s="107" t="str">
        <f t="shared" ref="DZ151:DZ275" si="1377">IF(SeilBeregnet=0,"-",DZ$7*(DZ$4*SeilBeregnet^0.5/(Depl^0.33333*Bredde*Lwl)^0.3333*Lwl^0.3333*((Loa+Lwl)/Bredde/6)^0.25*PropF+DZ$6)+ErfaringsF+Dyp_F)</f>
        <v>-</v>
      </c>
      <c r="EA151" s="122" t="str">
        <f>IF($DY151=0,"-",DZ151-$DW151)</f>
        <v>-</v>
      </c>
      <c r="EB151" s="107" t="str">
        <f>IF(SeilBeregnet=0,"-",EB$7*(EB$4*ED151*EE151*EF151*PropF+EB$6)+ErfaringsF+Dyp_F)</f>
        <v>-</v>
      </c>
      <c r="EC151" s="122" t="str">
        <f>IF($DY151=0,"-",EB151-$DW151)</f>
        <v>-</v>
      </c>
      <c r="ED151" s="107">
        <f>IF(SeilBeregnet=0,ED132,SeilBeregnet^0.5/Depl^0.33333)</f>
        <v>3.3533105303350115</v>
      </c>
      <c r="EE151" s="107">
        <f>IF(SeilBeregnet=0,EE132,Lwl^0.3333)</f>
        <v>2.3298436208665341</v>
      </c>
      <c r="EF151" s="107">
        <f>IF(SeilBeregnet=0,EF132,((Loa+Lwl)/Bredde)^EF$3)</f>
        <v>1.5916961163398649</v>
      </c>
      <c r="EH151" s="107" t="str">
        <f>IF(SeilBeregnet=0,"-",EH$7*(EH$4*EJ151*EK151*EL151*PropF+EH$6)+ErfaringsF+Dyp_F)</f>
        <v>-</v>
      </c>
      <c r="EJ151" s="107">
        <f>IF(SeilBeregnet=0,EJ132,SeilBeregnet^0.5/Depl^0.33333)</f>
        <v>3.3533105303350115</v>
      </c>
      <c r="EK151" s="107">
        <f>IF(SeilBeregnet=0,EK132,Lwl^EK$3)</f>
        <v>2.3300209979525235</v>
      </c>
      <c r="EL151" s="107">
        <f>IF(SeilBeregnet=0,EL132,((Loa+Lwl)/Bredde)^EL$3)</f>
        <v>1.8583176886572534</v>
      </c>
      <c r="EM151" s="107" t="str">
        <f>IF(SeilBeregnet=0,"-",EM$7*(EM$4*EO151+EM$6)*ER151*PropF+ErfaringsF+Dyp_F)</f>
        <v>-</v>
      </c>
      <c r="EO151" s="107">
        <f>IF(SeilBeregnet=0,EO132,(EP151*EQ151)^EO$3)</f>
        <v>5.3374513480158106</v>
      </c>
      <c r="EP151" s="107">
        <f>IF(SeilBeregnet=0,EP132,SeilBeregnet^0.5/Depl^0.33333)</f>
        <v>3.3533105303350115</v>
      </c>
      <c r="EQ151" s="107">
        <f>IF(SeilBeregnet=0,EQ132,((Loa+Lwl)/Bredde)^EQ$3)</f>
        <v>1.5916961163398649</v>
      </c>
      <c r="ER151" s="107">
        <f>IF(SeilBeregnet=0,ER132,Lwl^ER$3)</f>
        <v>1.8859172433475835</v>
      </c>
      <c r="ES151" s="107" t="str">
        <f t="shared" si="1212"/>
        <v>-</v>
      </c>
      <c r="EU151" s="107">
        <f>IF(SeilBeregnet=0,EU132,(EV:EV*EW:EW)^EU$3)</f>
        <v>1.8467072678323095</v>
      </c>
      <c r="EV151" s="107">
        <f>IF(SeilBeregnet=0,EV132,SeilBeregnet^0.5/Depl^0.33333)</f>
        <v>3.3533105303350115</v>
      </c>
      <c r="EW151" s="107">
        <f>IF(SeilBeregnet=0,EW132,((Loa+Lwl)/Bredde/6)^EW$3)</f>
        <v>1.0170032575909294</v>
      </c>
      <c r="EX151" s="107">
        <f>IF(SeilBeregnet=0,EX132,(Lwl*0.7+Loa*0.3)^EX$3)</f>
        <v>1.9111244003334622</v>
      </c>
      <c r="EY151" s="107" t="str">
        <f t="shared" si="1213"/>
        <v>-</v>
      </c>
      <c r="FA151" s="107">
        <f t="shared" si="1214"/>
        <v>1.8467985667775</v>
      </c>
      <c r="FB151" s="107">
        <f>IF(SeilBeregnet=0,FB132,SeilBeregnet^0.5/Depl^0.3333)</f>
        <v>3.3536421056610863</v>
      </c>
      <c r="FC151" s="107">
        <f>IF(SeilBeregnet=0,FC132,((Loa+Lwl)/Bredde/6)^FC$3)</f>
        <v>1.0170032575909294</v>
      </c>
      <c r="FD151" s="107">
        <f>IF(SeilBeregnet=0,FD132,(Lwl*0.7+Loa*0.3)^FD$3)</f>
        <v>1.9111244003334622</v>
      </c>
      <c r="FE151" s="107" t="str">
        <f t="shared" si="1215"/>
        <v>-</v>
      </c>
      <c r="FF151" s="141" t="str">
        <f>IF($DY151=0,"-",(FE151-$DW151)*100)</f>
        <v>-</v>
      </c>
      <c r="FG151" s="107">
        <f t="shared" si="1217"/>
        <v>3.4686573608888951</v>
      </c>
      <c r="FH151" s="133">
        <f>IF(SeilBeregnet=0,FH132,(SeilBeregnet^0.5/(Depl^0.3333))^FH$3)</f>
        <v>3.3536421056610863</v>
      </c>
      <c r="FI151" s="133">
        <f>IF(SeilBeregnet=0,FI132,((Loa+Lwl)/Bredde/6)^FI$3)</f>
        <v>1.0342956259505622</v>
      </c>
      <c r="FJ151" s="107">
        <f>IF(SeilBeregnet=0,FJ132,(Lwl*0.07+Loa*0.03)^FJ$3)</f>
        <v>1.0747042278871302</v>
      </c>
      <c r="FK151" s="107" t="str">
        <f t="shared" si="1218"/>
        <v>-</v>
      </c>
      <c r="FL151" s="141" t="str">
        <f>IF($DY151=0,"-",(FK151-$DW151)*100)</f>
        <v>-</v>
      </c>
      <c r="FM151" s="107">
        <f t="shared" si="1220"/>
        <v>5.5134878348250673</v>
      </c>
      <c r="FN151" s="133">
        <f>IF(SeilBeregnet=0,FN132,(SeilBeregnet^0.5/(Depl^0.3333))^FN$3)</f>
        <v>3.3536421056610863</v>
      </c>
      <c r="FO151" s="133">
        <f>IF(SeilBeregnet=0,FO132,(SeilBeregnet^0.5/Lwl*FO$7)^FO$3)</f>
        <v>0.79524277248754416</v>
      </c>
      <c r="FP151" s="133">
        <f>IF(SeilBeregnet=0,FP132,((Loa)/Bredde)^FP$3*FP$7)</f>
        <v>1.8646029566764373</v>
      </c>
      <c r="FQ151" s="107">
        <f>IF(SeilBeregnet=0,FQ132,(Lwl)^FQ$3)</f>
        <v>1.8859172433475835</v>
      </c>
      <c r="FR151" s="107" t="str">
        <f t="shared" si="1221"/>
        <v>-</v>
      </c>
      <c r="FS151" s="141" t="str">
        <f>IF($DY151=0,"-",(FR151-$DW151)*100)</f>
        <v>-</v>
      </c>
      <c r="FT151" s="107">
        <f t="shared" si="1223"/>
        <v>6.253210985850254</v>
      </c>
      <c r="FU151" s="133">
        <f>IF(SeilBeregnet=0,FU132,(SeilBeregnet^0.5/(Depl^0.3333))^FU$3)</f>
        <v>3.3536421056610863</v>
      </c>
      <c r="FV151" s="133">
        <f>IF(SeilBeregnet=0,FV132,(Loa/Bredde)^FV$3)</f>
        <v>1.8646029566764373</v>
      </c>
      <c r="FW151" s="107">
        <f>IF(SeilBeregnet=0,FW132,Lwl^FW$3)</f>
        <v>1.8859172433475835</v>
      </c>
      <c r="FX151" s="522">
        <v>1.27</v>
      </c>
      <c r="FY151" s="336">
        <v>1</v>
      </c>
      <c r="FZ151" s="62" t="str">
        <f>IF(SeilBeregnet=0,"-",0.06*2.43^(1/2)*(SeilBeregnet^(1/2)/Depl^(1/3)+(Loa/Bredde)^(1/2)+GA151)*Lwl^(1/4)*FY151)</f>
        <v>-</v>
      </c>
      <c r="GA151" s="62">
        <f t="shared" ref="GA151:GA223" si="1378">IF(Dypg=0,GA$6,5*(Dypg/Loa)^(1/2))</f>
        <v>2</v>
      </c>
      <c r="GB151" s="107" t="str">
        <f t="shared" si="798"/>
        <v>-</v>
      </c>
      <c r="GC151" s="441" t="s">
        <v>678</v>
      </c>
      <c r="GD151" s="57" t="s">
        <v>973</v>
      </c>
      <c r="GE151" s="436" t="s">
        <v>680</v>
      </c>
      <c r="GF151" s="496" t="s">
        <v>968</v>
      </c>
      <c r="GG151" s="57" t="s">
        <v>969</v>
      </c>
      <c r="GH151" s="57" t="s">
        <v>674</v>
      </c>
      <c r="GI151" s="57" t="s">
        <v>416</v>
      </c>
      <c r="GJ151" s="57" t="s">
        <v>681</v>
      </c>
      <c r="GL151" s="57" t="s">
        <v>970</v>
      </c>
      <c r="GM151" s="436" t="s">
        <v>679</v>
      </c>
      <c r="GN151" s="58" t="s">
        <v>478</v>
      </c>
      <c r="GO151" s="58" t="s">
        <v>971</v>
      </c>
      <c r="GP151" s="58" t="s">
        <v>674</v>
      </c>
      <c r="GQ151" s="58" t="s">
        <v>478</v>
      </c>
      <c r="GS151" s="57" t="s">
        <v>208</v>
      </c>
      <c r="GT151" s="57" t="s">
        <v>972</v>
      </c>
      <c r="GU151" s="57" t="s">
        <v>682</v>
      </c>
      <c r="GV151" s="632" t="s">
        <v>509</v>
      </c>
      <c r="GW151" s="57">
        <v>1959</v>
      </c>
      <c r="GX151" s="57" t="s">
        <v>431</v>
      </c>
      <c r="GY151" s="57" t="s">
        <v>683</v>
      </c>
      <c r="GZ151" s="57" t="s">
        <v>478</v>
      </c>
    </row>
    <row r="152" spans="1:208" ht="15.6" x14ac:dyDescent="0.3">
      <c r="A152" s="60" t="s">
        <v>33</v>
      </c>
      <c r="B152" s="218"/>
      <c r="C152" s="61" t="str">
        <f>C151</f>
        <v>Bermuda</v>
      </c>
      <c r="D152" s="61"/>
      <c r="E152" s="61"/>
      <c r="F152" s="61"/>
      <c r="G152" s="54"/>
      <c r="H152" s="204">
        <f>IF(StH=0,0,TBFavrundet)</f>
        <v>137</v>
      </c>
      <c r="I152" s="63">
        <f>COUNTA(O152:AG152)</f>
        <v>2</v>
      </c>
      <c r="J152" s="222">
        <f>SUM(O152:AG152)</f>
        <v>40</v>
      </c>
      <c r="K152" s="116">
        <f>Seilareal/Depl^0.667/K$7</f>
        <v>1.5982688356322265</v>
      </c>
      <c r="L152" s="116">
        <f>Seilareal/Lwl/Lwl/L$7</f>
        <v>1.1023744896743661</v>
      </c>
      <c r="M152" s="92">
        <f>RiggF</f>
        <v>0.96274999999999999</v>
      </c>
      <c r="N152" s="242">
        <f>StHfaktor</f>
        <v>1.0581246471816306</v>
      </c>
      <c r="O152" s="143"/>
      <c r="P152" s="143"/>
      <c r="Q152" s="143"/>
      <c r="R152" s="143"/>
      <c r="S152" s="143"/>
      <c r="T152" s="143"/>
      <c r="U152" s="165">
        <v>10.199999999999999</v>
      </c>
      <c r="V152" s="559"/>
      <c r="W152" s="559"/>
      <c r="X152" s="143"/>
      <c r="Y152" s="143"/>
      <c r="Z152" s="143"/>
      <c r="AA152" s="143"/>
      <c r="AB152" s="143"/>
      <c r="AC152" s="143"/>
      <c r="AD152" s="143"/>
      <c r="AE152" s="165">
        <v>29.8</v>
      </c>
      <c r="AF152" s="143"/>
      <c r="AG152" s="551"/>
      <c r="AH152" s="557">
        <f t="shared" ref="AH152:AI152" si="1379">AH151</f>
        <v>11.66</v>
      </c>
      <c r="AI152" s="557">
        <f t="shared" si="1379"/>
        <v>11.66</v>
      </c>
      <c r="AJ152" s="337">
        <f t="shared" ref="AJ152" si="1380" xml:space="preserve"> AJ151</f>
        <v>0</v>
      </c>
      <c r="AK152" s="339"/>
      <c r="AL152" s="337">
        <f t="shared" ref="AL152" si="1381" xml:space="preserve"> AL151</f>
        <v>0</v>
      </c>
      <c r="AM152" s="339"/>
      <c r="AN152" s="267" t="str">
        <f t="shared" ref="AN152" si="1382" xml:space="preserve"> AN151</f>
        <v>Meter</v>
      </c>
      <c r="AO152" s="45">
        <f>VLOOKUP(AN152,Skrogform!$1:$1048576,3,FALSE)</f>
        <v>1</v>
      </c>
      <c r="AP152" s="64">
        <f t="shared" ref="AP152:BB152" si="1383">AP151</f>
        <v>10.6</v>
      </c>
      <c r="AQ152" s="64">
        <f t="shared" si="1383"/>
        <v>7.419999999999999</v>
      </c>
      <c r="AR152" s="64">
        <f t="shared" si="1383"/>
        <v>2.06</v>
      </c>
      <c r="AS152" s="64">
        <f t="shared" si="1383"/>
        <v>0</v>
      </c>
      <c r="AT152" s="64">
        <f t="shared" ref="AT152" si="1384">AT151</f>
        <v>3.23</v>
      </c>
      <c r="AU152" s="64">
        <f t="shared" si="1383"/>
        <v>3.5300000000000002</v>
      </c>
      <c r="AV152" s="64">
        <f t="shared" si="1383"/>
        <v>2.06</v>
      </c>
      <c r="AW152" s="64">
        <f t="shared" si="1383"/>
        <v>0</v>
      </c>
      <c r="AX152" s="256">
        <f>AX151</f>
        <v>200</v>
      </c>
      <c r="AY152" s="256">
        <f t="shared" si="1383"/>
        <v>7</v>
      </c>
      <c r="AZ152" s="256">
        <f t="shared" si="1383"/>
        <v>100</v>
      </c>
      <c r="BA152" s="256">
        <f t="shared" si="1383"/>
        <v>30</v>
      </c>
      <c r="BB152" s="256">
        <f t="shared" si="1383"/>
        <v>20</v>
      </c>
      <c r="BC152" s="256"/>
      <c r="BD152" s="66"/>
      <c r="BE152" s="66"/>
      <c r="BF152" s="261"/>
      <c r="BG152" s="66"/>
      <c r="BH152" s="175"/>
      <c r="BI152" s="66"/>
      <c r="BJ152" s="66"/>
      <c r="BK152" s="65">
        <f t="shared" ref="BK152:BM152" si="1385" xml:space="preserve"> BK151</f>
        <v>0</v>
      </c>
      <c r="BL152" s="267">
        <f t="shared" si="1385"/>
        <v>0</v>
      </c>
      <c r="BM152" s="267">
        <f t="shared" si="1385"/>
        <v>0</v>
      </c>
      <c r="BN152" s="45">
        <f>IF((BK152="Fast"),(1.006248-(0.06415*((BM152/100*SQRT(BL152))/POWER(AU152,(1/3))))),1)</f>
        <v>1</v>
      </c>
      <c r="BO152" s="59"/>
      <c r="BP152" s="59"/>
      <c r="BR152" s="49">
        <f t="shared" ref="BR152:BX152" si="1386">IF(O152=0,0,O152*BR$9)</f>
        <v>0</v>
      </c>
      <c r="BS152" s="49">
        <f t="shared" si="1386"/>
        <v>0</v>
      </c>
      <c r="BT152" s="49">
        <f t="shared" si="1386"/>
        <v>0</v>
      </c>
      <c r="BU152" s="49">
        <f t="shared" si="1386"/>
        <v>0</v>
      </c>
      <c r="BV152" s="49">
        <f t="shared" si="1386"/>
        <v>0</v>
      </c>
      <c r="BW152" s="49">
        <f t="shared" si="1386"/>
        <v>0</v>
      </c>
      <c r="BX152" s="49">
        <f t="shared" si="1386"/>
        <v>10.199999999999999</v>
      </c>
      <c r="BY152" s="549">
        <f>IF(COUNT(Q152:U152)&gt;1,MINA(Q152:U152)*BY$9,0)</f>
        <v>0</v>
      </c>
      <c r="BZ152" s="85">
        <f>IF(V152=0,0,V152*BZ$9)</f>
        <v>0</v>
      </c>
      <c r="CA152" s="85">
        <f>IF(W152=0,0,W152*CA$9)</f>
        <v>0</v>
      </c>
      <c r="CB152" s="85">
        <f>IF(X152=0,0,X152*CB$9)</f>
        <v>0</v>
      </c>
      <c r="CC152" s="85">
        <f>IF(Y152=0,0,Y152*CC$9)</f>
        <v>0</v>
      </c>
      <c r="CD152" s="85">
        <f>IF(Z152=0,0,Z152*CD$9)</f>
        <v>0</v>
      </c>
      <c r="CE152" s="85">
        <f>IF(AC152=0,0,AC152*CE$9)</f>
        <v>0</v>
      </c>
      <c r="CF152" s="85">
        <f>IF(AA152=0,0,AA152*CF$9)</f>
        <v>0</v>
      </c>
      <c r="CG152" s="85">
        <f>IF(AB152=0,0,AB152*CG$9)</f>
        <v>0</v>
      </c>
      <c r="CH152" s="85">
        <f>IF(AD152=0,0,AD152*CH$9)</f>
        <v>0</v>
      </c>
      <c r="CI152" s="85">
        <f>IF(AE152=0,0,AE152*CI$9)</f>
        <v>28.31</v>
      </c>
      <c r="CJ152" s="85">
        <f>IF(AF152=0,0,AF152*CJ$9)</f>
        <v>0</v>
      </c>
      <c r="CK152" s="85">
        <f>IF(AG152=0,0,AG152*CK$9)</f>
        <v>0</v>
      </c>
      <c r="CL152" s="100">
        <f>SUM(BR152:CK152)</f>
        <v>38.51</v>
      </c>
      <c r="CM152" s="50"/>
      <c r="CN152" s="104">
        <f>J152</f>
        <v>40</v>
      </c>
      <c r="CO152" s="101">
        <f>CL152/CN152</f>
        <v>0.96274999999999999</v>
      </c>
      <c r="CP152" s="51">
        <f>Seilareal/Lwl/Lwl</f>
        <v>0.72652770613407358</v>
      </c>
      <c r="CQ152" s="116">
        <f>Seilareal/Depl^0.667/K$7</f>
        <v>1.5982688356322265</v>
      </c>
      <c r="CR152" s="51">
        <f>Seilareal/Lwl/Lwl/SApRS1</f>
        <v>1.1023744896743661</v>
      </c>
      <c r="CS152" s="204"/>
      <c r="CT152" s="204">
        <f>(ROUND(TBF/CT$6,3)*CT$6)*CT$4</f>
        <v>137</v>
      </c>
      <c r="CU152" s="107">
        <f t="shared" si="83"/>
        <v>1.3690100841785546</v>
      </c>
      <c r="CV152" s="62">
        <f t="shared" si="789"/>
        <v>4.2164691533179699</v>
      </c>
      <c r="CW152" s="62">
        <f t="shared" si="84"/>
        <v>2.0913599421828346</v>
      </c>
      <c r="CX152" s="62">
        <f t="shared" si="790"/>
        <v>1.6504446959456858</v>
      </c>
      <c r="CY152" s="107">
        <f t="shared" si="85"/>
        <v>1.0581246471816306</v>
      </c>
      <c r="CZ152" s="168" t="str">
        <f>IF(DA152=0,"-",IF(CP152="TBF","-",CZ$7*DA152))</f>
        <v>-</v>
      </c>
      <c r="DA152" s="159">
        <f>DA151</f>
        <v>0</v>
      </c>
      <c r="DB152" s="168">
        <f>IF(DC152=0,"-",IF(CT152="TBF","-",DB$7*DC152))</f>
        <v>1.1994736842105265</v>
      </c>
      <c r="DC152" s="159">
        <f>DC151</f>
        <v>1.29</v>
      </c>
      <c r="DD152" s="190" t="s">
        <v>134</v>
      </c>
      <c r="DE152" s="62" t="s">
        <v>102</v>
      </c>
      <c r="DF152" s="62" t="s">
        <v>102</v>
      </c>
      <c r="DG152" s="62" t="s">
        <v>102</v>
      </c>
      <c r="DH152" s="150" t="s">
        <v>102</v>
      </c>
      <c r="DI152" s="62">
        <f t="shared" si="1374"/>
        <v>0</v>
      </c>
      <c r="DJ152" s="47">
        <f t="shared" si="1375"/>
        <v>0</v>
      </c>
      <c r="DK152" s="48">
        <f>DJ$7*IF(DJ152&lt;DJ$5,-0.04,IF(DJ152&lt;DJ$5*1.1,-0.03,IF(DJ152&lt;DJ$5*1.2,-0.02,IF(DJ152&lt;DJ$5*1.3,-0.01,0))))</f>
        <v>0</v>
      </c>
      <c r="DM152" s="107">
        <f t="shared" si="1201"/>
        <v>1.2983739394448757</v>
      </c>
      <c r="DN152" s="141" t="str">
        <f>IF($DY152=0,"-",(DM152-$DW152)*100)</f>
        <v>-</v>
      </c>
      <c r="DO152" s="107">
        <f>SUM(DP152:DS152)^DO$3+DO$7</f>
        <v>6.3442038390560729</v>
      </c>
      <c r="DP152" s="133">
        <f>IF(SeilBeregnet=0,DP151,(SeilBeregnet^0.5/(Depl^0.3333))^DP$3*DP$7)</f>
        <v>4.0758054904494703</v>
      </c>
      <c r="DQ152" s="133">
        <f>IF(SeilBeregnet=0,DQ151,(SeilBeregnet^0.5/Lwl)^DQ$3*DQ$7)</f>
        <v>0</v>
      </c>
      <c r="DR152" s="133">
        <f>IF(SeilBeregnet=0,DR151,(0.1*Loa/Depl^0.3333)^DR$3*DR$7)</f>
        <v>0</v>
      </c>
      <c r="DS152" s="133">
        <f>IF(SeilBeregnet=0,DS151,((Loa)/Bredde)^DS$3*DS$7)</f>
        <v>2.2683983486066031</v>
      </c>
      <c r="DT152" s="107">
        <f>IF(SeilBeregnet=0,DT151,(Lwl)^DT$3)</f>
        <v>1.6504446959456858</v>
      </c>
      <c r="DU152" s="133">
        <f>IF(SeilBeregnet=0,DU151,(Dypg/Loa)^DU$3*5*DU$7)</f>
        <v>0</v>
      </c>
      <c r="DW152" s="107">
        <f t="shared" si="1241"/>
        <v>1.3690100841785546</v>
      </c>
      <c r="DX152" s="107">
        <f t="shared" si="1376"/>
        <v>1.2457998896256777</v>
      </c>
      <c r="DZ152" s="107">
        <f t="shared" si="1377"/>
        <v>1.2697426199046051</v>
      </c>
      <c r="EA152" s="122" t="str">
        <f>IF($DY152=0,"-",DZ152-$DW152)</f>
        <v>-</v>
      </c>
      <c r="EB152" s="107">
        <f>IF(SeilBeregnet=0,"-",EB$7*(EB$4*ED152*EE152*EF152*PropF+EB$6)+ErfaringsF+Dyp_F)</f>
        <v>1.3426908353816327</v>
      </c>
      <c r="EC152" s="122" t="str">
        <f>IF($DY152=0,"-",EB152-$DW152)</f>
        <v>-</v>
      </c>
      <c r="ED152" s="107">
        <f>IF(SeilBeregnet=0,ED151,SeilBeregnet^0.5/Depl^0.33333)</f>
        <v>4.0756512692236475</v>
      </c>
      <c r="EE152" s="107">
        <f>IF(SeilBeregnet=0,EE151,Lwl^0.3333)</f>
        <v>1.9503188650729475</v>
      </c>
      <c r="EF152" s="107">
        <f>IF(SeilBeregnet=0,EF151,((Loa+Lwl)/Bredde)^EF$3)</f>
        <v>1.7197760301966001</v>
      </c>
      <c r="EH152" s="107">
        <f>IF(SeilBeregnet=0,"-",EH$7*(EH$4*EJ152*EK152*EL152*PropF+EH$6)+ErfaringsF+Dyp_F)</f>
        <v>1.3476561984219761</v>
      </c>
      <c r="EJ152" s="107">
        <f>IF(SeilBeregnet=0,EJ151,SeilBeregnet^0.5/Depl^0.33333)</f>
        <v>4.0756512692236475</v>
      </c>
      <c r="EK152" s="107">
        <f>IF(SeilBeregnet=0,EK151,Lwl^EK$3)</f>
        <v>1.9504361322450043</v>
      </c>
      <c r="EL152" s="107">
        <f>IF(SeilBeregnet=0,EL151,((Loa+Lwl)/Bredde)^EL$3)</f>
        <v>2.0603031467349471</v>
      </c>
      <c r="EM152" s="107">
        <f>IF(SeilBeregnet=0,"-",EM$7*(EM$4*EO152+EM$6)*ER152*PropF+ErfaringsF+Dyp_F)</f>
        <v>1.3253091536457027</v>
      </c>
      <c r="EO152" s="107">
        <f>IF(SeilBeregnet=0,EO151,(EP152*EQ152)^EO$3)</f>
        <v>7.0092073602511791</v>
      </c>
      <c r="EP152" s="107">
        <f>IF(SeilBeregnet=0,EP151,SeilBeregnet^0.5/Depl^0.33333)</f>
        <v>4.0756512692236475</v>
      </c>
      <c r="EQ152" s="107">
        <f>IF(SeilBeregnet=0,EQ151,((Loa+Lwl)/Bredde)^EQ$3)</f>
        <v>1.7197760301966001</v>
      </c>
      <c r="ER152" s="107">
        <f>IF(SeilBeregnet=0,ER151,Lwl^ER$3)</f>
        <v>1.6504446959456858</v>
      </c>
      <c r="ES152" s="107">
        <f t="shared" si="1212"/>
        <v>1.3229181267293928</v>
      </c>
      <c r="EU152" s="107">
        <f>IF(SeilBeregnet=0,EU151,(EV:EV*EW:EW)^EU$3)</f>
        <v>2.1162430647410777</v>
      </c>
      <c r="EV152" s="107">
        <f>IF(SeilBeregnet=0,EV151,SeilBeregnet^0.5/Depl^0.33333)</f>
        <v>4.0756512692236475</v>
      </c>
      <c r="EW152" s="107">
        <f>IF(SeilBeregnet=0,EW151,((Loa+Lwl)/Bredde/6)^EW$3)</f>
        <v>1.0988390353421469</v>
      </c>
      <c r="EX152" s="107">
        <f>IF(SeilBeregnet=0,EX151,(Lwl*0.7+Loa*0.3)^EX$3)</f>
        <v>1.7011132963017803</v>
      </c>
      <c r="EY152" s="107">
        <f t="shared" si="1213"/>
        <v>1.2105179212677861</v>
      </c>
      <c r="FA152" s="107">
        <f t="shared" si="1214"/>
        <v>2.1162831033129104</v>
      </c>
      <c r="FB152" s="107">
        <f>IF(SeilBeregnet=0,FB151,SeilBeregnet^0.5/Depl^0.3333)</f>
        <v>4.0758054904494703</v>
      </c>
      <c r="FC152" s="107">
        <f>IF(SeilBeregnet=0,FC151,((Loa+Lwl)/Bredde/6)^FC$3)</f>
        <v>1.0988390353421469</v>
      </c>
      <c r="FD152" s="107">
        <f>IF(SeilBeregnet=0,FD151,(Lwl*0.7+Loa*0.3)^FD$3)</f>
        <v>1.7011132963017803</v>
      </c>
      <c r="FE152" s="107">
        <f t="shared" si="1215"/>
        <v>1.3904054605166078</v>
      </c>
      <c r="FF152" s="141" t="str">
        <f>IF($DY152=0,"-",(FE152-$DW152)*100)</f>
        <v>-</v>
      </c>
      <c r="FG152" s="107">
        <f t="shared" si="1217"/>
        <v>4.9213200314944681</v>
      </c>
      <c r="FH152" s="133">
        <f>IF(SeilBeregnet=0,FH151,(SeilBeregnet^0.5/(Depl^0.3333))^FH$3)</f>
        <v>4.0758054904494703</v>
      </c>
      <c r="FI152" s="133">
        <f>IF(SeilBeregnet=0,FI151,((Loa+Lwl)/Bredde/6)^FI$3)</f>
        <v>1.20744722559166</v>
      </c>
      <c r="FJ152" s="107">
        <f>IF(SeilBeregnet=0,FJ151,(Lwl*0.07+Loa*0.03)^FJ$3)</f>
        <v>0.95660630534126612</v>
      </c>
      <c r="FK152" s="107">
        <f t="shared" si="1218"/>
        <v>1.3120783038169019</v>
      </c>
      <c r="FL152" s="141" t="str">
        <f>IF($DY152=0,"-",(FK152-$DW152)*100)</f>
        <v>-</v>
      </c>
      <c r="FM152" s="107">
        <f t="shared" si="1220"/>
        <v>6.6805438112447639</v>
      </c>
      <c r="FN152" s="133">
        <f>IF(SeilBeregnet=0,FN151,(SeilBeregnet^0.5/(Depl^0.3333))^FN$3)</f>
        <v>4.0758054904494703</v>
      </c>
      <c r="FO152" s="133">
        <f>IF(SeilBeregnet=0,FO151,(SeilBeregnet^0.5/Lwl*FO$7)^FO$3)</f>
        <v>0.83633997218869027</v>
      </c>
      <c r="FP152" s="133">
        <f>IF(SeilBeregnet=0,FP151,((Loa)/Bredde)^FP$3*FP$7)</f>
        <v>2.2683983486066031</v>
      </c>
      <c r="FQ152" s="107">
        <f>IF(SeilBeregnet=0,FQ151,(Lwl)^FQ$3)</f>
        <v>1.6504446959456858</v>
      </c>
      <c r="FR152" s="107">
        <f t="shared" si="1221"/>
        <v>1.3991071023880497</v>
      </c>
      <c r="FS152" s="141" t="str">
        <f>IF($DY152=0,"-",(FR152-$DW152)*100)</f>
        <v>-</v>
      </c>
      <c r="FT152" s="107">
        <f t="shared" si="1223"/>
        <v>9.2455504437773044</v>
      </c>
      <c r="FU152" s="133">
        <f>IF(SeilBeregnet=0,FU151,(SeilBeregnet^0.5/(Depl^0.3333))^FU$3)</f>
        <v>4.0758054904494703</v>
      </c>
      <c r="FV152" s="133">
        <f>IF(SeilBeregnet=0,FV151,(Loa/Bredde)^FV$3)</f>
        <v>2.2683983486066031</v>
      </c>
      <c r="FW152" s="107">
        <f>IF(SeilBeregnet=0,FW151,Lwl^FW$3)</f>
        <v>1.6504446959456858</v>
      </c>
      <c r="FY152" s="336">
        <v>1</v>
      </c>
      <c r="FZ152" s="62">
        <f>IF(SeilBeregnet=0,"-",0.06*2.43^(1/2)*(SeilBeregnet^(1/2)/Depl^(1/3)+(Loa/Bredde)^(1/2)+GA152)*Lwl^(1/4)*FY152)</f>
        <v>1.2880459297869189</v>
      </c>
      <c r="GA152" s="62">
        <f t="shared" si="1378"/>
        <v>2</v>
      </c>
      <c r="GB152" s="107">
        <f t="shared" si="798"/>
        <v>1.8437081511293865</v>
      </c>
      <c r="GC152" s="440"/>
      <c r="GD152" s="17"/>
      <c r="GE152" s="442"/>
      <c r="GF152" s="462"/>
      <c r="GG152" s="17"/>
      <c r="GH152" s="17"/>
      <c r="GI152" s="17"/>
      <c r="GJ152" s="17"/>
      <c r="GL152" s="17"/>
      <c r="GM152" s="442"/>
      <c r="GN152" s="8"/>
      <c r="GO152" s="8"/>
      <c r="GP152" s="8"/>
      <c r="GQ152" s="8"/>
      <c r="GS152" s="17"/>
      <c r="GT152" s="17"/>
      <c r="GU152" s="17"/>
      <c r="GV152" s="629"/>
      <c r="GW152" s="17"/>
      <c r="GX152" s="17"/>
      <c r="GY152" s="17"/>
      <c r="GZ152" s="17"/>
    </row>
    <row r="153" spans="1:208" ht="15.6" x14ac:dyDescent="0.3">
      <c r="A153" s="52" t="s">
        <v>990</v>
      </c>
      <c r="B153" s="218">
        <f t="shared" si="10"/>
        <v>43.241469816272961</v>
      </c>
      <c r="C153" s="656" t="s">
        <v>991</v>
      </c>
      <c r="D153" s="53"/>
      <c r="E153" s="53"/>
      <c r="F153" s="53"/>
      <c r="G153" s="54"/>
      <c r="H153" s="112">
        <f>J154</f>
        <v>74.900000000000006</v>
      </c>
      <c r="I153" s="601">
        <f>H154/100</f>
        <v>0</v>
      </c>
      <c r="J153" s="651">
        <f>IF(DC154=0,"-",DC154)</f>
        <v>1.31</v>
      </c>
      <c r="K153" s="123" t="str">
        <f>A153</f>
        <v>Hera</v>
      </c>
      <c r="L153" s="116"/>
      <c r="M153" s="116"/>
      <c r="N153" s="92"/>
      <c r="O153" s="165"/>
      <c r="P153" s="165"/>
      <c r="Q153" s="165">
        <v>23</v>
      </c>
      <c r="R153" s="165"/>
      <c r="S153" s="165"/>
      <c r="T153" s="165"/>
      <c r="U153" s="165">
        <v>18.5</v>
      </c>
      <c r="V153" s="560"/>
      <c r="W153" s="560"/>
      <c r="X153" s="165"/>
      <c r="Y153" s="165"/>
      <c r="Z153" s="165"/>
      <c r="AA153" s="165"/>
      <c r="AB153" s="165"/>
      <c r="AC153" s="165"/>
      <c r="AD153" s="165"/>
      <c r="AE153" s="165">
        <v>33.4</v>
      </c>
      <c r="AF153" s="165"/>
      <c r="AG153" s="552">
        <v>6</v>
      </c>
      <c r="AH153" s="241">
        <v>16</v>
      </c>
      <c r="AI153" s="244"/>
      <c r="AJ153" s="554"/>
      <c r="AK153" s="339"/>
      <c r="AL153" s="268"/>
      <c r="AM153" s="339"/>
      <c r="AN153" s="268" t="s">
        <v>214</v>
      </c>
      <c r="AO153" s="45">
        <f>VLOOKUP(AN153,Skrogform!$1:$1048576,3,FALSE)</f>
        <v>1</v>
      </c>
      <c r="AP153" s="55">
        <v>13.18</v>
      </c>
      <c r="AQ153" s="55">
        <v>8.85</v>
      </c>
      <c r="AR153" s="55">
        <v>3.1</v>
      </c>
      <c r="AS153" s="55">
        <v>1.8</v>
      </c>
      <c r="AT153" s="55"/>
      <c r="AU153" s="55">
        <v>10</v>
      </c>
      <c r="AV153" s="55"/>
      <c r="AW153" s="55"/>
      <c r="AX153" s="253"/>
      <c r="AY153" s="253"/>
      <c r="AZ153" s="254">
        <f>AY153*7</f>
        <v>0</v>
      </c>
      <c r="BA153" s="253"/>
      <c r="BB153" s="253"/>
      <c r="BC153" s="244">
        <f>Depl+Diesel/1000*0.84+Vann/1000</f>
        <v>10</v>
      </c>
      <c r="BD153" s="95">
        <f>Bredde/(Loa+Lwl)*2</f>
        <v>0.28143440762596461</v>
      </c>
      <c r="BE153" s="95">
        <f>(Kjøl+Ballast)/Depl</f>
        <v>0</v>
      </c>
      <c r="BF153" s="260">
        <f>BF$7*((Depl-Kjøl-Ballast-VektMotor/1000-VektAnnet/1000)/Lwl/Lwl/Bredde)</f>
        <v>1.554287622428961</v>
      </c>
      <c r="BG153" s="95">
        <f>BG$7*(Depl/Loa/Lwl/Lwl)</f>
        <v>0.71287319253285819</v>
      </c>
      <c r="BH153" s="174">
        <f>BH$7*(Depl/Loa/Lwl/Bredde)</f>
        <v>0.75225688639695487</v>
      </c>
      <c r="BI153" s="95">
        <f>BI$7*Bredde/(Loa+Lwl)*2</f>
        <v>0.80284460584052053</v>
      </c>
      <c r="BJ153" s="95">
        <f>BJ$7*(Dypg/Lwl)</f>
        <v>1.1124539425202653</v>
      </c>
      <c r="BK153" s="56"/>
      <c r="BL153" s="268"/>
      <c r="BM153" s="268"/>
      <c r="BN153" s="45">
        <f t="shared" ref="BN153:BN154" si="1387">IF((BK153="Fast"),(1.006248-(0.06415*((BM153/100*SQRT(BL153))/POWER(AU153,(1/3))))),1)</f>
        <v>1</v>
      </c>
      <c r="BO153" s="59"/>
      <c r="BP153" s="59"/>
      <c r="BR153" s="209"/>
      <c r="BS153" s="209"/>
      <c r="BT153" s="209" t="str">
        <f>$A153</f>
        <v>Hera</v>
      </c>
      <c r="BU153" s="10"/>
      <c r="BV153" s="10"/>
      <c r="BW153" s="10"/>
      <c r="BX153" s="10"/>
      <c r="BY153" s="549"/>
      <c r="BZ153" s="10"/>
      <c r="CA153" s="10"/>
      <c r="CB153" s="209" t="str">
        <f>$A153</f>
        <v>Hera</v>
      </c>
      <c r="CC153" s="10"/>
      <c r="CD153" s="10"/>
      <c r="CE153" s="10"/>
      <c r="CF153" s="10"/>
      <c r="CG153" s="10"/>
      <c r="CH153" s="10"/>
      <c r="CI153" s="10"/>
      <c r="CJ153" s="10"/>
      <c r="CK153" s="10"/>
      <c r="CL153" s="209"/>
      <c r="CM153" s="10"/>
      <c r="CN153" s="209" t="str">
        <f>$A153</f>
        <v>Hera</v>
      </c>
      <c r="CO153" s="207"/>
      <c r="CP153" s="207"/>
      <c r="CQ153" s="116"/>
      <c r="CR153" s="207"/>
      <c r="CS153" s="203"/>
      <c r="CT153" s="203" t="s">
        <v>23</v>
      </c>
      <c r="CU153" s="107" t="str">
        <f t="shared" si="83"/>
        <v>-</v>
      </c>
      <c r="CV153" s="62" t="str">
        <f t="shared" si="789"/>
        <v>-</v>
      </c>
      <c r="CW153" s="62" t="str">
        <f t="shared" si="84"/>
        <v>-</v>
      </c>
      <c r="CX153" s="62" t="str">
        <f t="shared" si="790"/>
        <v>-</v>
      </c>
      <c r="CY153" s="107" t="str">
        <f t="shared" si="85"/>
        <v>-</v>
      </c>
      <c r="CZ153" s="168" t="str">
        <f t="shared" ref="CZ153:CZ154" si="1388">IF(DA153=0,"-",IF(CP153="TBF","-",CZ$7*DA153))</f>
        <v>-</v>
      </c>
      <c r="DA153" s="158"/>
      <c r="DB153" s="168" t="str">
        <f t="shared" ref="DB153:DB154" si="1389">IF(DC153=0,"-",IF(CT153="TBF","-",DB$7*DC153))</f>
        <v>-</v>
      </c>
      <c r="DC153" s="160">
        <v>1.31</v>
      </c>
      <c r="DD153" s="190" t="s">
        <v>134</v>
      </c>
      <c r="DE153" s="29" t="s">
        <v>23</v>
      </c>
      <c r="DF153" s="29" t="s">
        <v>23</v>
      </c>
      <c r="DG153" s="29" t="s">
        <v>23</v>
      </c>
      <c r="DH153" s="149">
        <v>2022</v>
      </c>
      <c r="DI153" s="62" t="str">
        <f t="shared" si="1374"/>
        <v>-</v>
      </c>
      <c r="DJ153" s="47">
        <f t="shared" si="1375"/>
        <v>13.8996138996139</v>
      </c>
      <c r="DK153" s="48">
        <f t="shared" ref="DK153:DK154" si="1390">DJ$7*IF(DJ153&lt;DJ$5,-0.04,IF(DJ153&lt;DJ$5*1.1,-0.03,IF(DJ153&lt;DJ$5*1.2,-0.02,IF(DJ153&lt;DJ$5*1.3,-0.01,0))))</f>
        <v>0</v>
      </c>
      <c r="DM153" s="107" t="str">
        <f t="shared" si="1201"/>
        <v>-</v>
      </c>
      <c r="DN153" s="141" t="str">
        <f t="shared" ref="DN153:DN154" si="1391">IF($DY153=0,"-",(DM153-$DW153)*100)</f>
        <v>-</v>
      </c>
      <c r="DO153" s="107">
        <f t="shared" ref="DO153:DO154" si="1392">SUM(DP153:DS153)^DO$3+DO$7</f>
        <v>5.1686763468195442</v>
      </c>
      <c r="DP153" s="133">
        <f>IF(SeilBeregnet=0,DP120,(SeilBeregnet^0.5/(Depl^0.3333))^DP$3*DP$7)</f>
        <v>3.3346544375620883</v>
      </c>
      <c r="DQ153" s="133">
        <f>IF(SeilBeregnet=0,DQ120,(SeilBeregnet^0.5/Lwl)^DQ$3*DQ$7)</f>
        <v>0</v>
      </c>
      <c r="DR153" s="133">
        <f>IF(SeilBeregnet=0,DR120,(0.1*Loa/Depl^0.3333)^DR$3*DR$7)</f>
        <v>0</v>
      </c>
      <c r="DS153" s="133">
        <f>IF(SeilBeregnet=0,DS120,((Loa)/Bredde)^DS$3*DS$7)</f>
        <v>1.8340219092574557</v>
      </c>
      <c r="DT153" s="107">
        <f>IF(SeilBeregnet=0,DT120,(Lwl)^DT$3)</f>
        <v>1.5905414575341013</v>
      </c>
      <c r="DU153" s="133">
        <f>IF(SeilBeregnet=0,DU120,(Dypg/Loa)^DU$3*5*DU$7)</f>
        <v>1.7914964302111964</v>
      </c>
      <c r="DW153" s="107" t="str">
        <f t="shared" si="1241"/>
        <v>-</v>
      </c>
      <c r="DX153" s="107" t="str">
        <f t="shared" si="1376"/>
        <v>-</v>
      </c>
      <c r="DZ153" s="107" t="str">
        <f t="shared" si="1377"/>
        <v>-</v>
      </c>
      <c r="EA153" s="122" t="str">
        <f t="shared" ref="EA153:EA154" si="1393">IF($DY153=0,"-",DZ153-$DW153)</f>
        <v>-</v>
      </c>
      <c r="EB153" s="107" t="str">
        <f t="shared" ref="EB153:EB154" si="1394">IF(SeilBeregnet=0,"-",EB$7*(EB$4*ED153*EE153*EF153*PropF+EB$6)+ErfaringsF+Dyp_F)</f>
        <v>-</v>
      </c>
      <c r="EC153" s="122" t="str">
        <f t="shared" ref="EC153:EC154" si="1395">IF($DY153=0,"-",EB153-$DW153)</f>
        <v>-</v>
      </c>
      <c r="ED153" s="107">
        <f>IF(SeilBeregnet=0,ED120,SeilBeregnet^0.5/Depl^0.33333)</f>
        <v>3.3345550744995087</v>
      </c>
      <c r="EE153" s="107">
        <f>IF(SeilBeregnet=0,EE120,Lwl^0.3333)</f>
        <v>1.8565206547056485</v>
      </c>
      <c r="EF153" s="107">
        <f>IF(SeilBeregnet=0,EF120,((Loa+Lwl)/Bredde)^EF$3)</f>
        <v>1.5825742730785703</v>
      </c>
      <c r="EH153" s="107" t="str">
        <f t="shared" ref="EH153:EH154" si="1396">IF(SeilBeregnet=0,"-",EH$7*(EH$4*EJ153*EK153*EL153*PropF+EH$6)+ErfaringsF+Dyp_F)</f>
        <v>-</v>
      </c>
      <c r="EJ153" s="107">
        <f>IF(SeilBeregnet=0,EJ120,SeilBeregnet^0.5/Depl^0.33333)</f>
        <v>3.3345550744995087</v>
      </c>
      <c r="EK153" s="107">
        <f>IF(SeilBeregnet=0,EK120,Lwl^EK$3)</f>
        <v>1.856624045251289</v>
      </c>
      <c r="EL153" s="107">
        <f>IF(SeilBeregnet=0,EL120,((Loa+Lwl)/Bredde)^EL$3)</f>
        <v>1.8441329174043459</v>
      </c>
      <c r="EM153" s="107" t="str">
        <f t="shared" ref="EM153:EM154" si="1397">IF(SeilBeregnet=0,"-",EM$7*(EM$4*EO153+EM$6)*ER153*PropF+ErfaringsF+Dyp_F)</f>
        <v>-</v>
      </c>
      <c r="EO153" s="107">
        <f>IF(SeilBeregnet=0,EO120,(EP153*EQ153)^EO$3)</f>
        <v>5.2771810730665178</v>
      </c>
      <c r="EP153" s="107">
        <f>IF(SeilBeregnet=0,EP120,SeilBeregnet^0.5/Depl^0.33333)</f>
        <v>3.3345550744995087</v>
      </c>
      <c r="EQ153" s="107">
        <f>IF(SeilBeregnet=0,EQ120,((Loa+Lwl)/Bredde)^EQ$3)</f>
        <v>1.5825742730785703</v>
      </c>
      <c r="ER153" s="107">
        <f>IF(SeilBeregnet=0,ER120,Lwl^ER$3)</f>
        <v>1.5905414575341013</v>
      </c>
      <c r="ES153" s="107" t="str">
        <f t="shared" si="1212"/>
        <v>-</v>
      </c>
      <c r="EU153" s="107">
        <f>IF(SeilBeregnet=0,EU120,(EV:EV*EW:EW)^EU$3)</f>
        <v>1.8362511964583703</v>
      </c>
      <c r="EV153" s="107">
        <f>IF(SeilBeregnet=0,EV120,SeilBeregnet^0.5/Depl^0.33333)</f>
        <v>3.3345550744995087</v>
      </c>
      <c r="EW153" s="107">
        <f>IF(SeilBeregnet=0,EW120,((Loa+Lwl)/Bredde/6)^EW$3)</f>
        <v>1.0111749187411099</v>
      </c>
      <c r="EX153" s="107">
        <f>IF(SeilBeregnet=0,EX120,(Lwl*0.7+Loa*0.3)^EX$3)</f>
        <v>1.6088616538127065</v>
      </c>
      <c r="EY153" s="107" t="str">
        <f t="shared" si="1213"/>
        <v>-</v>
      </c>
      <c r="FA153" s="107">
        <f t="shared" si="1214"/>
        <v>1.8362785545585196</v>
      </c>
      <c r="FB153" s="107">
        <f>IF(SeilBeregnet=0,FB120,SeilBeregnet^0.5/Depl^0.3333)</f>
        <v>3.3346544375620883</v>
      </c>
      <c r="FC153" s="107">
        <f>IF(SeilBeregnet=0,FC120,((Loa+Lwl)/Bredde/6)^FC$3)</f>
        <v>1.0111749187411099</v>
      </c>
      <c r="FD153" s="107">
        <f>IF(SeilBeregnet=0,FD120,(Lwl*0.7+Loa*0.3)^FD$3)</f>
        <v>1.6088616538127065</v>
      </c>
      <c r="FE153" s="107" t="str">
        <f t="shared" si="1215"/>
        <v>-</v>
      </c>
      <c r="FF153" s="141" t="str">
        <f t="shared" ref="FF153:FF154" si="1398">IF($DY153=0,"-",(FE153-$DW153)*100)</f>
        <v>-</v>
      </c>
      <c r="FG153" s="107">
        <f t="shared" si="1217"/>
        <v>3.409599849975121</v>
      </c>
      <c r="FH153" s="133">
        <f>IF(SeilBeregnet=0,FH120,(SeilBeregnet^0.5/(Depl^0.3333))^FH$3)</f>
        <v>3.3346544375620883</v>
      </c>
      <c r="FI153" s="133">
        <f>IF(SeilBeregnet=0,FI120,((Loa+Lwl)/Bredde/6)^FI$3)</f>
        <v>1.0224747162910901</v>
      </c>
      <c r="FJ153" s="107">
        <f>IF(SeilBeregnet=0,FJ120,(Lwl*0.07+Loa*0.03)^FJ$3)</f>
        <v>0.90472939445297396</v>
      </c>
      <c r="FK153" s="107" t="str">
        <f t="shared" si="1218"/>
        <v>-</v>
      </c>
      <c r="FL153" s="141" t="str">
        <f t="shared" ref="FL153:FL154" si="1399">IF($DY153=0,"-",(FK153-$DW153)*100)</f>
        <v>-</v>
      </c>
      <c r="FM153" s="107">
        <f t="shared" si="1220"/>
        <v>5.3941880197097882</v>
      </c>
      <c r="FN153" s="133">
        <f>IF(SeilBeregnet=0,FN120,(SeilBeregnet^0.5/(Depl^0.3333))^FN$3)</f>
        <v>3.3346544375620883</v>
      </c>
      <c r="FO153" s="133">
        <f>IF(SeilBeregnet=0,FO120,(SeilBeregnet^0.5/Lwl*FO$7)^FO$3)</f>
        <v>0.72551167289024365</v>
      </c>
      <c r="FP153" s="133">
        <f>IF(SeilBeregnet=0,FP120,((Loa)/Bredde)^FP$3*FP$7)</f>
        <v>1.8340219092574557</v>
      </c>
      <c r="FQ153" s="107">
        <f>IF(SeilBeregnet=0,FQ120,(Lwl)^FQ$3)</f>
        <v>1.5905414575341013</v>
      </c>
      <c r="FR153" s="107" t="str">
        <f t="shared" si="1221"/>
        <v>-</v>
      </c>
      <c r="FS153" s="141" t="str">
        <f t="shared" ref="FS153:FS154" si="1400">IF($DY153=0,"-",(FR153-$DW153)*100)</f>
        <v>-</v>
      </c>
      <c r="FT153" s="107">
        <f t="shared" si="1223"/>
        <v>6.1158292982914686</v>
      </c>
      <c r="FU153" s="133">
        <f>IF(SeilBeregnet=0,FU120,(SeilBeregnet^0.5/(Depl^0.3333))^FU$3)</f>
        <v>3.3346544375620883</v>
      </c>
      <c r="FV153" s="133">
        <f>IF(SeilBeregnet=0,FV120,(Loa/Bredde)^FV$3)</f>
        <v>1.8340219092574557</v>
      </c>
      <c r="FW153" s="107">
        <f>IF(SeilBeregnet=0,FW120,Lwl^FW$3)</f>
        <v>1.5905414575341013</v>
      </c>
      <c r="FY153" s="336">
        <v>1</v>
      </c>
      <c r="FZ153" s="62" t="str">
        <f t="shared" ref="FZ153:FZ154" si="1401">IF(SeilBeregnet=0,"-",0.06*2.43^(1/2)*(SeilBeregnet^(1/2)/Depl^(1/3)+(Loa/Bredde)^(1/2)+GA153)*Lwl^(1/4)*FY153)</f>
        <v>-</v>
      </c>
      <c r="GA153" s="62">
        <f t="shared" si="1378"/>
        <v>1.8477727231504466</v>
      </c>
      <c r="GB153" s="107" t="str">
        <f t="shared" si="798"/>
        <v>-</v>
      </c>
      <c r="GC153" s="441" t="s">
        <v>992</v>
      </c>
      <c r="GD153" s="57" t="s">
        <v>993</v>
      </c>
      <c r="GE153" s="436"/>
      <c r="GF153" s="75"/>
      <c r="GG153" s="57"/>
      <c r="GH153" s="57" t="s">
        <v>994</v>
      </c>
      <c r="GI153" s="57" t="s">
        <v>425</v>
      </c>
      <c r="GJ153" s="57" t="s">
        <v>995</v>
      </c>
      <c r="GL153" s="57" t="s">
        <v>478</v>
      </c>
      <c r="GM153" s="436" t="s">
        <v>478</v>
      </c>
      <c r="GN153" s="58" t="s">
        <v>478</v>
      </c>
      <c r="GO153" s="58" t="s">
        <v>478</v>
      </c>
      <c r="GP153" s="58" t="s">
        <v>478</v>
      </c>
      <c r="GQ153" s="58" t="s">
        <v>478</v>
      </c>
      <c r="GS153" s="57" t="s">
        <v>208</v>
      </c>
      <c r="GT153" s="57" t="s">
        <v>996</v>
      </c>
      <c r="GU153" s="57" t="s">
        <v>997</v>
      </c>
      <c r="GV153" s="632" t="s">
        <v>439</v>
      </c>
      <c r="GW153" s="57">
        <v>1951</v>
      </c>
      <c r="GX153" s="57" t="s">
        <v>431</v>
      </c>
      <c r="GY153" s="57" t="s">
        <v>438</v>
      </c>
      <c r="GZ153" s="57"/>
    </row>
    <row r="154" spans="1:208" ht="15.6" x14ac:dyDescent="0.3">
      <c r="A154" s="60" t="s">
        <v>33</v>
      </c>
      <c r="B154" s="218"/>
      <c r="C154" s="657" t="str">
        <f>C153</f>
        <v>Bermuda Yawl</v>
      </c>
      <c r="D154" s="61"/>
      <c r="E154" s="61"/>
      <c r="F154" s="61"/>
      <c r="G154" s="54"/>
      <c r="H154" s="204">
        <f>IF(StH=0,0,TBFavrundet)</f>
        <v>0</v>
      </c>
      <c r="I154" s="63">
        <f>COUNTA(O154:AG154)</f>
        <v>3</v>
      </c>
      <c r="J154" s="222">
        <f>SUM(O154:AG154)</f>
        <v>74.900000000000006</v>
      </c>
      <c r="K154" s="116">
        <f>Seilareal/Depl^0.667/K$7</f>
        <v>1.4942985883247963</v>
      </c>
      <c r="L154" s="116">
        <f>Seilareal/Lwl/Lwl/L$7</f>
        <v>1.4510161629521376</v>
      </c>
      <c r="M154" s="92">
        <f>RiggF</f>
        <v>0.85420560747663543</v>
      </c>
      <c r="N154" s="242">
        <f>StHfaktor</f>
        <v>0</v>
      </c>
      <c r="O154" s="143"/>
      <c r="P154" s="143"/>
      <c r="Q154" s="165">
        <v>23</v>
      </c>
      <c r="R154" s="143"/>
      <c r="S154" s="143"/>
      <c r="T154" s="143"/>
      <c r="U154" s="165">
        <v>18.5</v>
      </c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65">
        <v>33.4</v>
      </c>
      <c r="AF154" s="143"/>
      <c r="AG154" s="551"/>
      <c r="AH154" s="557">
        <f t="shared" ref="AH154:AI154" si="1402">AH153</f>
        <v>16</v>
      </c>
      <c r="AI154" s="557">
        <f t="shared" si="1402"/>
        <v>0</v>
      </c>
      <c r="AJ154" s="337">
        <f t="shared" ref="AJ154" si="1403" xml:space="preserve"> AJ153</f>
        <v>0</v>
      </c>
      <c r="AK154" s="339"/>
      <c r="AL154" s="337">
        <f t="shared" ref="AL154" si="1404" xml:space="preserve"> AL153</f>
        <v>0</v>
      </c>
      <c r="AM154" s="339"/>
      <c r="AN154" s="267" t="str">
        <f t="shared" ref="AN154" si="1405" xml:space="preserve"> AN153</f>
        <v>Meter</v>
      </c>
      <c r="AO154" s="45">
        <f>VLOOKUP(AN154,Skrogform!$1:$1048576,3,FALSE)</f>
        <v>1</v>
      </c>
      <c r="AP154" s="64">
        <f t="shared" ref="AP154:AW154" si="1406">AP153</f>
        <v>13.18</v>
      </c>
      <c r="AQ154" s="64">
        <f t="shared" si="1406"/>
        <v>8.85</v>
      </c>
      <c r="AR154" s="64">
        <f t="shared" si="1406"/>
        <v>3.1</v>
      </c>
      <c r="AS154" s="64">
        <f t="shared" si="1406"/>
        <v>1.8</v>
      </c>
      <c r="AT154" s="64">
        <f t="shared" si="1406"/>
        <v>0</v>
      </c>
      <c r="AU154" s="64">
        <f t="shared" si="1406"/>
        <v>10</v>
      </c>
      <c r="AV154" s="64">
        <f t="shared" si="1406"/>
        <v>0</v>
      </c>
      <c r="AW154" s="64">
        <f t="shared" si="1406"/>
        <v>0</v>
      </c>
      <c r="AX154" s="256">
        <f>AX153</f>
        <v>0</v>
      </c>
      <c r="AY154" s="256">
        <f t="shared" ref="AY154:BB154" si="1407">AY153</f>
        <v>0</v>
      </c>
      <c r="AZ154" s="256">
        <f t="shared" si="1407"/>
        <v>0</v>
      </c>
      <c r="BA154" s="256">
        <f t="shared" si="1407"/>
        <v>0</v>
      </c>
      <c r="BB154" s="256">
        <f t="shared" si="1407"/>
        <v>0</v>
      </c>
      <c r="BC154" s="256"/>
      <c r="BD154" s="66"/>
      <c r="BE154" s="66"/>
      <c r="BF154" s="261"/>
      <c r="BG154" s="66"/>
      <c r="BH154" s="175"/>
      <c r="BI154" s="66"/>
      <c r="BJ154" s="66"/>
      <c r="BK154" s="65">
        <f t="shared" ref="BK154:BM154" si="1408" xml:space="preserve"> BK153</f>
        <v>0</v>
      </c>
      <c r="BL154" s="267">
        <f t="shared" si="1408"/>
        <v>0</v>
      </c>
      <c r="BM154" s="267">
        <f t="shared" si="1408"/>
        <v>0</v>
      </c>
      <c r="BN154" s="45">
        <f t="shared" si="1387"/>
        <v>1</v>
      </c>
      <c r="BO154" s="59"/>
      <c r="BP154" s="59"/>
      <c r="BR154" s="49">
        <f t="shared" ref="BR154" si="1409">IF(O154=0,0,O154*BR$9)</f>
        <v>0</v>
      </c>
      <c r="BS154" s="49">
        <f t="shared" ref="BS154" si="1410">IF(P154=0,0,P154*BS$9)</f>
        <v>0</v>
      </c>
      <c r="BT154" s="49">
        <f t="shared" ref="BT154" si="1411">IF(Q154=0,0,Q154*BT$9)</f>
        <v>23</v>
      </c>
      <c r="BU154" s="49">
        <f t="shared" ref="BU154" si="1412">IF(R154=0,0,R154*BU$9)</f>
        <v>0</v>
      </c>
      <c r="BV154" s="49">
        <f t="shared" ref="BV154" si="1413">IF(S154=0,0,S154*BV$9)</f>
        <v>0</v>
      </c>
      <c r="BW154" s="49">
        <f t="shared" ref="BW154" si="1414">IF(T154=0,0,T154*BW$9)</f>
        <v>0</v>
      </c>
      <c r="BX154" s="49">
        <f t="shared" ref="BX154" si="1415">IF(U154=0,0,U154*BX$9)</f>
        <v>18.5</v>
      </c>
      <c r="BY154" s="549">
        <f>IF(COUNT(Q154:U154)&gt;1,MINA(Q154:U154)*BY$9,0)</f>
        <v>-9.25</v>
      </c>
      <c r="BZ154" s="85">
        <f t="shared" ref="BZ154" si="1416">IF(V154=0,0,V154*BZ$9)</f>
        <v>0</v>
      </c>
      <c r="CA154" s="85">
        <f t="shared" ref="CA154" si="1417">IF(W154=0,0,W154*CA$9)</f>
        <v>0</v>
      </c>
      <c r="CB154" s="85">
        <f t="shared" ref="CB154" si="1418">IF(X154=0,0,X154*CB$9)</f>
        <v>0</v>
      </c>
      <c r="CC154" s="85">
        <f t="shared" ref="CC154" si="1419">IF(Y154=0,0,Y154*CC$9)</f>
        <v>0</v>
      </c>
      <c r="CD154" s="85">
        <f t="shared" ref="CD154" si="1420">IF(Z154=0,0,Z154*CD$9)</f>
        <v>0</v>
      </c>
      <c r="CE154" s="85">
        <f>IF(AC154=0,0,AC154*CE$9)</f>
        <v>0</v>
      </c>
      <c r="CF154" s="85">
        <f t="shared" ref="CF154" si="1421">IF(AA154=0,0,AA154*CF$9)</f>
        <v>0</v>
      </c>
      <c r="CG154" s="85">
        <f t="shared" ref="CG154" si="1422">IF(AB154=0,0,AB154*CG$9)</f>
        <v>0</v>
      </c>
      <c r="CH154" s="85">
        <f t="shared" ref="CH154" si="1423">IF(AD154=0,0,AD154*CH$9)</f>
        <v>0</v>
      </c>
      <c r="CI154" s="85">
        <f t="shared" ref="CI154" si="1424">IF(AE154=0,0,AE154*CI$9)</f>
        <v>31.729999999999997</v>
      </c>
      <c r="CJ154" s="85">
        <f t="shared" ref="CJ154" si="1425">IF(AF154=0,0,AF154*CJ$9)</f>
        <v>0</v>
      </c>
      <c r="CK154" s="85">
        <f t="shared" ref="CK154" si="1426">IF(AG154=0,0,AG154*CK$9)</f>
        <v>0</v>
      </c>
      <c r="CL154" s="100">
        <f>SUM(BR154:CK154)</f>
        <v>63.98</v>
      </c>
      <c r="CM154" s="50"/>
      <c r="CN154" s="104">
        <f>J154</f>
        <v>74.900000000000006</v>
      </c>
      <c r="CO154" s="101">
        <f>CL154/CN154</f>
        <v>0.85420560747663543</v>
      </c>
      <c r="CP154" s="51">
        <f>Seilareal/Lwl/Lwl</f>
        <v>0.95630246736250779</v>
      </c>
      <c r="CQ154" s="116">
        <f>Seilareal/Depl^0.667/K$7</f>
        <v>1.4942985883247963</v>
      </c>
      <c r="CR154" s="51">
        <f>Seilareal/Lwl/Lwl/SApRS1</f>
        <v>1.4510161629521376</v>
      </c>
      <c r="CS154" s="204"/>
      <c r="CT154" s="204">
        <f>(ROUND(TBF/CT$6,3)*CT$6)*CT$4</f>
        <v>42.999999999999993</v>
      </c>
      <c r="CU154" s="107">
        <f t="shared" si="83"/>
        <v>0.42753628020580031</v>
      </c>
      <c r="CV154" s="62">
        <f t="shared" si="789"/>
        <v>0</v>
      </c>
      <c r="CW154" s="62">
        <f t="shared" si="84"/>
        <v>1.8850002139128825</v>
      </c>
      <c r="CX154" s="62">
        <f t="shared" si="790"/>
        <v>1.7247883801002091</v>
      </c>
      <c r="CY154" s="107">
        <f t="shared" si="85"/>
        <v>0</v>
      </c>
      <c r="CZ154" s="168" t="str">
        <f t="shared" si="1388"/>
        <v>-</v>
      </c>
      <c r="DA154" s="159">
        <f>DA153</f>
        <v>0</v>
      </c>
      <c r="DB154" s="168">
        <f t="shared" si="1389"/>
        <v>1.2180701754385967</v>
      </c>
      <c r="DC154" s="159">
        <f>DC153</f>
        <v>1.31</v>
      </c>
      <c r="DD154" s="190" t="s">
        <v>134</v>
      </c>
      <c r="DE154" s="62" t="s">
        <v>102</v>
      </c>
      <c r="DF154" s="62" t="s">
        <v>102</v>
      </c>
      <c r="DG154" s="62" t="s">
        <v>102</v>
      </c>
      <c r="DH154" s="150" t="s">
        <v>102</v>
      </c>
      <c r="DI154" s="62">
        <f t="shared" si="1374"/>
        <v>2.1542939617697638</v>
      </c>
      <c r="DJ154" s="47">
        <f t="shared" si="1375"/>
        <v>13.8996138996139</v>
      </c>
      <c r="DK154" s="48">
        <f t="shared" si="1390"/>
        <v>0</v>
      </c>
      <c r="DM154" s="107">
        <f t="shared" si="1201"/>
        <v>1.2351037968250804</v>
      </c>
      <c r="DN154" s="141" t="str">
        <f t="shared" si="1391"/>
        <v>-</v>
      </c>
      <c r="DO154" s="107">
        <f t="shared" si="1392"/>
        <v>5.7749197556317853</v>
      </c>
      <c r="DP154" s="133">
        <f>IF(SeilBeregnet=0,DP153,(SeilBeregnet^0.5/(Depl^0.3333))^DP$3*DP$7)</f>
        <v>3.7129757934383885</v>
      </c>
      <c r="DQ154" s="133">
        <f>IF(SeilBeregnet=0,DQ153,(SeilBeregnet^0.5/Lwl)^DQ$3*DQ$7)</f>
        <v>0</v>
      </c>
      <c r="DR154" s="133">
        <f>IF(SeilBeregnet=0,DR153,(0.1*Loa/Depl^0.3333)^DR$3*DR$7)</f>
        <v>0</v>
      </c>
      <c r="DS154" s="133">
        <f>IF(SeilBeregnet=0,DS153,((Loa)/Bredde)^DS$3*DS$7)</f>
        <v>2.0619439621933973</v>
      </c>
      <c r="DT154" s="107">
        <f>IF(SeilBeregnet=0,DT153,(Lwl)^DT$3)</f>
        <v>1.7247883801002091</v>
      </c>
      <c r="DU154" s="133">
        <f>IF(SeilBeregnet=0,DU153,(Dypg/Loa)^DU$3*5*DU$7)</f>
        <v>1.8477727231504466</v>
      </c>
      <c r="DW154" s="107">
        <f t="shared" si="1241"/>
        <v>0.42753628020580031</v>
      </c>
      <c r="DX154" s="107">
        <f t="shared" si="1376"/>
        <v>1.2524541969081975</v>
      </c>
      <c r="DZ154" s="107">
        <f t="shared" si="1377"/>
        <v>1.2279674711352477</v>
      </c>
      <c r="EA154" s="122" t="str">
        <f t="shared" si="1393"/>
        <v>-</v>
      </c>
      <c r="EB154" s="107">
        <f t="shared" si="1394"/>
        <v>1.2546523051289904</v>
      </c>
      <c r="EC154" s="122" t="str">
        <f t="shared" si="1395"/>
        <v>-</v>
      </c>
      <c r="ED154" s="107">
        <f>IF(SeilBeregnet=0,ED153,SeilBeregnet^0.5/Depl^0.33333)</f>
        <v>3.7127193190154246</v>
      </c>
      <c r="EE154" s="107">
        <f>IF(SeilBeregnet=0,EE153,Lwl^0.3333)</f>
        <v>2.0683126689309588</v>
      </c>
      <c r="EF154" s="107">
        <f>IF(SeilBeregnet=0,EF153,((Loa+Lwl)/Bredde)^EF$3)</f>
        <v>1.6327255947010153</v>
      </c>
      <c r="EH154" s="107">
        <f t="shared" si="1396"/>
        <v>1.2504359618316714</v>
      </c>
      <c r="EJ154" s="107">
        <f>IF(SeilBeregnet=0,EJ153,SeilBeregnet^0.5/Depl^0.33333)</f>
        <v>3.7127193190154246</v>
      </c>
      <c r="EK154" s="107">
        <f>IF(SeilBeregnet=0,EK153,Lwl^EK$3)</f>
        <v>2.0684479669076232</v>
      </c>
      <c r="EL154" s="107">
        <f>IF(SeilBeregnet=0,EL153,((Loa+Lwl)/Bredde)^EL$3)</f>
        <v>1.9224536566615831</v>
      </c>
      <c r="EM154" s="107">
        <f t="shared" si="1397"/>
        <v>1.2393679736048342</v>
      </c>
      <c r="EO154" s="107">
        <f>IF(SeilBeregnet=0,EO153,(EP154*EQ154)^EO$3)</f>
        <v>6.0618518580974081</v>
      </c>
      <c r="EP154" s="107">
        <f>IF(SeilBeregnet=0,EP153,SeilBeregnet^0.5/Depl^0.33333)</f>
        <v>3.7127193190154246</v>
      </c>
      <c r="EQ154" s="107">
        <f>IF(SeilBeregnet=0,EQ153,((Loa+Lwl)/Bredde)^EQ$3)</f>
        <v>1.6327255947010153</v>
      </c>
      <c r="ER154" s="107">
        <f>IF(SeilBeregnet=0,ER153,Lwl^ER$3)</f>
        <v>1.7247883801002091</v>
      </c>
      <c r="ES154" s="107">
        <f t="shared" si="1212"/>
        <v>1.2607719286956627</v>
      </c>
      <c r="EU154" s="107">
        <f>IF(SeilBeregnet=0,EU153,(EV:EV*EW:EW)^EU$3)</f>
        <v>1.9680392383521708</v>
      </c>
      <c r="EV154" s="107">
        <f>IF(SeilBeregnet=0,EV153,SeilBeregnet^0.5/Depl^0.33333)</f>
        <v>3.7127193190154246</v>
      </c>
      <c r="EW154" s="107">
        <f>IF(SeilBeregnet=0,EW153,((Loa+Lwl)/Bredde/6)^EW$3)</f>
        <v>1.043218759860608</v>
      </c>
      <c r="EX154" s="107">
        <f>IF(SeilBeregnet=0,EX153,(Lwl*0.7+Loa*0.3)^EX$3)</f>
        <v>1.7848668071718734</v>
      </c>
      <c r="EY154" s="107">
        <f t="shared" si="1213"/>
        <v>1.1811873465523683</v>
      </c>
      <c r="FA154" s="107">
        <f t="shared" si="1214"/>
        <v>1.9681072131932378</v>
      </c>
      <c r="FB154" s="107">
        <f>IF(SeilBeregnet=0,FB153,SeilBeregnet^0.5/Depl^0.3333)</f>
        <v>3.7129757934383885</v>
      </c>
      <c r="FC154" s="107">
        <f>IF(SeilBeregnet=0,FC153,((Loa+Lwl)/Bredde/6)^FC$3)</f>
        <v>1.043218759860608</v>
      </c>
      <c r="FD154" s="107">
        <f>IF(SeilBeregnet=0,FD153,(Lwl*0.7+Loa*0.3)^FD$3)</f>
        <v>1.7848668071718734</v>
      </c>
      <c r="FE154" s="107">
        <f t="shared" si="1215"/>
        <v>1.2732781021940016</v>
      </c>
      <c r="FF154" s="141" t="str">
        <f t="shared" si="1398"/>
        <v>-</v>
      </c>
      <c r="FG154" s="107">
        <f t="shared" si="1217"/>
        <v>4.0408515352436591</v>
      </c>
      <c r="FH154" s="133">
        <f>IF(SeilBeregnet=0,FH153,(SeilBeregnet^0.5/(Depl^0.3333))^FH$3)</f>
        <v>3.7129757934383885</v>
      </c>
      <c r="FI154" s="133">
        <f>IF(SeilBeregnet=0,FI153,((Loa+Lwl)/Bredde/6)^FI$3)</f>
        <v>1.0883053809251049</v>
      </c>
      <c r="FJ154" s="107">
        <f>IF(SeilBeregnet=0,FJ153,(Lwl*0.07+Loa*0.03)^FJ$3)</f>
        <v>1.0037043656332985</v>
      </c>
      <c r="FK154" s="107">
        <f t="shared" si="1218"/>
        <v>1.2681838813538722</v>
      </c>
      <c r="FL154" s="141" t="str">
        <f t="shared" si="1399"/>
        <v>-</v>
      </c>
      <c r="FM154" s="107">
        <f t="shared" si="1220"/>
        <v>6.1787333039174905</v>
      </c>
      <c r="FN154" s="133">
        <f>IF(SeilBeregnet=0,FN153,(SeilBeregnet^0.5/(Depl^0.3333))^FN$3)</f>
        <v>3.7129757934383885</v>
      </c>
      <c r="FO154" s="133">
        <f>IF(SeilBeregnet=0,FO153,(SeilBeregnet^0.5/Lwl*FO$7)^FO$3)</f>
        <v>0.90381354828570482</v>
      </c>
      <c r="FP154" s="133">
        <f>IF(SeilBeregnet=0,FP153,((Loa)/Bredde)^FP$3*FP$7)</f>
        <v>2.0619439621933973</v>
      </c>
      <c r="FQ154" s="107">
        <f>IF(SeilBeregnet=0,FQ153,(Lwl)^FQ$3)</f>
        <v>1.7247883801002091</v>
      </c>
      <c r="FR154" s="107">
        <f t="shared" si="1221"/>
        <v>1.2866587969478653</v>
      </c>
      <c r="FS154" s="141" t="str">
        <f t="shared" si="1400"/>
        <v>-</v>
      </c>
      <c r="FT154" s="107">
        <f t="shared" si="1223"/>
        <v>7.6559480190505234</v>
      </c>
      <c r="FU154" s="133">
        <f>IF(SeilBeregnet=0,FU153,(SeilBeregnet^0.5/(Depl^0.3333))^FU$3)</f>
        <v>3.7129757934383885</v>
      </c>
      <c r="FV154" s="133">
        <f>IF(SeilBeregnet=0,FV153,(Loa/Bredde)^FV$3)</f>
        <v>2.0619439621933973</v>
      </c>
      <c r="FW154" s="107">
        <f>IF(SeilBeregnet=0,FW153,Lwl^FW$3)</f>
        <v>1.7247883801002091</v>
      </c>
      <c r="FY154" s="336">
        <v>1</v>
      </c>
      <c r="FZ154" s="62">
        <f t="shared" si="1401"/>
        <v>1.2296524179784833</v>
      </c>
      <c r="GA154" s="62">
        <f t="shared" si="1378"/>
        <v>1.8477727231504466</v>
      </c>
      <c r="GB154" s="107">
        <f t="shared" si="798"/>
        <v>0</v>
      </c>
      <c r="GC154" s="440"/>
      <c r="GD154" s="17"/>
      <c r="GE154" s="442"/>
      <c r="GF154" s="462"/>
      <c r="GG154" s="17"/>
      <c r="GH154" s="17"/>
      <c r="GI154" s="17"/>
      <c r="GJ154" s="17"/>
      <c r="GL154" s="17"/>
      <c r="GM154" s="442"/>
      <c r="GN154" s="8"/>
      <c r="GO154" s="8"/>
      <c r="GP154" s="8"/>
      <c r="GQ154" s="8"/>
      <c r="GS154" s="17"/>
      <c r="GT154" s="17"/>
      <c r="GU154" s="17"/>
      <c r="GV154" s="629"/>
      <c r="GW154" s="17"/>
      <c r="GX154" s="17"/>
      <c r="GY154" s="17"/>
      <c r="GZ154" s="17"/>
    </row>
    <row r="155" spans="1:208" ht="15.6" x14ac:dyDescent="0.3">
      <c r="A155" s="52" t="s">
        <v>903</v>
      </c>
      <c r="B155" s="218">
        <f t="shared" ref="B155" si="1427">Loa/0.3048</f>
        <v>52.165354330708659</v>
      </c>
      <c r="C155" s="53" t="s">
        <v>38</v>
      </c>
      <c r="D155" s="53"/>
      <c r="E155" s="53"/>
      <c r="F155" s="53"/>
      <c r="G155" s="54"/>
      <c r="H155" s="112">
        <f>J156</f>
        <v>143</v>
      </c>
      <c r="I155" s="601">
        <f>H156/100</f>
        <v>1.6950000000000001</v>
      </c>
      <c r="J155" s="651">
        <f>IF(DC156=0,"-",DC156)</f>
        <v>1.66</v>
      </c>
      <c r="K155" s="123" t="str">
        <f>A155</f>
        <v>Anahita</v>
      </c>
      <c r="L155" s="116"/>
      <c r="M155" s="116"/>
      <c r="N155" s="92"/>
      <c r="O155" s="165"/>
      <c r="P155" s="165"/>
      <c r="Q155" s="165">
        <v>70</v>
      </c>
      <c r="R155" s="165"/>
      <c r="S155" s="165"/>
      <c r="T155" s="165"/>
      <c r="U155" s="165">
        <v>43</v>
      </c>
      <c r="V155" s="559"/>
      <c r="W155" s="559"/>
      <c r="X155" s="165"/>
      <c r="Y155" s="165"/>
      <c r="Z155" s="165"/>
      <c r="AA155" s="165"/>
      <c r="AB155" s="165"/>
      <c r="AC155" s="165"/>
      <c r="AD155" s="165"/>
      <c r="AE155" s="165">
        <v>73</v>
      </c>
      <c r="AF155" s="165"/>
      <c r="AG155" s="552"/>
      <c r="AH155" s="244">
        <v>19.23</v>
      </c>
      <c r="AI155" s="244">
        <v>19.23</v>
      </c>
      <c r="AJ155" s="554"/>
      <c r="AK155" s="339"/>
      <c r="AL155" s="268" t="s">
        <v>255</v>
      </c>
      <c r="AM155" s="339">
        <v>0.02</v>
      </c>
      <c r="AN155" s="268" t="s">
        <v>578</v>
      </c>
      <c r="AO155" s="45">
        <f>VLOOKUP(AN155,Skrogform!$1:$1048576,3,FALSE)</f>
        <v>1.02</v>
      </c>
      <c r="AP155" s="55">
        <v>15.9</v>
      </c>
      <c r="AQ155" s="55">
        <v>12.93</v>
      </c>
      <c r="AR155" s="55">
        <v>3.78</v>
      </c>
      <c r="AS155" s="55">
        <v>2.65</v>
      </c>
      <c r="AT155" s="637">
        <v>18.64</v>
      </c>
      <c r="AU155" s="55">
        <v>18.64</v>
      </c>
      <c r="AV155" s="55">
        <v>7.3</v>
      </c>
      <c r="AW155" s="55"/>
      <c r="AX155" s="253"/>
      <c r="AY155" s="253">
        <v>48</v>
      </c>
      <c r="AZ155" s="253">
        <v>350</v>
      </c>
      <c r="BA155" s="253"/>
      <c r="BB155" s="253"/>
      <c r="BC155" s="244">
        <f>Depl+Diesel/1000*0.84+Vann/1000</f>
        <v>18.64</v>
      </c>
      <c r="BD155" s="95">
        <f>Bredde/(Loa+Lwl)*2</f>
        <v>0.26222684703433924</v>
      </c>
      <c r="BE155" s="95">
        <f>(Kjøl+Ballast)/Depl</f>
        <v>0.39163090128755362</v>
      </c>
      <c r="BF155" s="260">
        <f>BF$7*((Depl-Kjøl-Ballast-VektMotor/1000-VektAnnet/1000)/Lwl/Lwl/Bredde)</f>
        <v>0.65627893789444258</v>
      </c>
      <c r="BG155" s="95">
        <f>BG$7*(Depl/Loa/Lwl/Lwl)</f>
        <v>0.51601932823286822</v>
      </c>
      <c r="BH155" s="174">
        <f>BH$7*(Depl/Loa/Lwl/Bredde)</f>
        <v>0.65244665043903338</v>
      </c>
      <c r="BI155" s="95">
        <f>BI$7*Bredde/(Loa+Lwl)*2</f>
        <v>0.74805142492699139</v>
      </c>
      <c r="BJ155" s="95">
        <f>BJ$7*(Dypg/Lwl)</f>
        <v>1.1209859107569184</v>
      </c>
      <c r="BK155" s="56" t="s">
        <v>39</v>
      </c>
      <c r="BL155" s="268">
        <v>2</v>
      </c>
      <c r="BM155" s="268">
        <v>50</v>
      </c>
      <c r="BN155" s="45">
        <f t="shared" si="1197"/>
        <v>0.98913998219630206</v>
      </c>
      <c r="BO155" s="59"/>
      <c r="BP155" s="59"/>
      <c r="BR155" s="209"/>
      <c r="BS155" s="209"/>
      <c r="BT155" s="209" t="str">
        <f>$A155</f>
        <v>Anahita</v>
      </c>
      <c r="BU155" s="10"/>
      <c r="BV155" s="10"/>
      <c r="BW155" s="10"/>
      <c r="BX155" s="10"/>
      <c r="BY155" s="549"/>
      <c r="BZ155" s="10"/>
      <c r="CA155" s="10"/>
      <c r="CB155" s="209" t="str">
        <f>$A155</f>
        <v>Anahita</v>
      </c>
      <c r="CC155" s="10"/>
      <c r="CD155" s="10"/>
      <c r="CE155" s="10"/>
      <c r="CF155" s="10"/>
      <c r="CG155" s="10"/>
      <c r="CH155" s="10"/>
      <c r="CI155" s="10"/>
      <c r="CJ155" s="10"/>
      <c r="CK155" s="10"/>
      <c r="CL155" s="209"/>
      <c r="CM155" s="10"/>
      <c r="CN155" s="209" t="str">
        <f>$A155</f>
        <v>Anahita</v>
      </c>
      <c r="CO155" s="207"/>
      <c r="CP155" s="207"/>
      <c r="CQ155" s="116"/>
      <c r="CR155" s="207"/>
      <c r="CS155" s="203"/>
      <c r="CT155" s="203" t="s">
        <v>23</v>
      </c>
      <c r="CU155" s="107" t="str">
        <f t="shared" si="36"/>
        <v>-</v>
      </c>
      <c r="CV155" s="62" t="str">
        <f t="shared" si="789"/>
        <v>-</v>
      </c>
      <c r="CW155" s="62" t="str">
        <f t="shared" si="84"/>
        <v>-</v>
      </c>
      <c r="CX155" s="62" t="str">
        <f t="shared" si="790"/>
        <v>-</v>
      </c>
      <c r="CY155" s="107" t="str">
        <f t="shared" si="85"/>
        <v>-</v>
      </c>
      <c r="CZ155" s="168" t="str">
        <f t="shared" si="693"/>
        <v>-</v>
      </c>
      <c r="DA155" s="158"/>
      <c r="DB155" s="168" t="str">
        <f t="shared" si="694"/>
        <v>-</v>
      </c>
      <c r="DC155" s="160">
        <v>1.66</v>
      </c>
      <c r="DD155" s="190" t="s">
        <v>134</v>
      </c>
      <c r="DE155" s="29" t="s">
        <v>23</v>
      </c>
      <c r="DF155" s="29" t="s">
        <v>23</v>
      </c>
      <c r="DG155" s="29" t="s">
        <v>23</v>
      </c>
      <c r="DH155" s="149">
        <v>2022</v>
      </c>
      <c r="DI155" s="62" t="str">
        <f t="shared" si="1374"/>
        <v>-</v>
      </c>
      <c r="DJ155" s="47">
        <f t="shared" si="1375"/>
        <v>14.963297571993223</v>
      </c>
      <c r="DK155" s="48">
        <f t="shared" ref="DK155:DK183" si="1428">DJ$7*IF(DJ155&lt;DJ$5,-0.04,IF(DJ155&lt;DJ$5*1.1,-0.03,IF(DJ155&lt;DJ$5*1.2,-0.02,IF(DJ155&lt;DJ$5*1.3,-0.01,0))))</f>
        <v>0</v>
      </c>
      <c r="DM155" s="107" t="str">
        <f t="shared" si="1201"/>
        <v>-</v>
      </c>
      <c r="DN155" s="141" t="str">
        <f t="shared" ref="DN155:DN166" si="1429">IF($DY155=0,"-",(DM155-$DW155)*100)</f>
        <v>-</v>
      </c>
      <c r="DO155" s="107">
        <f t="shared" ref="DO155:DO183" si="1430">SUM(DP155:DS155)^DO$3+DO$7</f>
        <v>6.3853462178171219</v>
      </c>
      <c r="DP155" s="133">
        <f>IF(SeilBeregnet=0,DP295,(SeilBeregnet^0.5/(Depl^0.3333))^DP$3*DP$7)</f>
        <v>4.2884975839027932</v>
      </c>
      <c r="DQ155" s="133">
        <f>IF(SeilBeregnet=0,DQ295,(SeilBeregnet^0.5/Lwl)^DQ$3*DQ$7)</f>
        <v>0</v>
      </c>
      <c r="DR155" s="133">
        <f>IF(SeilBeregnet=0,DR295,(0.1*Loa/Depl^0.3333)^DR$3*DR$7)</f>
        <v>0</v>
      </c>
      <c r="DS155" s="133">
        <f>IF(SeilBeregnet=0,DS295,((Loa)/Bredde)^DS$3*DS$7)</f>
        <v>2.0968486339143286</v>
      </c>
      <c r="DT155" s="107">
        <f>IF(SeilBeregnet=0,DT295,(Lwl)^DT$3)</f>
        <v>1.7415941483654049</v>
      </c>
      <c r="DU155" s="133">
        <f>IF(SeilBeregnet=0,DU295,(Dypg/Loa)^DU$3*5*DU$7)</f>
        <v>2.0981073118415403</v>
      </c>
      <c r="DW155" s="107" t="str">
        <f t="shared" si="1241"/>
        <v>-</v>
      </c>
      <c r="DX155" s="107" t="str">
        <f t="shared" si="1376"/>
        <v>-</v>
      </c>
      <c r="DZ155" s="107" t="str">
        <f t="shared" si="1377"/>
        <v>-</v>
      </c>
      <c r="EA155" s="122" t="str">
        <f t="shared" ref="EA155:EA166" si="1431">IF($DY155=0,"-",DZ155-$DW155)</f>
        <v>-</v>
      </c>
      <c r="EB155" s="107" t="str">
        <f t="shared" ref="EB155:EB183" si="1432">IF(SeilBeregnet=0,"-",EB$7*(EB$4*ED155*EE155*EF155*PropF+EB$6)+ErfaringsF+Dyp_F)</f>
        <v>-</v>
      </c>
      <c r="EC155" s="122" t="str">
        <f t="shared" ref="EC155:EC166" si="1433">IF($DY155=0,"-",EB155-$DW155)</f>
        <v>-</v>
      </c>
      <c r="ED155" s="107">
        <f>IF(SeilBeregnet=0,ED295,SeilBeregnet^0.5/Depl^0.33333)</f>
        <v>4.2881890939563085</v>
      </c>
      <c r="EE155" s="107">
        <f>IF(SeilBeregnet=0,EE295,Lwl^0.3333)</f>
        <v>2.0952241096557445</v>
      </c>
      <c r="EF155" s="107">
        <f>IF(SeilBeregnet=0,EF295,((Loa+Lwl)/Bredde)^EF$3)</f>
        <v>1.6473506606766539</v>
      </c>
      <c r="EH155" s="107" t="str">
        <f t="shared" ref="EH155:EH183" si="1434">IF(SeilBeregnet=0,"-",EH$7*(EH$4*EJ155*EK155*EL155*PropF+EH$6)+ErfaringsF+Dyp_F)</f>
        <v>-</v>
      </c>
      <c r="EJ155" s="107">
        <f>IF(SeilBeregnet=0,EJ295,SeilBeregnet^0.5/Depl^0.33333)</f>
        <v>4.2881890939563085</v>
      </c>
      <c r="EK155" s="107">
        <f>IF(SeilBeregnet=0,EK295,Lwl^EK$3)</f>
        <v>2.095363606158581</v>
      </c>
      <c r="EL155" s="107">
        <f>IF(SeilBeregnet=0,EL295,((Loa+Lwl)/Bredde)^EL$3)</f>
        <v>1.9454459426913298</v>
      </c>
      <c r="EM155" s="107" t="str">
        <f t="shared" ref="EM155:EM183" si="1435">IF(SeilBeregnet=0,"-",EM$7*(EM$4*EO155+EM$6)*ER155*PropF+ErfaringsF+Dyp_F)</f>
        <v>-</v>
      </c>
      <c r="EO155" s="107">
        <f>IF(SeilBeregnet=0,EO295,(EP155*EQ155)^EO$3)</f>
        <v>7.0641511370353465</v>
      </c>
      <c r="EP155" s="107">
        <f>IF(SeilBeregnet=0,EP295,SeilBeregnet^0.5/Depl^0.33333)</f>
        <v>4.2881890939563085</v>
      </c>
      <c r="EQ155" s="107">
        <f>IF(SeilBeregnet=0,EQ295,((Loa+Lwl)/Bredde)^EQ$3)</f>
        <v>1.6473506606766539</v>
      </c>
      <c r="ER155" s="107">
        <f>IF(SeilBeregnet=0,ER295,Lwl^ER$3)</f>
        <v>1.7415941483654049</v>
      </c>
      <c r="ES155" s="107" t="str">
        <f t="shared" si="1212"/>
        <v>-</v>
      </c>
      <c r="EU155" s="107">
        <f>IF(SeilBeregnet=0,EU295,(EV:EV*EW:EW)^EU$3)</f>
        <v>2.1245212769850528</v>
      </c>
      <c r="EV155" s="107">
        <f>IF(SeilBeregnet=0,EV295,SeilBeregnet^0.5/Depl^0.33333)</f>
        <v>4.2881890939563085</v>
      </c>
      <c r="EW155" s="107">
        <f>IF(SeilBeregnet=0,EW295,((Loa+Lwl)/Bredde/6)^EW$3)</f>
        <v>1.0525633449148892</v>
      </c>
      <c r="EX155" s="107">
        <f>IF(SeilBeregnet=0,EX295,(Lwl*0.7+Loa*0.3)^EX$3)</f>
        <v>1.8013445147642846</v>
      </c>
      <c r="EY155" s="107" t="str">
        <f t="shared" si="1213"/>
        <v>-</v>
      </c>
      <c r="FA155" s="107">
        <f t="shared" si="1214"/>
        <v>2.1245976940522517</v>
      </c>
      <c r="FB155" s="107">
        <f>IF(SeilBeregnet=0,FB295,SeilBeregnet^0.5/Depl^0.3333)</f>
        <v>4.2884975839027932</v>
      </c>
      <c r="FC155" s="107">
        <f>IF(SeilBeregnet=0,FC295,((Loa+Lwl)/Bredde/6)^FC$3)</f>
        <v>1.0525633449148892</v>
      </c>
      <c r="FD155" s="107">
        <f>IF(SeilBeregnet=0,FD295,(Lwl*0.7+Loa*0.3)^FD$3)</f>
        <v>1.8013445147642846</v>
      </c>
      <c r="FE155" s="107" t="str">
        <f t="shared" si="1215"/>
        <v>-</v>
      </c>
      <c r="FF155" s="141" t="str">
        <f t="shared" ref="FF155:FF166" si="1436">IF($DY155=0,"-",(FE155-$DW155)*100)</f>
        <v>-</v>
      </c>
      <c r="FG155" s="107">
        <f t="shared" si="1217"/>
        <v>4.7511818516390774</v>
      </c>
      <c r="FH155" s="133">
        <f>IF(SeilBeregnet=0,FH295,(SeilBeregnet^0.5/(Depl^0.3333))^FH$3)</f>
        <v>4.2884975839027932</v>
      </c>
      <c r="FI155" s="133">
        <f>IF(SeilBeregnet=0,FI295,((Loa+Lwl)/Bredde/6)^FI$3)</f>
        <v>1.1078895950584198</v>
      </c>
      <c r="FJ155" s="107">
        <f>IF(SeilBeregnet=0,FJ295,(Lwl*0.07+Loa*0.03)^FJ$3)</f>
        <v>1.0129704615569142</v>
      </c>
      <c r="FK155" s="107" t="str">
        <f t="shared" si="1218"/>
        <v>-</v>
      </c>
      <c r="FL155" s="141" t="str">
        <f t="shared" ref="FL155:FL166" si="1437">IF($DY155=0,"-",(FK155-$DW155)*100)</f>
        <v>-</v>
      </c>
      <c r="FM155" s="107">
        <f t="shared" si="1220"/>
        <v>6.9219517549900349</v>
      </c>
      <c r="FN155" s="133">
        <f>IF(SeilBeregnet=0,FN295,(SeilBeregnet^0.5/(Depl^0.3333))^FN$3)</f>
        <v>4.2884975839027932</v>
      </c>
      <c r="FO155" s="133">
        <f>IF(SeilBeregnet=0,FO295,(SeilBeregnet^0.5/Lwl*FO$7)^FO$3)</f>
        <v>1.0366055371729126</v>
      </c>
      <c r="FP155" s="133">
        <f>IF(SeilBeregnet=0,FP295,((Loa)/Bredde)^FP$3*FP$7)</f>
        <v>2.0968486339143286</v>
      </c>
      <c r="FQ155" s="107">
        <f>IF(SeilBeregnet=0,FQ295,(Lwl)^FQ$3)</f>
        <v>1.7415941483654049</v>
      </c>
      <c r="FR155" s="107" t="str">
        <f t="shared" si="1221"/>
        <v>-</v>
      </c>
      <c r="FS155" s="141" t="str">
        <f t="shared" ref="FS155:FS166" si="1438">IF($DY155=0,"-",(FR155-$DW155)*100)</f>
        <v>-</v>
      </c>
      <c r="FT155" s="107">
        <f t="shared" si="1223"/>
        <v>8.9923303003514707</v>
      </c>
      <c r="FU155" s="133">
        <f>IF(SeilBeregnet=0,FU295,(SeilBeregnet^0.5/(Depl^0.3333))^FU$3)</f>
        <v>4.2884975839027932</v>
      </c>
      <c r="FV155" s="133">
        <f>IF(SeilBeregnet=0,FV295,(Loa/Bredde)^FV$3)</f>
        <v>2.0968486339143286</v>
      </c>
      <c r="FW155" s="107">
        <f>IF(SeilBeregnet=0,FW295,Lwl^FW$3)</f>
        <v>1.7415941483654049</v>
      </c>
      <c r="FX155" s="522">
        <v>1.66</v>
      </c>
      <c r="FY155" s="336">
        <v>1</v>
      </c>
      <c r="FZ155" s="62" t="str">
        <f t="shared" si="711"/>
        <v>-</v>
      </c>
      <c r="GA155" s="62">
        <f t="shared" si="712"/>
        <v>2.0412414523193152</v>
      </c>
      <c r="GB155" s="107" t="str">
        <f t="shared" si="798"/>
        <v>-</v>
      </c>
      <c r="GC155" s="441" t="s">
        <v>457</v>
      </c>
      <c r="GD155" s="57" t="s">
        <v>471</v>
      </c>
      <c r="GE155" s="436" t="s">
        <v>580</v>
      </c>
      <c r="GF155" s="496" t="s">
        <v>642</v>
      </c>
      <c r="GG155" s="57" t="s">
        <v>472</v>
      </c>
      <c r="GH155" s="57" t="s">
        <v>473</v>
      </c>
      <c r="GI155" s="57" t="s">
        <v>416</v>
      </c>
      <c r="GJ155" s="57" t="s">
        <v>474</v>
      </c>
      <c r="GL155" s="57" t="s">
        <v>478</v>
      </c>
      <c r="GM155" s="436" t="s">
        <v>478</v>
      </c>
      <c r="GN155" s="58" t="s">
        <v>478</v>
      </c>
      <c r="GO155" s="58" t="s">
        <v>478</v>
      </c>
      <c r="GP155" s="58" t="s">
        <v>478</v>
      </c>
      <c r="GQ155" s="58" t="s">
        <v>478</v>
      </c>
      <c r="GS155" s="57" t="s">
        <v>475</v>
      </c>
      <c r="GT155" s="57" t="s">
        <v>714</v>
      </c>
      <c r="GU155" s="57" t="s">
        <v>476</v>
      </c>
      <c r="GV155" s="632" t="s">
        <v>713</v>
      </c>
      <c r="GW155" s="57">
        <v>1961</v>
      </c>
      <c r="GX155" s="57" t="s">
        <v>468</v>
      </c>
      <c r="GY155" s="57" t="s">
        <v>477</v>
      </c>
      <c r="GZ155" s="57" t="s">
        <v>478</v>
      </c>
    </row>
    <row r="156" spans="1:208" ht="15.6" x14ac:dyDescent="0.3">
      <c r="A156" s="60" t="s">
        <v>68</v>
      </c>
      <c r="B156" s="218"/>
      <c r="C156" s="61" t="str">
        <f>C155</f>
        <v>Bermuda</v>
      </c>
      <c r="D156" s="61"/>
      <c r="E156" s="61"/>
      <c r="F156" s="61"/>
      <c r="G156" s="54"/>
      <c r="H156" s="204">
        <f>TBFavrundet</f>
        <v>169.5</v>
      </c>
      <c r="I156" s="63">
        <f>COUNTA(O156:AG156)</f>
        <v>2</v>
      </c>
      <c r="J156" s="222">
        <f>SUM(O156:AG156)</f>
        <v>143</v>
      </c>
      <c r="K156" s="116">
        <f>Seilareal/Depl^0.667/K$7</f>
        <v>1.8832335617916391</v>
      </c>
      <c r="L156" s="116">
        <f>Seilareal/Lwl/Lwl/L$7</f>
        <v>1.2978244793673068</v>
      </c>
      <c r="M156" s="92">
        <f>RiggF</f>
        <v>0.97447552447552443</v>
      </c>
      <c r="N156" s="242">
        <f>StHfaktor</f>
        <v>1.0508666144490193</v>
      </c>
      <c r="O156" s="143"/>
      <c r="P156" s="143"/>
      <c r="Q156" s="165">
        <v>70</v>
      </c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65">
        <v>73</v>
      </c>
      <c r="AF156" s="143"/>
      <c r="AG156" s="551"/>
      <c r="AH156" s="557">
        <f t="shared" ref="AH156:AI157" si="1439">AH155</f>
        <v>19.23</v>
      </c>
      <c r="AI156" s="557">
        <f t="shared" si="1439"/>
        <v>19.23</v>
      </c>
      <c r="AJ156" s="337">
        <f t="shared" ref="AJ156" si="1440" xml:space="preserve"> AJ155</f>
        <v>0</v>
      </c>
      <c r="AK156" s="339"/>
      <c r="AL156" s="337" t="str">
        <f t="shared" ref="AL156" si="1441" xml:space="preserve"> AL155</f>
        <v>Alu</v>
      </c>
      <c r="AM156" s="339">
        <v>0.02</v>
      </c>
      <c r="AN156" s="267" t="str">
        <f t="shared" ref="AN156:AN157" si="1442" xml:space="preserve"> AN155</f>
        <v>Delt</v>
      </c>
      <c r="AO156" s="45">
        <f>VLOOKUP(AN156,Skrogform!$1:$1048576,3,FALSE)</f>
        <v>1.02</v>
      </c>
      <c r="AP156" s="64">
        <f t="shared" ref="AP156:AZ156" si="1443">AP155</f>
        <v>15.9</v>
      </c>
      <c r="AQ156" s="64">
        <f t="shared" si="1443"/>
        <v>12.93</v>
      </c>
      <c r="AR156" s="64">
        <f t="shared" si="1443"/>
        <v>3.78</v>
      </c>
      <c r="AS156" s="64">
        <f t="shared" si="1443"/>
        <v>2.65</v>
      </c>
      <c r="AT156" s="64">
        <f t="shared" ref="AT156" si="1444">AT155</f>
        <v>18.64</v>
      </c>
      <c r="AU156" s="64">
        <f t="shared" si="1443"/>
        <v>18.64</v>
      </c>
      <c r="AV156" s="64">
        <f t="shared" si="1443"/>
        <v>7.3</v>
      </c>
      <c r="AW156" s="64">
        <f t="shared" si="1443"/>
        <v>0</v>
      </c>
      <c r="AX156" s="256">
        <f>AX155</f>
        <v>0</v>
      </c>
      <c r="AY156" s="256">
        <f t="shared" si="1443"/>
        <v>48</v>
      </c>
      <c r="AZ156" s="256">
        <f t="shared" si="1443"/>
        <v>350</v>
      </c>
      <c r="BA156" s="256">
        <f t="shared" ref="BA156:BB156" si="1445">BA155</f>
        <v>0</v>
      </c>
      <c r="BB156" s="256">
        <f t="shared" si="1445"/>
        <v>0</v>
      </c>
      <c r="BC156" s="256"/>
      <c r="BD156" s="66"/>
      <c r="BE156" s="66"/>
      <c r="BF156" s="261"/>
      <c r="BG156" s="66"/>
      <c r="BH156" s="175"/>
      <c r="BI156" s="66"/>
      <c r="BJ156" s="66"/>
      <c r="BK156" s="65" t="str">
        <f t="shared" ref="BK156:BM156" si="1446" xml:space="preserve"> BK155</f>
        <v>Fast</v>
      </c>
      <c r="BL156" s="267">
        <f t="shared" si="1446"/>
        <v>2</v>
      </c>
      <c r="BM156" s="267">
        <f t="shared" si="1446"/>
        <v>50</v>
      </c>
      <c r="BN156" s="45">
        <f t="shared" si="1197"/>
        <v>0.98913998219630206</v>
      </c>
      <c r="BO156" s="59"/>
      <c r="BP156" s="59"/>
      <c r="BR156" s="49">
        <f t="shared" ref="BR156:BX157" si="1447">IF(O156=0,0,O156*BR$9)</f>
        <v>0</v>
      </c>
      <c r="BS156" s="49">
        <f t="shared" si="1447"/>
        <v>0</v>
      </c>
      <c r="BT156" s="49">
        <f t="shared" si="1447"/>
        <v>70</v>
      </c>
      <c r="BU156" s="49">
        <f t="shared" si="1447"/>
        <v>0</v>
      </c>
      <c r="BV156" s="49">
        <f t="shared" si="1447"/>
        <v>0</v>
      </c>
      <c r="BW156" s="49">
        <f t="shared" si="1447"/>
        <v>0</v>
      </c>
      <c r="BX156" s="49">
        <f t="shared" si="1447"/>
        <v>0</v>
      </c>
      <c r="BY156" s="549">
        <f>IF(COUNT(Q156:U156)&gt;1,MINA(Q156:U156)*BY$9,0)</f>
        <v>0</v>
      </c>
      <c r="BZ156" s="85">
        <f t="shared" ref="BZ156:CD157" si="1448">IF(V156=0,0,V156*BZ$9)</f>
        <v>0</v>
      </c>
      <c r="CA156" s="85">
        <f t="shared" si="1448"/>
        <v>0</v>
      </c>
      <c r="CB156" s="85">
        <f t="shared" si="1448"/>
        <v>0</v>
      </c>
      <c r="CC156" s="85">
        <f t="shared" si="1448"/>
        <v>0</v>
      </c>
      <c r="CD156" s="85">
        <f t="shared" si="1448"/>
        <v>0</v>
      </c>
      <c r="CE156" s="85">
        <f>IF(AC156=0,0,AC156*CE$9)</f>
        <v>0</v>
      </c>
      <c r="CF156" s="85">
        <f>IF(AA156=0,0,AA156*CF$9)</f>
        <v>0</v>
      </c>
      <c r="CG156" s="85">
        <f>IF(AB156=0,0,AB156*CG$9)</f>
        <v>0</v>
      </c>
      <c r="CH156" s="85">
        <f t="shared" ref="CH156:CK157" si="1449">IF(AD156=0,0,AD156*CH$9)</f>
        <v>0</v>
      </c>
      <c r="CI156" s="85">
        <f t="shared" si="1449"/>
        <v>69.349999999999994</v>
      </c>
      <c r="CJ156" s="85">
        <f t="shared" si="1449"/>
        <v>0</v>
      </c>
      <c r="CK156" s="85">
        <f t="shared" si="1449"/>
        <v>0</v>
      </c>
      <c r="CL156" s="100">
        <f>SUM(BR156:CK156)</f>
        <v>139.35</v>
      </c>
      <c r="CM156" s="50"/>
      <c r="CN156" s="104">
        <f>J156</f>
        <v>143</v>
      </c>
      <c r="CO156" s="101">
        <f>CL156/CN156</f>
        <v>0.97447552447552443</v>
      </c>
      <c r="CP156" s="51">
        <f>Seilareal/Lwl/Lwl</f>
        <v>0.85534040454610438</v>
      </c>
      <c r="CQ156" s="116">
        <f>Seilareal/Depl^0.667/K$7</f>
        <v>1.8832335617916391</v>
      </c>
      <c r="CR156" s="51">
        <f>Seilareal/Lwl/Lwl/SApRS1</f>
        <v>1.2978244793673068</v>
      </c>
      <c r="CS156" s="204"/>
      <c r="CT156" s="204">
        <f>(ROUND(TBF/CT$6,3)*CT$6)*CT$4</f>
        <v>169.5</v>
      </c>
      <c r="CU156" s="107">
        <f t="shared" si="83"/>
        <v>1.6974718579564514</v>
      </c>
      <c r="CV156" s="62">
        <f t="shared" si="789"/>
        <v>4.6620198173639791</v>
      </c>
      <c r="CW156" s="62">
        <f t="shared" si="84"/>
        <v>1.9528164438810074</v>
      </c>
      <c r="CX156" s="62">
        <f t="shared" si="790"/>
        <v>1.8962676285991491</v>
      </c>
      <c r="CY156" s="107">
        <f t="shared" si="85"/>
        <v>1.0508666144490193</v>
      </c>
      <c r="CZ156" s="168" t="str">
        <f t="shared" ref="CZ156:CZ191" si="1450">IF(DA156=0,"-",IF(CP156="TBF","-",CZ$7*DA156))</f>
        <v>-</v>
      </c>
      <c r="DA156" s="159">
        <f>DA155</f>
        <v>0</v>
      </c>
      <c r="DB156" s="168">
        <f t="shared" ref="DB156:DB191" si="1451">IF(DC156=0,"-",IF(CT156="TBF","-",DB$7*DC156))</f>
        <v>1.5435087719298246</v>
      </c>
      <c r="DC156" s="159">
        <f>DC155</f>
        <v>1.66</v>
      </c>
      <c r="DD156" s="190" t="s">
        <v>134</v>
      </c>
      <c r="DE156" s="62">
        <v>1.31</v>
      </c>
      <c r="DF156" s="62">
        <v>1.1299999999999999</v>
      </c>
      <c r="DG156" s="62">
        <v>1.29</v>
      </c>
      <c r="DH156" s="150">
        <v>1.32</v>
      </c>
      <c r="DI156" s="62">
        <f t="shared" si="1374"/>
        <v>2.1393028854176004</v>
      </c>
      <c r="DJ156" s="47">
        <f t="shared" si="1375"/>
        <v>14.963297571993223</v>
      </c>
      <c r="DK156" s="48">
        <f t="shared" si="1428"/>
        <v>0</v>
      </c>
      <c r="DM156" s="107">
        <f t="shared" si="1201"/>
        <v>1.512616808841172</v>
      </c>
      <c r="DN156" s="141">
        <f t="shared" si="1429"/>
        <v>-11.894014805660902</v>
      </c>
      <c r="DO156" s="107">
        <f t="shared" si="1430"/>
        <v>6.5035404963455559</v>
      </c>
      <c r="DP156" s="133">
        <f>IF(SeilBeregnet=0,DP155,(SeilBeregnet^0.5/(Depl^0.3333))^DP$3*DP$7)</f>
        <v>4.4526018804066956</v>
      </c>
      <c r="DQ156" s="133">
        <f>IF(SeilBeregnet=0,DQ155,(SeilBeregnet^0.5/Lwl)^DQ$3*DQ$7)</f>
        <v>0</v>
      </c>
      <c r="DR156" s="133">
        <f>IF(SeilBeregnet=0,DR155,(0.1*Loa/Depl^0.3333)^DR$3*DR$7)</f>
        <v>0</v>
      </c>
      <c r="DS156" s="133">
        <f>IF(SeilBeregnet=0,DS155,((Loa)/Bredde)^DS$3*DS$7)</f>
        <v>2.0509386159388598</v>
      </c>
      <c r="DT156" s="107">
        <f>IF(SeilBeregnet=0,DT155,(Lwl)^DT$3)</f>
        <v>1.8962676285991491</v>
      </c>
      <c r="DU156" s="133">
        <f>IF(SeilBeregnet=0,DU155,(Dypg/Loa)^DU$3*5*DU$7)</f>
        <v>2.0412414523193152</v>
      </c>
      <c r="DW156" s="107">
        <f t="shared" si="1241"/>
        <v>1.631556956897781</v>
      </c>
      <c r="DX156" s="107">
        <f t="shared" si="1376"/>
        <v>1.4987246854898346</v>
      </c>
      <c r="DY156" s="122">
        <f>DX156-DW156</f>
        <v>-0.1328322714079464</v>
      </c>
      <c r="DZ156" s="107">
        <f t="shared" si="1377"/>
        <v>1.4705131267701683</v>
      </c>
      <c r="EA156" s="122">
        <f t="shared" si="1431"/>
        <v>-0.1610438301276127</v>
      </c>
      <c r="EB156" s="107">
        <f t="shared" si="1432"/>
        <v>1.6152402287767971</v>
      </c>
      <c r="EC156" s="122">
        <f t="shared" si="1433"/>
        <v>-1.6316728120983948E-2</v>
      </c>
      <c r="ED156" s="107">
        <f>IF(SeilBeregnet=0,ED155,SeilBeregnet^0.5/Depl^0.33333)</f>
        <v>4.4522111403537572</v>
      </c>
      <c r="EE156" s="107">
        <f>IF(SeilBeregnet=0,EE155,Lwl^0.3333)</f>
        <v>2.346906502982169</v>
      </c>
      <c r="EF156" s="107">
        <f>IF(SeilBeregnet=0,EF155,((Loa+Lwl)/Bredde)^EF$3)</f>
        <v>1.6618361831906654</v>
      </c>
      <c r="EH156" s="107">
        <f t="shared" si="1434"/>
        <v>1.5865416735031104</v>
      </c>
      <c r="EJ156" s="107">
        <f>IF(SeilBeregnet=0,EJ155,SeilBeregnet^0.5/Depl^0.33333)</f>
        <v>4.4522111403537572</v>
      </c>
      <c r="EK156" s="107">
        <f>IF(SeilBeregnet=0,EK155,Lwl^EK$3)</f>
        <v>2.3470867206509878</v>
      </c>
      <c r="EL156" s="107">
        <f>IF(SeilBeregnet=0,EL155,((Loa+Lwl)/Bredde)^EL$3)</f>
        <v>1.9682859953710667</v>
      </c>
      <c r="EM156" s="107">
        <f t="shared" si="1435"/>
        <v>1.5713087908151122</v>
      </c>
      <c r="EO156" s="107">
        <f>IF(SeilBeregnet=0,EO155,(EP156*EQ156)^EO$3)</f>
        <v>7.3988455682444476</v>
      </c>
      <c r="EP156" s="107">
        <f>IF(SeilBeregnet=0,EP155,SeilBeregnet^0.5/Depl^0.33333)</f>
        <v>4.4522111403537572</v>
      </c>
      <c r="EQ156" s="107">
        <f>IF(SeilBeregnet=0,EQ155,((Loa+Lwl)/Bredde)^EQ$3)</f>
        <v>1.6618361831906654</v>
      </c>
      <c r="ER156" s="107">
        <f>IF(SeilBeregnet=0,ER155,Lwl^ER$3)</f>
        <v>1.8962676285991491</v>
      </c>
      <c r="ES156" s="107">
        <f t="shared" si="1212"/>
        <v>1.5364224885062989</v>
      </c>
      <c r="EU156" s="107">
        <f>IF(SeilBeregnet=0,EU155,(EV:EV*EW:EW)^EU$3)</f>
        <v>2.1742680044587148</v>
      </c>
      <c r="EV156" s="107">
        <f>IF(SeilBeregnet=0,EV155,SeilBeregnet^0.5/Depl^0.33333)</f>
        <v>4.4522111403537572</v>
      </c>
      <c r="EW156" s="107">
        <f>IF(SeilBeregnet=0,EW155,((Loa+Lwl)/Bredde/6)^EW$3)</f>
        <v>1.0618187696366208</v>
      </c>
      <c r="EX156" s="107">
        <f>IF(SeilBeregnet=0,EX155,(Lwl*0.7+Loa*0.3)^EX$3)</f>
        <v>1.928123583877269</v>
      </c>
      <c r="EY156" s="107">
        <f t="shared" si="1213"/>
        <v>1.3944051404699149</v>
      </c>
      <c r="FA156" s="107">
        <f t="shared" si="1214"/>
        <v>2.1743634126647602</v>
      </c>
      <c r="FB156" s="107">
        <f>IF(SeilBeregnet=0,FB155,SeilBeregnet^0.5/Depl^0.3333)</f>
        <v>4.4526018804066956</v>
      </c>
      <c r="FC156" s="107">
        <f>IF(SeilBeregnet=0,FC155,((Loa+Lwl)/Bredde/6)^FC$3)</f>
        <v>1.0618187696366208</v>
      </c>
      <c r="FD156" s="107">
        <f>IF(SeilBeregnet=0,FD155,(Lwl*0.7+Loa*0.3)^FD$3)</f>
        <v>1.928123583877269</v>
      </c>
      <c r="FE156" s="107">
        <f t="shared" si="1215"/>
        <v>1.5810909645764801</v>
      </c>
      <c r="FF156" s="141">
        <f t="shared" si="1436"/>
        <v>-5.046599232130089</v>
      </c>
      <c r="FG156" s="107">
        <f t="shared" si="1217"/>
        <v>5.0201265067496674</v>
      </c>
      <c r="FH156" s="133">
        <f>IF(SeilBeregnet=0,FH155,(SeilBeregnet^0.5/(Depl^0.3333))^FH$3)</f>
        <v>4.4526018804066956</v>
      </c>
      <c r="FI156" s="133">
        <f>IF(SeilBeregnet=0,FI155,((Loa+Lwl)/Bredde/6)^FI$3)</f>
        <v>1.1274590995526272</v>
      </c>
      <c r="FJ156" s="107">
        <f>IF(SeilBeregnet=0,FJ155,(Lwl*0.07+Loa*0.03)^FJ$3)</f>
        <v>1.0842635712883086</v>
      </c>
      <c r="FK156" s="107">
        <f t="shared" si="1218"/>
        <v>1.5438005307283706</v>
      </c>
      <c r="FL156" s="141">
        <f t="shared" si="1437"/>
        <v>-8.7756426169410382</v>
      </c>
      <c r="FM156" s="107">
        <f t="shared" si="1220"/>
        <v>6.9165072478349909</v>
      </c>
      <c r="FN156" s="133">
        <f>IF(SeilBeregnet=0,FN155,(SeilBeregnet^0.5/(Depl^0.3333))^FN$3)</f>
        <v>4.4526018804066956</v>
      </c>
      <c r="FO156" s="133">
        <f>IF(SeilBeregnet=0,FO155,(SeilBeregnet^0.5/Lwl*FO$7)^FO$3)</f>
        <v>0.9129667514894354</v>
      </c>
      <c r="FP156" s="133">
        <f>IF(SeilBeregnet=0,FP155,((Loa)/Bredde)^FP$3*FP$7)</f>
        <v>2.0509386159388598</v>
      </c>
      <c r="FQ156" s="107">
        <f>IF(SeilBeregnet=0,FQ155,(Lwl)^FQ$3)</f>
        <v>1.8962676285991491</v>
      </c>
      <c r="FR156" s="107">
        <f t="shared" si="1221"/>
        <v>1.5764081469769826</v>
      </c>
      <c r="FS156" s="141">
        <f t="shared" si="1438"/>
        <v>-5.5148809920798403</v>
      </c>
      <c r="FT156" s="107">
        <f t="shared" si="1223"/>
        <v>9.1320131379280731</v>
      </c>
      <c r="FU156" s="133">
        <f>IF(SeilBeregnet=0,FU155,(SeilBeregnet^0.5/(Depl^0.3333))^FU$3)</f>
        <v>4.4526018804066956</v>
      </c>
      <c r="FV156" s="133">
        <f>IF(SeilBeregnet=0,FV155,(Loa/Bredde)^FV$3)</f>
        <v>2.0509386159388598</v>
      </c>
      <c r="FW156" s="107">
        <f>IF(SeilBeregnet=0,FW155,Lwl^FW$3)</f>
        <v>1.8962676285991491</v>
      </c>
      <c r="FY156" s="336">
        <v>1</v>
      </c>
      <c r="FZ156" s="62">
        <f t="shared" ref="FZ156:FZ223" si="1452">IF(SeilBeregnet=0,"-",0.06*2.43^(1/2)*(SeilBeregnet^(1/2)/Depl^(1/3)+(Loa/Bredde)^(1/2)+GA156)*Lwl^(1/4)*FY156)</f>
        <v>1.5154197266199116</v>
      </c>
      <c r="GA156" s="62">
        <f t="shared" si="1378"/>
        <v>2.0412414523193152</v>
      </c>
      <c r="GB156" s="107">
        <f t="shared" si="798"/>
        <v>1.5237060522864161</v>
      </c>
      <c r="GC156" s="440"/>
      <c r="GD156" s="17"/>
      <c r="GE156" s="442"/>
      <c r="GF156" s="462"/>
      <c r="GG156" s="17"/>
      <c r="GH156" s="17"/>
      <c r="GI156" s="17"/>
      <c r="GJ156" s="17"/>
      <c r="GL156" s="17"/>
      <c r="GM156" s="442"/>
      <c r="GN156" s="8"/>
      <c r="GO156" s="8"/>
      <c r="GP156" s="8"/>
      <c r="GQ156" s="8"/>
      <c r="GS156" s="17"/>
      <c r="GT156" s="17"/>
      <c r="GU156" s="17"/>
      <c r="GV156" s="629"/>
      <c r="GW156" s="17"/>
      <c r="GX156" s="17"/>
      <c r="GY156" s="17"/>
      <c r="GZ156" s="17"/>
    </row>
    <row r="157" spans="1:208" ht="15.6" x14ac:dyDescent="0.3">
      <c r="A157" s="60" t="s">
        <v>231</v>
      </c>
      <c r="B157" s="218"/>
      <c r="C157" s="14" t="str">
        <f>C155</f>
        <v>Bermuda</v>
      </c>
      <c r="G157" s="54"/>
      <c r="H157" s="204">
        <f>TBFavrundet</f>
        <v>157.5</v>
      </c>
      <c r="I157" s="63">
        <f>COUNTA(O157:AG157)</f>
        <v>2</v>
      </c>
      <c r="J157" s="222">
        <f>SUM(O157:AG157)</f>
        <v>116</v>
      </c>
      <c r="K157" s="116">
        <f>Seilareal/Depl^0.667/K$7</f>
        <v>1.5276579941806303</v>
      </c>
      <c r="L157" s="116">
        <f>Seilareal/Lwl/Lwl/L$7</f>
        <v>1.0527806965497035</v>
      </c>
      <c r="M157" s="92">
        <f>RiggF</f>
        <v>0.96853448275862064</v>
      </c>
      <c r="N157" s="242">
        <f>StHfaktor</f>
        <v>1.0508666144490193</v>
      </c>
      <c r="O157" s="143"/>
      <c r="P157" s="143"/>
      <c r="Q157" s="143"/>
      <c r="R157" s="143"/>
      <c r="S157" s="143"/>
      <c r="T157" s="143"/>
      <c r="U157" s="165">
        <v>43</v>
      </c>
      <c r="V157" s="559"/>
      <c r="W157" s="559"/>
      <c r="X157" s="143"/>
      <c r="Y157" s="143"/>
      <c r="Z157" s="143"/>
      <c r="AA157" s="143"/>
      <c r="AB157" s="143"/>
      <c r="AC157" s="143"/>
      <c r="AD157" s="143"/>
      <c r="AE157" s="165">
        <v>73</v>
      </c>
      <c r="AF157" s="143"/>
      <c r="AG157" s="551"/>
      <c r="AH157" s="557">
        <f t="shared" si="1439"/>
        <v>19.23</v>
      </c>
      <c r="AI157" s="557">
        <f t="shared" si="1439"/>
        <v>19.23</v>
      </c>
      <c r="AJ157" s="337">
        <f t="shared" ref="AJ157" si="1453" xml:space="preserve"> AJ156</f>
        <v>0</v>
      </c>
      <c r="AK157" s="339"/>
      <c r="AL157" s="337" t="str">
        <f t="shared" ref="AL157" si="1454" xml:space="preserve"> AL156</f>
        <v>Alu</v>
      </c>
      <c r="AM157" s="339">
        <v>0.02</v>
      </c>
      <c r="AN157" s="267" t="str">
        <f t="shared" si="1442"/>
        <v>Delt</v>
      </c>
      <c r="AO157" s="45">
        <f>VLOOKUP(AN157,Skrogform!$1:$1048576,3,FALSE)</f>
        <v>1.02</v>
      </c>
      <c r="AP157" s="64">
        <f t="shared" ref="AP157:AZ157" si="1455">AP156</f>
        <v>15.9</v>
      </c>
      <c r="AQ157" s="64">
        <f t="shared" si="1455"/>
        <v>12.93</v>
      </c>
      <c r="AR157" s="64">
        <f t="shared" si="1455"/>
        <v>3.78</v>
      </c>
      <c r="AS157" s="64">
        <f t="shared" si="1455"/>
        <v>2.65</v>
      </c>
      <c r="AT157" s="64">
        <f t="shared" ref="AT157" si="1456">AT156</f>
        <v>18.64</v>
      </c>
      <c r="AU157" s="64">
        <f t="shared" si="1455"/>
        <v>18.64</v>
      </c>
      <c r="AV157" s="64">
        <f t="shared" si="1455"/>
        <v>7.3</v>
      </c>
      <c r="AW157" s="64">
        <f t="shared" si="1455"/>
        <v>0</v>
      </c>
      <c r="AX157" s="256">
        <f>AX156</f>
        <v>0</v>
      </c>
      <c r="AY157" s="256">
        <f t="shared" si="1455"/>
        <v>48</v>
      </c>
      <c r="AZ157" s="256">
        <f t="shared" si="1455"/>
        <v>350</v>
      </c>
      <c r="BA157" s="256">
        <f t="shared" ref="BA157:BB157" si="1457">BA156</f>
        <v>0</v>
      </c>
      <c r="BB157" s="256">
        <f t="shared" si="1457"/>
        <v>0</v>
      </c>
      <c r="BC157" s="256"/>
      <c r="BD157" s="66"/>
      <c r="BE157" s="66"/>
      <c r="BF157" s="261"/>
      <c r="BG157" s="66"/>
      <c r="BH157" s="175"/>
      <c r="BI157" s="66"/>
      <c r="BJ157" s="66"/>
      <c r="BK157" s="65" t="str">
        <f t="shared" ref="BK157:BM157" si="1458" xml:space="preserve"> BK156</f>
        <v>Fast</v>
      </c>
      <c r="BL157" s="267">
        <f t="shared" si="1458"/>
        <v>2</v>
      </c>
      <c r="BM157" s="267">
        <f t="shared" si="1458"/>
        <v>50</v>
      </c>
      <c r="BN157" s="45">
        <f t="shared" si="1197"/>
        <v>0.98913998219630206</v>
      </c>
      <c r="BO157" s="59"/>
      <c r="BP157" s="59"/>
      <c r="BR157" s="49">
        <f t="shared" si="1447"/>
        <v>0</v>
      </c>
      <c r="BS157" s="49">
        <f t="shared" si="1447"/>
        <v>0</v>
      </c>
      <c r="BT157" s="49">
        <f t="shared" si="1447"/>
        <v>0</v>
      </c>
      <c r="BU157" s="49">
        <f t="shared" si="1447"/>
        <v>0</v>
      </c>
      <c r="BV157" s="49">
        <f t="shared" si="1447"/>
        <v>0</v>
      </c>
      <c r="BW157" s="49">
        <f t="shared" si="1447"/>
        <v>0</v>
      </c>
      <c r="BX157" s="49">
        <f t="shared" si="1447"/>
        <v>43</v>
      </c>
      <c r="BY157" s="549">
        <f>IF(COUNT(Q157:U157)&gt;1,MINA(Q157:U157)*BY$9,0)</f>
        <v>0</v>
      </c>
      <c r="BZ157" s="85">
        <f t="shared" si="1448"/>
        <v>0</v>
      </c>
      <c r="CA157" s="85">
        <f t="shared" si="1448"/>
        <v>0</v>
      </c>
      <c r="CB157" s="85">
        <f t="shared" si="1448"/>
        <v>0</v>
      </c>
      <c r="CC157" s="85">
        <f t="shared" si="1448"/>
        <v>0</v>
      </c>
      <c r="CD157" s="85">
        <f t="shared" si="1448"/>
        <v>0</v>
      </c>
      <c r="CE157" s="85">
        <f>IF(AC157=0,0,AC157*CE$9)</f>
        <v>0</v>
      </c>
      <c r="CF157" s="85">
        <f>IF(AA157=0,0,AA157*CF$9)</f>
        <v>0</v>
      </c>
      <c r="CG157" s="85">
        <f>IF(AB157=0,0,AB157*CG$9)</f>
        <v>0</v>
      </c>
      <c r="CH157" s="85">
        <f t="shared" si="1449"/>
        <v>0</v>
      </c>
      <c r="CI157" s="85">
        <f t="shared" si="1449"/>
        <v>69.349999999999994</v>
      </c>
      <c r="CJ157" s="85">
        <f t="shared" si="1449"/>
        <v>0</v>
      </c>
      <c r="CK157" s="85">
        <f t="shared" si="1449"/>
        <v>0</v>
      </c>
      <c r="CL157" s="100">
        <f>SUM(BR157:CK157)</f>
        <v>112.35</v>
      </c>
      <c r="CM157" s="50"/>
      <c r="CN157" s="104">
        <f>J157</f>
        <v>116</v>
      </c>
      <c r="CO157" s="101">
        <f>CL157/CN157</f>
        <v>0.96853448275862064</v>
      </c>
      <c r="CP157" s="51">
        <f>Seilareal/Lwl/Lwl</f>
        <v>0.6938425659255113</v>
      </c>
      <c r="CQ157" s="116">
        <f>Seilareal/Depl^0.667/K$7</f>
        <v>1.5276579941806303</v>
      </c>
      <c r="CR157" s="51">
        <f>Seilareal/Lwl/Lwl/SApRS1</f>
        <v>1.0527806965497035</v>
      </c>
      <c r="CS157" s="204"/>
      <c r="CT157" s="204">
        <f>(ROUND(TBF/CT$6,3)*CT$6)*CT$4</f>
        <v>157.5</v>
      </c>
      <c r="CU157" s="107">
        <f t="shared" si="83"/>
        <v>1.5753372728106649</v>
      </c>
      <c r="CV157" s="62">
        <f t="shared" si="789"/>
        <v>4.186076561640685</v>
      </c>
      <c r="CW157" s="62">
        <f t="shared" si="84"/>
        <v>1.9528164438810074</v>
      </c>
      <c r="CX157" s="62">
        <f t="shared" si="790"/>
        <v>1.8962676285991491</v>
      </c>
      <c r="CY157" s="107">
        <f t="shared" si="85"/>
        <v>1.0508666144490193</v>
      </c>
      <c r="CZ157" s="168" t="str">
        <f t="shared" si="1450"/>
        <v>-</v>
      </c>
      <c r="DA157" s="158"/>
      <c r="DB157" s="168" t="str">
        <f t="shared" si="1451"/>
        <v>-</v>
      </c>
      <c r="DC157" s="160"/>
      <c r="DD157" s="190" t="s">
        <v>134</v>
      </c>
      <c r="DE157" s="62">
        <v>1.2</v>
      </c>
      <c r="DF157" s="62">
        <v>1.06</v>
      </c>
      <c r="DG157" s="62">
        <v>1.19</v>
      </c>
      <c r="DH157" s="150">
        <v>1.22</v>
      </c>
      <c r="DI157" s="62">
        <f t="shared" si="1374"/>
        <v>2.1393028854176004</v>
      </c>
      <c r="DJ157" s="47">
        <f t="shared" si="1375"/>
        <v>14.963297571993223</v>
      </c>
      <c r="DK157" s="48">
        <f t="shared" si="1428"/>
        <v>0</v>
      </c>
      <c r="DM157" s="107">
        <f t="shared" si="1201"/>
        <v>1.4068927079463387</v>
      </c>
      <c r="DN157" s="141">
        <f t="shared" si="1429"/>
        <v>-10.727229859985975</v>
      </c>
      <c r="DO157" s="107">
        <f t="shared" si="1430"/>
        <v>6.048976612359608</v>
      </c>
      <c r="DP157" s="133">
        <f>IF(SeilBeregnet=0,DP156,(SeilBeregnet^0.5/(Depl^0.3333))^DP$3*DP$7)</f>
        <v>3.9980379964207486</v>
      </c>
      <c r="DQ157" s="133">
        <f>IF(SeilBeregnet=0,DQ156,(SeilBeregnet^0.5/Lwl)^DQ$3*DQ$7)</f>
        <v>0</v>
      </c>
      <c r="DR157" s="133">
        <f>IF(SeilBeregnet=0,DR156,(0.1*Loa/Depl^0.3333)^DR$3*DR$7)</f>
        <v>0</v>
      </c>
      <c r="DS157" s="133">
        <f>IF(SeilBeregnet=0,DS156,((Loa)/Bredde)^DS$3*DS$7)</f>
        <v>2.0509386159388598</v>
      </c>
      <c r="DT157" s="107">
        <f>IF(SeilBeregnet=0,DT156,(Lwl)^DT$3)</f>
        <v>1.8962676285991491</v>
      </c>
      <c r="DU157" s="133">
        <f>IF(SeilBeregnet=0,DU156,(Dypg/Loa)^DU$3*5*DU$7)</f>
        <v>2.0412414523193152</v>
      </c>
      <c r="DW157" s="107">
        <f t="shared" si="1241"/>
        <v>1.5141650065461985</v>
      </c>
      <c r="DX157" s="107">
        <f t="shared" si="1376"/>
        <v>1.3706572941386281</v>
      </c>
      <c r="DY157" s="122">
        <f>DX157-DW157</f>
        <v>-0.14350771240757032</v>
      </c>
      <c r="DZ157" s="107">
        <f t="shared" si="1377"/>
        <v>1.3626066048109629</v>
      </c>
      <c r="EA157" s="122">
        <f t="shared" si="1431"/>
        <v>-0.1515584017352356</v>
      </c>
      <c r="EB157" s="107">
        <f t="shared" si="1432"/>
        <v>1.4789146044500558</v>
      </c>
      <c r="EC157" s="122">
        <f t="shared" si="1433"/>
        <v>-3.5250402096142608E-2</v>
      </c>
      <c r="ED157" s="107">
        <f>IF(SeilBeregnet=0,ED156,SeilBeregnet^0.5/Depl^0.33333)</f>
        <v>3.9976871468230688</v>
      </c>
      <c r="EE157" s="107">
        <f>IF(SeilBeregnet=0,EE156,Lwl^0.3333)</f>
        <v>2.346906502982169</v>
      </c>
      <c r="EF157" s="107">
        <f>IF(SeilBeregnet=0,EF156,((Loa+Lwl)/Bredde)^EF$3)</f>
        <v>1.6618361831906654</v>
      </c>
      <c r="EH157" s="107">
        <f t="shared" si="1434"/>
        <v>1.461460923134378</v>
      </c>
      <c r="EJ157" s="107">
        <f>IF(SeilBeregnet=0,EJ156,SeilBeregnet^0.5/Depl^0.33333)</f>
        <v>3.9976871468230688</v>
      </c>
      <c r="EK157" s="107">
        <f>IF(SeilBeregnet=0,EK156,Lwl^EK$3)</f>
        <v>2.3470867206509878</v>
      </c>
      <c r="EL157" s="107">
        <f>IF(SeilBeregnet=0,EL156,((Loa+Lwl)/Bredde)^EL$3)</f>
        <v>1.9682859953710667</v>
      </c>
      <c r="EM157" s="107">
        <f t="shared" si="1435"/>
        <v>1.445029524240693</v>
      </c>
      <c r="EO157" s="107">
        <f>IF(SeilBeregnet=0,EO156,(EP157*EQ157)^EO$3)</f>
        <v>6.6435011496668297</v>
      </c>
      <c r="EP157" s="107">
        <f>IF(SeilBeregnet=0,EP156,SeilBeregnet^0.5/Depl^0.33333)</f>
        <v>3.9976871468230688</v>
      </c>
      <c r="EQ157" s="107">
        <f>IF(SeilBeregnet=0,EQ156,((Loa+Lwl)/Bredde)^EQ$3)</f>
        <v>1.6618361831906654</v>
      </c>
      <c r="ER157" s="107">
        <f>IF(SeilBeregnet=0,ER156,Lwl^ER$3)</f>
        <v>1.8962676285991491</v>
      </c>
      <c r="ES157" s="107">
        <f t="shared" si="1212"/>
        <v>1.4318339253434658</v>
      </c>
      <c r="EU157" s="107">
        <f>IF(SeilBeregnet=0,EU156,(EV:EV*EW:EW)^EU$3)</f>
        <v>2.0602959126377463</v>
      </c>
      <c r="EV157" s="107">
        <f>IF(SeilBeregnet=0,EV156,SeilBeregnet^0.5/Depl^0.33333)</f>
        <v>3.9976871468230688</v>
      </c>
      <c r="EW157" s="107">
        <f>IF(SeilBeregnet=0,EW156,((Loa+Lwl)/Bredde/6)^EW$3)</f>
        <v>1.0618187696366208</v>
      </c>
      <c r="EX157" s="107">
        <f>IF(SeilBeregnet=0,EX156,(Lwl*0.7+Loa*0.3)^EX$3)</f>
        <v>1.928123583877269</v>
      </c>
      <c r="EY157" s="107">
        <f t="shared" si="1213"/>
        <v>1.3213123706828565</v>
      </c>
      <c r="FA157" s="107">
        <f t="shared" si="1214"/>
        <v>2.0603863196788947</v>
      </c>
      <c r="FB157" s="107">
        <f>IF(SeilBeregnet=0,FB156,SeilBeregnet^0.5/Depl^0.3333)</f>
        <v>3.9980379964207486</v>
      </c>
      <c r="FC157" s="107">
        <f>IF(SeilBeregnet=0,FC156,((Loa+Lwl)/Bredde/6)^FC$3)</f>
        <v>1.0618187696366208</v>
      </c>
      <c r="FD157" s="107">
        <f>IF(SeilBeregnet=0,FD156,(Lwl*0.7+Loa*0.3)^FD$3)</f>
        <v>1.928123583877269</v>
      </c>
      <c r="FE157" s="107">
        <f t="shared" si="1215"/>
        <v>1.465663902552627</v>
      </c>
      <c r="FF157" s="141">
        <f t="shared" si="1436"/>
        <v>-4.8501103993571437</v>
      </c>
      <c r="FG157" s="107">
        <f t="shared" si="1217"/>
        <v>4.5076243194217271</v>
      </c>
      <c r="FH157" s="133">
        <f>IF(SeilBeregnet=0,FH156,(SeilBeregnet^0.5/(Depl^0.3333))^FH$3)</f>
        <v>3.9980379964207486</v>
      </c>
      <c r="FI157" s="133">
        <f>IF(SeilBeregnet=0,FI156,((Loa+Lwl)/Bredde/6)^FI$3)</f>
        <v>1.1274590995526272</v>
      </c>
      <c r="FJ157" s="107">
        <f>IF(SeilBeregnet=0,FJ156,(Lwl*0.07+Loa*0.03)^FJ$3)</f>
        <v>1.0842635712883086</v>
      </c>
      <c r="FK157" s="107">
        <f t="shared" si="1218"/>
        <v>1.4215358084499516</v>
      </c>
      <c r="FL157" s="141">
        <f t="shared" si="1437"/>
        <v>-9.2629198096246803</v>
      </c>
      <c r="FM157" s="107">
        <f t="shared" si="1220"/>
        <v>6.3687390478886954</v>
      </c>
      <c r="FN157" s="133">
        <f>IF(SeilBeregnet=0,FN156,(SeilBeregnet^0.5/(Depl^0.3333))^FN$3)</f>
        <v>3.9980379964207486</v>
      </c>
      <c r="FO157" s="133">
        <f>IF(SeilBeregnet=0,FO156,(SeilBeregnet^0.5/Lwl*FO$7)^FO$3)</f>
        <v>0.81976243552908623</v>
      </c>
      <c r="FP157" s="133">
        <f>IF(SeilBeregnet=0,FP156,((Loa)/Bredde)^FP$3*FP$7)</f>
        <v>2.0509386159388598</v>
      </c>
      <c r="FQ157" s="107">
        <f>IF(SeilBeregnet=0,FQ156,(Lwl)^FQ$3)</f>
        <v>1.8962676285991491</v>
      </c>
      <c r="FR157" s="107">
        <f t="shared" si="1221"/>
        <v>1.464494009603754</v>
      </c>
      <c r="FS157" s="141">
        <f t="shared" si="1438"/>
        <v>-4.9670996942444479</v>
      </c>
      <c r="FT157" s="107">
        <f t="shared" si="1223"/>
        <v>8.1997305148501418</v>
      </c>
      <c r="FU157" s="133">
        <f>IF(SeilBeregnet=0,FU156,(SeilBeregnet^0.5/(Depl^0.3333))^FU$3)</f>
        <v>3.9980379964207486</v>
      </c>
      <c r="FV157" s="133">
        <f>IF(SeilBeregnet=0,FV156,(Loa/Bredde)^FV$3)</f>
        <v>2.0509386159388598</v>
      </c>
      <c r="FW157" s="107">
        <f>IF(SeilBeregnet=0,FW156,Lwl^FW$3)</f>
        <v>1.8962676285991491</v>
      </c>
      <c r="FY157" s="336">
        <v>1</v>
      </c>
      <c r="FZ157" s="62">
        <f t="shared" si="1452"/>
        <v>1.4348064456411245</v>
      </c>
      <c r="GA157" s="62">
        <f t="shared" si="1378"/>
        <v>2.0412414523193152</v>
      </c>
      <c r="GB157" s="107">
        <f t="shared" si="798"/>
        <v>1.4699826534805243</v>
      </c>
      <c r="GC157" s="440"/>
      <c r="GD157" s="17"/>
      <c r="GE157" s="442"/>
      <c r="GF157" s="462"/>
      <c r="GG157" s="17"/>
      <c r="GH157" s="17"/>
      <c r="GI157" s="17"/>
      <c r="GJ157" s="17"/>
      <c r="GL157" s="17"/>
      <c r="GM157" s="442"/>
      <c r="GN157" s="8"/>
      <c r="GO157" s="8"/>
      <c r="GP157" s="8"/>
      <c r="GQ157" s="8"/>
      <c r="GS157" s="17"/>
      <c r="GT157" s="17"/>
      <c r="GU157" s="17"/>
      <c r="GV157" s="629"/>
      <c r="GW157" s="17"/>
      <c r="GX157" s="17"/>
      <c r="GY157" s="17"/>
      <c r="GZ157" s="17"/>
    </row>
    <row r="158" spans="1:208" ht="15.6" x14ac:dyDescent="0.3">
      <c r="A158" s="52" t="s">
        <v>261</v>
      </c>
      <c r="B158" s="218">
        <f t="shared" si="10"/>
        <v>70.308398950131235</v>
      </c>
      <c r="C158" s="53" t="s">
        <v>38</v>
      </c>
      <c r="D158" s="53"/>
      <c r="E158" s="53"/>
      <c r="F158" s="53"/>
      <c r="G158" s="54"/>
      <c r="H158" s="112">
        <f>J159</f>
        <v>203.53</v>
      </c>
      <c r="I158" s="601">
        <f>H159/100</f>
        <v>1.875</v>
      </c>
      <c r="J158" s="651">
        <f>IF(DC159=0,"-",DC159)</f>
        <v>1.62</v>
      </c>
      <c r="K158" s="123" t="str">
        <f>A158</f>
        <v>Anita</v>
      </c>
      <c r="L158" s="116"/>
      <c r="M158" s="116"/>
      <c r="N158" s="92"/>
      <c r="O158" s="165"/>
      <c r="P158" s="165"/>
      <c r="Q158" s="165">
        <v>83.17</v>
      </c>
      <c r="R158" s="165"/>
      <c r="S158" s="165"/>
      <c r="T158" s="165"/>
      <c r="U158" s="165">
        <v>55.6</v>
      </c>
      <c r="V158" s="559"/>
      <c r="W158" s="559"/>
      <c r="X158" s="165"/>
      <c r="Y158" s="165"/>
      <c r="Z158" s="165"/>
      <c r="AA158" s="165"/>
      <c r="AB158" s="165"/>
      <c r="AC158" s="165"/>
      <c r="AD158" s="165"/>
      <c r="AE158" s="165">
        <v>120.36</v>
      </c>
      <c r="AF158" s="165"/>
      <c r="AG158" s="552"/>
      <c r="AH158" s="244">
        <v>22.73</v>
      </c>
      <c r="AI158" s="244">
        <v>22.73</v>
      </c>
      <c r="AJ158" s="554"/>
      <c r="AK158" s="339"/>
      <c r="AL158" s="268"/>
      <c r="AM158" s="339"/>
      <c r="AN158" s="268" t="s">
        <v>578</v>
      </c>
      <c r="AO158" s="45">
        <f>VLOOKUP(AN158,Skrogform!$1:$1048576,3,FALSE)</f>
        <v>1.02</v>
      </c>
      <c r="AP158" s="55">
        <v>21.43</v>
      </c>
      <c r="AQ158" s="55">
        <v>13.86</v>
      </c>
      <c r="AR158" s="55">
        <v>3.6</v>
      </c>
      <c r="AS158" s="55">
        <v>2.74</v>
      </c>
      <c r="AT158" s="637">
        <f>AU158</f>
        <v>26.08</v>
      </c>
      <c r="AU158" s="55">
        <v>26.08</v>
      </c>
      <c r="AV158" s="55">
        <v>14</v>
      </c>
      <c r="AW158" s="55"/>
      <c r="AX158" s="253"/>
      <c r="AY158" s="253">
        <v>70</v>
      </c>
      <c r="AZ158" s="254">
        <f>AY158*7</f>
        <v>490</v>
      </c>
      <c r="BA158" s="253"/>
      <c r="BB158" s="253"/>
      <c r="BC158" s="244">
        <f>Depl+Diesel/1000*0.84+Vann/1000</f>
        <v>26.08</v>
      </c>
      <c r="BD158" s="95">
        <f>Bredde/(Loa+Lwl)*2</f>
        <v>0.20402380277699067</v>
      </c>
      <c r="BE158" s="95">
        <f>(Kjøl+Ballast)/Depl</f>
        <v>0.53680981595092025</v>
      </c>
      <c r="BF158" s="260">
        <f>BF$7*((Depl-Kjøl-Ballast-VektMotor/1000-VektAnnet/1000)/Lwl/Lwl/Bredde)</f>
        <v>0.63246150679171365</v>
      </c>
      <c r="BG158" s="95">
        <f>BG$7*(Depl/Loa/Lwl/Lwl)</f>
        <v>0.4662009890815243</v>
      </c>
      <c r="BH158" s="174">
        <f>BH$7*(Depl/Loa/Lwl/Bredde)</f>
        <v>0.66344699578950628</v>
      </c>
      <c r="BI158" s="95">
        <f>BI$7*Bredde/(Loa+Lwl)*2</f>
        <v>0.58201628899715718</v>
      </c>
      <c r="BJ158" s="95">
        <f>BJ$7*(Dypg/Lwl)</f>
        <v>1.0812848986762031</v>
      </c>
      <c r="BK158" s="56" t="s">
        <v>21</v>
      </c>
      <c r="BL158" s="268">
        <v>3</v>
      </c>
      <c r="BM158" s="268">
        <v>60</v>
      </c>
      <c r="BN158" s="45">
        <f t="shared" si="1197"/>
        <v>1</v>
      </c>
      <c r="BO158" s="59"/>
      <c r="BP158" s="59"/>
      <c r="BR158" s="209"/>
      <c r="BS158" s="209"/>
      <c r="BT158" s="209" t="str">
        <f>$A158</f>
        <v>Anita</v>
      </c>
      <c r="BU158" s="10"/>
      <c r="BV158" s="10"/>
      <c r="BW158" s="10"/>
      <c r="BX158" s="10"/>
      <c r="BY158" s="549"/>
      <c r="BZ158" s="10"/>
      <c r="CA158" s="10"/>
      <c r="CB158" s="209" t="str">
        <f>$A158</f>
        <v>Anita</v>
      </c>
      <c r="CC158" s="10"/>
      <c r="CD158" s="10"/>
      <c r="CE158" s="10"/>
      <c r="CF158" s="10"/>
      <c r="CG158" s="10"/>
      <c r="CH158" s="10"/>
      <c r="CI158" s="10"/>
      <c r="CJ158" s="10"/>
      <c r="CK158" s="10"/>
      <c r="CL158" s="209"/>
      <c r="CM158" s="10"/>
      <c r="CN158" s="209" t="str">
        <f>$A158</f>
        <v>Anita</v>
      </c>
      <c r="CO158" s="207"/>
      <c r="CP158" s="207"/>
      <c r="CQ158" s="116"/>
      <c r="CR158" s="207"/>
      <c r="CS158" s="203"/>
      <c r="CT158" s="203" t="s">
        <v>23</v>
      </c>
      <c r="CU158" s="107" t="str">
        <f t="shared" si="83"/>
        <v>-</v>
      </c>
      <c r="CV158" s="62" t="str">
        <f t="shared" si="789"/>
        <v>-</v>
      </c>
      <c r="CW158" s="62" t="str">
        <f t="shared" si="84"/>
        <v>-</v>
      </c>
      <c r="CX158" s="62" t="str">
        <f t="shared" si="790"/>
        <v>-</v>
      </c>
      <c r="CY158" s="107" t="str">
        <f t="shared" si="85"/>
        <v>-</v>
      </c>
      <c r="CZ158" s="168" t="str">
        <f t="shared" si="1450"/>
        <v>-</v>
      </c>
      <c r="DA158" s="158"/>
      <c r="DB158" s="168" t="str">
        <f t="shared" si="1451"/>
        <v>-</v>
      </c>
      <c r="DC158" s="160">
        <v>1.62</v>
      </c>
      <c r="DD158" s="190" t="s">
        <v>134</v>
      </c>
      <c r="DE158" s="29" t="s">
        <v>23</v>
      </c>
      <c r="DF158" s="29" t="s">
        <v>23</v>
      </c>
      <c r="DG158" s="29" t="s">
        <v>23</v>
      </c>
      <c r="DH158" s="149">
        <v>2022</v>
      </c>
      <c r="DI158" s="62" t="str">
        <f t="shared" si="1374"/>
        <v>-</v>
      </c>
      <c r="DJ158" s="47">
        <f t="shared" si="1375"/>
        <v>14.842903575297942</v>
      </c>
      <c r="DK158" s="48">
        <f t="shared" si="1428"/>
        <v>0</v>
      </c>
      <c r="DM158" s="107" t="str">
        <f t="shared" si="1201"/>
        <v>-</v>
      </c>
      <c r="DN158" s="141" t="str">
        <f t="shared" si="1429"/>
        <v>-</v>
      </c>
      <c r="DO158" s="107" t="e">
        <f t="shared" si="1430"/>
        <v>#REF!</v>
      </c>
      <c r="DP158" s="133" t="e">
        <f>IF(SeilBeregnet=0,DP77,(SeilBeregnet^0.5/(Depl^0.3333))^DP$3*DP$7)</f>
        <v>#REF!</v>
      </c>
      <c r="DQ158" s="133" t="e">
        <f>IF(SeilBeregnet=0,DQ77,(SeilBeregnet^0.5/Lwl)^DQ$3*DQ$7)</f>
        <v>#REF!</v>
      </c>
      <c r="DR158" s="133" t="e">
        <f>IF(SeilBeregnet=0,DR77,(0.1*Loa/Depl^0.3333)^DR$3*DR$7)</f>
        <v>#REF!</v>
      </c>
      <c r="DS158" s="133" t="e">
        <f>IF(SeilBeregnet=0,DS77,((Loa)/Bredde)^DS$3*DS$7)</f>
        <v>#REF!</v>
      </c>
      <c r="DT158" s="107" t="e">
        <f>IF(SeilBeregnet=0,DT77,(Lwl)^DT$3)</f>
        <v>#REF!</v>
      </c>
      <c r="DU158" s="133" t="e">
        <f>IF(SeilBeregnet=0,DU77,(Dypg/Loa)^DU$3*5*DU$7)</f>
        <v>#REF!</v>
      </c>
      <c r="DW158" s="107" t="str">
        <f t="shared" si="1241"/>
        <v>-</v>
      </c>
      <c r="DX158" s="107" t="str">
        <f t="shared" si="1376"/>
        <v>-</v>
      </c>
      <c r="DZ158" s="107" t="str">
        <f t="shared" si="1377"/>
        <v>-</v>
      </c>
      <c r="EA158" s="122" t="str">
        <f t="shared" si="1431"/>
        <v>-</v>
      </c>
      <c r="EB158" s="107" t="str">
        <f t="shared" si="1432"/>
        <v>-</v>
      </c>
      <c r="EC158" s="122" t="str">
        <f t="shared" si="1433"/>
        <v>-</v>
      </c>
      <c r="ED158" s="107" t="e">
        <f>IF(SeilBeregnet=0,ED77,SeilBeregnet^0.5/Depl^0.33333)</f>
        <v>#REF!</v>
      </c>
      <c r="EE158" s="107" t="e">
        <f>IF(SeilBeregnet=0,EE77,Lwl^0.3333)</f>
        <v>#REF!</v>
      </c>
      <c r="EF158" s="107" t="e">
        <f>IF(SeilBeregnet=0,EF77,((Loa+Lwl)/Bredde)^EF$3)</f>
        <v>#REF!</v>
      </c>
      <c r="EH158" s="107" t="str">
        <f t="shared" si="1434"/>
        <v>-</v>
      </c>
      <c r="EJ158" s="107" t="e">
        <f>IF(SeilBeregnet=0,EJ77,SeilBeregnet^0.5/Depl^0.33333)</f>
        <v>#REF!</v>
      </c>
      <c r="EK158" s="107" t="e">
        <f>IF(SeilBeregnet=0,EK77,Lwl^EK$3)</f>
        <v>#REF!</v>
      </c>
      <c r="EL158" s="107" t="e">
        <f>IF(SeilBeregnet=0,EL77,((Loa+Lwl)/Bredde)^EL$3)</f>
        <v>#REF!</v>
      </c>
      <c r="EM158" s="107" t="str">
        <f t="shared" si="1435"/>
        <v>-</v>
      </c>
      <c r="EO158" s="107" t="e">
        <f>IF(SeilBeregnet=0,EO77,(EP158*EQ158)^EO$3)</f>
        <v>#REF!</v>
      </c>
      <c r="EP158" s="107" t="e">
        <f>IF(SeilBeregnet=0,EP77,SeilBeregnet^0.5/Depl^0.33333)</f>
        <v>#REF!</v>
      </c>
      <c r="EQ158" s="107" t="e">
        <f>IF(SeilBeregnet=0,EQ77,((Loa+Lwl)/Bredde)^EQ$3)</f>
        <v>#REF!</v>
      </c>
      <c r="ER158" s="107" t="e">
        <f>IF(SeilBeregnet=0,ER77,Lwl^ER$3)</f>
        <v>#REF!</v>
      </c>
      <c r="ES158" s="107" t="str">
        <f t="shared" si="1212"/>
        <v>-</v>
      </c>
      <c r="EU158" s="107" t="e">
        <f>IF(SeilBeregnet=0,EU77,(EV:EV*EW:EW)^EU$3)</f>
        <v>#REF!</v>
      </c>
      <c r="EV158" s="107" t="e">
        <f>IF(SeilBeregnet=0,EV77,SeilBeregnet^0.5/Depl^0.33333)</f>
        <v>#REF!</v>
      </c>
      <c r="EW158" s="107" t="e">
        <f>IF(SeilBeregnet=0,EW77,((Loa+Lwl)/Bredde/6)^EW$3)</f>
        <v>#REF!</v>
      </c>
      <c r="EX158" s="107" t="e">
        <f>IF(SeilBeregnet=0,EX77,(Lwl*0.7+Loa*0.3)^EX$3)</f>
        <v>#REF!</v>
      </c>
      <c r="EY158" s="107" t="str">
        <f t="shared" si="1213"/>
        <v>-</v>
      </c>
      <c r="FA158" s="107" t="e">
        <f t="shared" si="1214"/>
        <v>#REF!</v>
      </c>
      <c r="FB158" s="107" t="e">
        <f>IF(SeilBeregnet=0,FB77,SeilBeregnet^0.5/Depl^0.3333)</f>
        <v>#REF!</v>
      </c>
      <c r="FC158" s="107" t="e">
        <f>IF(SeilBeregnet=0,FC77,((Loa+Lwl)/Bredde/6)^FC$3)</f>
        <v>#REF!</v>
      </c>
      <c r="FD158" s="107" t="e">
        <f>IF(SeilBeregnet=0,FD77,(Lwl*0.7+Loa*0.3)^FD$3)</f>
        <v>#REF!</v>
      </c>
      <c r="FE158" s="107" t="str">
        <f t="shared" si="1215"/>
        <v>-</v>
      </c>
      <c r="FF158" s="141" t="str">
        <f t="shared" si="1436"/>
        <v>-</v>
      </c>
      <c r="FG158" s="107" t="e">
        <f t="shared" si="1217"/>
        <v>#REF!</v>
      </c>
      <c r="FH158" s="133" t="e">
        <f>IF(SeilBeregnet=0,FH77,(SeilBeregnet^0.5/(Depl^0.3333))^FH$3)</f>
        <v>#REF!</v>
      </c>
      <c r="FI158" s="133" t="e">
        <f>IF(SeilBeregnet=0,FI77,((Loa+Lwl)/Bredde/6)^FI$3)</f>
        <v>#REF!</v>
      </c>
      <c r="FJ158" s="107" t="e">
        <f>IF(SeilBeregnet=0,FJ77,(Lwl*0.07+Loa*0.03)^FJ$3)</f>
        <v>#REF!</v>
      </c>
      <c r="FK158" s="107" t="str">
        <f t="shared" si="1218"/>
        <v>-</v>
      </c>
      <c r="FL158" s="141" t="str">
        <f t="shared" si="1437"/>
        <v>-</v>
      </c>
      <c r="FM158" s="107" t="e">
        <f t="shared" si="1220"/>
        <v>#REF!</v>
      </c>
      <c r="FN158" s="133" t="e">
        <f>IF(SeilBeregnet=0,FN77,(SeilBeregnet^0.5/(Depl^0.3333))^FN$3)</f>
        <v>#REF!</v>
      </c>
      <c r="FO158" s="133" t="e">
        <f>IF(SeilBeregnet=0,FO77,(SeilBeregnet^0.5/Lwl*FO$7)^FO$3)</f>
        <v>#REF!</v>
      </c>
      <c r="FP158" s="133" t="e">
        <f>IF(SeilBeregnet=0,FP77,((Loa)/Bredde)^FP$3*FP$7)</f>
        <v>#REF!</v>
      </c>
      <c r="FQ158" s="107" t="e">
        <f>IF(SeilBeregnet=0,FQ77,(Lwl)^FQ$3)</f>
        <v>#REF!</v>
      </c>
      <c r="FR158" s="107" t="str">
        <f t="shared" si="1221"/>
        <v>-</v>
      </c>
      <c r="FS158" s="141" t="str">
        <f t="shared" si="1438"/>
        <v>-</v>
      </c>
      <c r="FT158" s="107" t="e">
        <f t="shared" si="1223"/>
        <v>#REF!</v>
      </c>
      <c r="FU158" s="133" t="e">
        <f>IF(SeilBeregnet=0,FU77,(SeilBeregnet^0.5/(Depl^0.3333))^FU$3)</f>
        <v>#REF!</v>
      </c>
      <c r="FV158" s="133" t="e">
        <f>IF(SeilBeregnet=0,FV77,(Loa/Bredde)^FV$3)</f>
        <v>#REF!</v>
      </c>
      <c r="FW158" s="107" t="e">
        <f>IF(SeilBeregnet=0,FW77,Lwl^FW$3)</f>
        <v>#REF!</v>
      </c>
      <c r="FX158" s="522">
        <v>1.62</v>
      </c>
      <c r="FY158" s="336">
        <v>1</v>
      </c>
      <c r="FZ158" s="62" t="str">
        <f t="shared" si="1452"/>
        <v>-</v>
      </c>
      <c r="GA158" s="62">
        <f t="shared" si="1378"/>
        <v>1.7878628498187483</v>
      </c>
      <c r="GB158" s="107" t="str">
        <f t="shared" si="798"/>
        <v>-</v>
      </c>
      <c r="GC158" s="441" t="s">
        <v>487</v>
      </c>
      <c r="GD158" s="57" t="s">
        <v>435</v>
      </c>
      <c r="GE158" s="53" t="s">
        <v>482</v>
      </c>
      <c r="GF158" s="464" t="s">
        <v>436</v>
      </c>
      <c r="GG158" s="57" t="s">
        <v>643</v>
      </c>
      <c r="GH158" s="57"/>
      <c r="GI158" s="57" t="s">
        <v>416</v>
      </c>
      <c r="GJ158" s="57" t="s">
        <v>621</v>
      </c>
      <c r="GL158" s="57" t="s">
        <v>478</v>
      </c>
      <c r="GM158" s="436" t="s">
        <v>478</v>
      </c>
      <c r="GN158" s="58" t="s">
        <v>478</v>
      </c>
      <c r="GO158" s="58" t="s">
        <v>478</v>
      </c>
      <c r="GP158" s="58" t="s">
        <v>478</v>
      </c>
      <c r="GQ158" s="58" t="s">
        <v>478</v>
      </c>
      <c r="GS158" s="57" t="s">
        <v>208</v>
      </c>
      <c r="GT158" s="57" t="s">
        <v>434</v>
      </c>
      <c r="GU158" s="57" t="s">
        <v>437</v>
      </c>
      <c r="GV158" s="632" t="s">
        <v>439</v>
      </c>
      <c r="GW158" s="57">
        <v>1938</v>
      </c>
      <c r="GX158" s="57" t="s">
        <v>431</v>
      </c>
      <c r="GY158" s="57" t="s">
        <v>438</v>
      </c>
      <c r="GZ158" s="57" t="s">
        <v>478</v>
      </c>
    </row>
    <row r="159" spans="1:208" ht="15.6" x14ac:dyDescent="0.3">
      <c r="A159" s="60" t="s">
        <v>68</v>
      </c>
      <c r="B159" s="218"/>
      <c r="C159" s="61" t="str">
        <f>C158</f>
        <v>Bermuda</v>
      </c>
      <c r="D159" s="61"/>
      <c r="E159" s="61"/>
      <c r="F159" s="61"/>
      <c r="G159" s="54"/>
      <c r="H159" s="204">
        <f>IF(StH=0,0,TBFavrundet)</f>
        <v>187.5</v>
      </c>
      <c r="I159" s="63">
        <f>COUNTA(O159:AG159)</f>
        <v>3</v>
      </c>
      <c r="J159" s="222">
        <f>SUM(O159:AG159)</f>
        <v>203.53</v>
      </c>
      <c r="K159" s="116">
        <f>Seilareal/Depl^0.667/K$7</f>
        <v>2.1424309839426909</v>
      </c>
      <c r="L159" s="116">
        <f>Seilareal/Lwl/Lwl/L$7</f>
        <v>1.6076035103370503</v>
      </c>
      <c r="M159" s="92">
        <f>RiggF</f>
        <v>0.9704318773645163</v>
      </c>
      <c r="N159" s="242">
        <f>StHfaktor</f>
        <v>1.0637866251253518</v>
      </c>
      <c r="O159" s="143"/>
      <c r="P159" s="143"/>
      <c r="Q159" s="165">
        <v>83.17</v>
      </c>
      <c r="R159" s="143"/>
      <c r="S159" s="143"/>
      <c r="T159" s="143"/>
      <c r="U159" s="143"/>
      <c r="V159" s="143"/>
      <c r="W159" s="143"/>
      <c r="X159" s="143">
        <v>0</v>
      </c>
      <c r="Y159" s="143"/>
      <c r="Z159" s="143"/>
      <c r="AA159" s="143"/>
      <c r="AB159" s="143"/>
      <c r="AC159" s="143"/>
      <c r="AD159" s="143"/>
      <c r="AE159" s="165">
        <v>120.36</v>
      </c>
      <c r="AF159" s="143"/>
      <c r="AG159" s="551"/>
      <c r="AH159" s="557">
        <f t="shared" ref="AH159:AI159" si="1459">AH158</f>
        <v>22.73</v>
      </c>
      <c r="AI159" s="557">
        <f t="shared" si="1459"/>
        <v>22.73</v>
      </c>
      <c r="AJ159" s="337">
        <f t="shared" ref="AJ159:AJ160" si="1460" xml:space="preserve"> AJ158</f>
        <v>0</v>
      </c>
      <c r="AK159" s="339"/>
      <c r="AL159" s="337"/>
      <c r="AM159" s="339"/>
      <c r="AN159" s="267" t="str">
        <f t="shared" ref="AN159:AN160" si="1461" xml:space="preserve"> AN158</f>
        <v>Delt</v>
      </c>
      <c r="AO159" s="45">
        <f>VLOOKUP(AN159,Skrogform!$1:$1048576,3,FALSE)</f>
        <v>1.02</v>
      </c>
      <c r="AP159" s="64">
        <f t="shared" ref="AP159:AZ159" si="1462">AP158</f>
        <v>21.43</v>
      </c>
      <c r="AQ159" s="64">
        <f t="shared" si="1462"/>
        <v>13.86</v>
      </c>
      <c r="AR159" s="64">
        <f t="shared" si="1462"/>
        <v>3.6</v>
      </c>
      <c r="AS159" s="64">
        <f t="shared" si="1462"/>
        <v>2.74</v>
      </c>
      <c r="AT159" s="64">
        <f t="shared" ref="AT159" si="1463">AT158</f>
        <v>26.08</v>
      </c>
      <c r="AU159" s="64">
        <f t="shared" si="1462"/>
        <v>26.08</v>
      </c>
      <c r="AV159" s="64">
        <f t="shared" si="1462"/>
        <v>14</v>
      </c>
      <c r="AW159" s="64">
        <f t="shared" si="1462"/>
        <v>0</v>
      </c>
      <c r="AX159" s="256">
        <f>AX158</f>
        <v>0</v>
      </c>
      <c r="AY159" s="256">
        <f t="shared" si="1462"/>
        <v>70</v>
      </c>
      <c r="AZ159" s="256">
        <f t="shared" si="1462"/>
        <v>490</v>
      </c>
      <c r="BA159" s="256">
        <f t="shared" ref="BA159:BB159" si="1464">BA158</f>
        <v>0</v>
      </c>
      <c r="BB159" s="256">
        <f t="shared" si="1464"/>
        <v>0</v>
      </c>
      <c r="BC159" s="256"/>
      <c r="BD159" s="66"/>
      <c r="BE159" s="66"/>
      <c r="BF159" s="261"/>
      <c r="BG159" s="66"/>
      <c r="BH159" s="175"/>
      <c r="BI159" s="66"/>
      <c r="BJ159" s="66"/>
      <c r="BK159" s="65" t="str">
        <f t="shared" ref="BK159:BM159" si="1465" xml:space="preserve"> BK158</f>
        <v>Seilrett</v>
      </c>
      <c r="BL159" s="267">
        <f t="shared" si="1465"/>
        <v>3</v>
      </c>
      <c r="BM159" s="267">
        <f t="shared" si="1465"/>
        <v>60</v>
      </c>
      <c r="BN159" s="45">
        <f t="shared" si="1197"/>
        <v>1</v>
      </c>
      <c r="BO159" s="59"/>
      <c r="BP159" s="59"/>
      <c r="BR159" s="49">
        <f t="shared" ref="BR159:BX160" si="1466">IF(O159=0,0,O159*BR$9)</f>
        <v>0</v>
      </c>
      <c r="BS159" s="49">
        <f t="shared" si="1466"/>
        <v>0</v>
      </c>
      <c r="BT159" s="49">
        <f t="shared" si="1466"/>
        <v>83.17</v>
      </c>
      <c r="BU159" s="49">
        <f t="shared" si="1466"/>
        <v>0</v>
      </c>
      <c r="BV159" s="49">
        <f t="shared" si="1466"/>
        <v>0</v>
      </c>
      <c r="BW159" s="49">
        <f t="shared" si="1466"/>
        <v>0</v>
      </c>
      <c r="BX159" s="49">
        <f t="shared" si="1466"/>
        <v>0</v>
      </c>
      <c r="BY159" s="549">
        <f>IF(COUNT(Q159:U159)&gt;1,MINA(Q159:U159)*BY$9,0)</f>
        <v>0</v>
      </c>
      <c r="BZ159" s="85">
        <f t="shared" ref="BZ159:CD160" si="1467">IF(V159=0,0,V159*BZ$9)</f>
        <v>0</v>
      </c>
      <c r="CA159" s="85">
        <f t="shared" si="1467"/>
        <v>0</v>
      </c>
      <c r="CB159" s="85">
        <f t="shared" si="1467"/>
        <v>0</v>
      </c>
      <c r="CC159" s="85">
        <f t="shared" si="1467"/>
        <v>0</v>
      </c>
      <c r="CD159" s="85">
        <f t="shared" si="1467"/>
        <v>0</v>
      </c>
      <c r="CE159" s="85">
        <f>IF(AC159=0,0,AC159*CE$9)</f>
        <v>0</v>
      </c>
      <c r="CF159" s="85">
        <f>IF(AA159=0,0,AA159*CF$9)</f>
        <v>0</v>
      </c>
      <c r="CG159" s="85">
        <f>IF(AB159=0,0,AB159*CG$9)</f>
        <v>0</v>
      </c>
      <c r="CH159" s="85">
        <f t="shared" ref="CH159:CK161" si="1468">IF(AD159=0,0,AD159*CH$9)</f>
        <v>0</v>
      </c>
      <c r="CI159" s="85">
        <f t="shared" si="1468"/>
        <v>114.342</v>
      </c>
      <c r="CJ159" s="85">
        <f t="shared" si="1468"/>
        <v>0</v>
      </c>
      <c r="CK159" s="85">
        <f t="shared" si="1468"/>
        <v>0</v>
      </c>
      <c r="CL159" s="100">
        <f>SUM(BR159:CK159)</f>
        <v>197.512</v>
      </c>
      <c r="CM159" s="50"/>
      <c r="CN159" s="104">
        <f>J159</f>
        <v>203.53</v>
      </c>
      <c r="CO159" s="101">
        <f>CL159/CN159</f>
        <v>0.9704318773645163</v>
      </c>
      <c r="CP159" s="51">
        <f>Seilareal/Lwl/Lwl</f>
        <v>1.0595024664288735</v>
      </c>
      <c r="CQ159" s="116">
        <f>Seilareal/Depl^0.667/K$7</f>
        <v>2.1424309839426909</v>
      </c>
      <c r="CR159" s="51">
        <f>Seilareal/Lwl/Lwl/SApRS1</f>
        <v>1.6076035103370503</v>
      </c>
      <c r="CS159" s="204"/>
      <c r="CT159" s="204">
        <f>(ROUND(TBF/CT$6,3)*CT$6)*CT$4</f>
        <v>187.5</v>
      </c>
      <c r="CU159" s="107">
        <f t="shared" si="83"/>
        <v>1.8743588907902557</v>
      </c>
      <c r="CV159" s="62">
        <f t="shared" si="789"/>
        <v>5.0285504934309042</v>
      </c>
      <c r="CW159" s="62">
        <f t="shared" si="84"/>
        <v>2.2139080579122723</v>
      </c>
      <c r="CX159" s="62">
        <f t="shared" si="790"/>
        <v>1.929482338296274</v>
      </c>
      <c r="CY159" s="107">
        <f t="shared" si="85"/>
        <v>1.0637866251253518</v>
      </c>
      <c r="CZ159" s="168" t="str">
        <f t="shared" si="1450"/>
        <v>-</v>
      </c>
      <c r="DA159" s="159">
        <f>DA158</f>
        <v>0</v>
      </c>
      <c r="DB159" s="168">
        <f t="shared" si="1451"/>
        <v>1.5063157894736845</v>
      </c>
      <c r="DC159" s="159">
        <f>DC158</f>
        <v>1.62</v>
      </c>
      <c r="DD159" s="190" t="s">
        <v>134</v>
      </c>
      <c r="DE159" s="62" t="s">
        <v>102</v>
      </c>
      <c r="DF159" s="62" t="s">
        <v>102</v>
      </c>
      <c r="DG159" s="62" t="s">
        <v>102</v>
      </c>
      <c r="DH159" s="150" t="s">
        <v>102</v>
      </c>
      <c r="DI159" s="62">
        <f t="shared" si="1374"/>
        <v>2.0885556844678113</v>
      </c>
      <c r="DJ159" s="47">
        <f t="shared" si="1375"/>
        <v>14.842903575297942</v>
      </c>
      <c r="DK159" s="48">
        <f t="shared" si="1428"/>
        <v>0</v>
      </c>
      <c r="DM159" s="107">
        <f t="shared" si="1201"/>
        <v>1.7177200047860213</v>
      </c>
      <c r="DN159" s="141" t="str">
        <f t="shared" si="1429"/>
        <v>-</v>
      </c>
      <c r="DO159" s="107">
        <f t="shared" si="1430"/>
        <v>7.1794286005178023</v>
      </c>
      <c r="DP159" s="133">
        <f>IF(SeilBeregnet=0,DP158,(SeilBeregnet^0.5/(Depl^0.3333))^DP$3*DP$7)</f>
        <v>4.7395970944957622</v>
      </c>
      <c r="DQ159" s="133">
        <f>IF(SeilBeregnet=0,DQ158,(SeilBeregnet^0.5/Lwl)^DQ$3*DQ$7)</f>
        <v>0</v>
      </c>
      <c r="DR159" s="133">
        <f>IF(SeilBeregnet=0,DR158,(0.1*Loa/Depl^0.3333)^DR$3*DR$7)</f>
        <v>0</v>
      </c>
      <c r="DS159" s="133">
        <f>IF(SeilBeregnet=0,DS158,((Loa)/Bredde)^DS$3*DS$7)</f>
        <v>2.4398315060220401</v>
      </c>
      <c r="DT159" s="107">
        <f>IF(SeilBeregnet=0,DT158,(Lwl)^DT$3)</f>
        <v>1.929482338296274</v>
      </c>
      <c r="DU159" s="133">
        <f>IF(SeilBeregnet=0,DU158,(Dypg/Loa)^DU$3*5*DU$7)</f>
        <v>1.7878628498187483</v>
      </c>
      <c r="DW159" s="107">
        <f t="shared" si="1241"/>
        <v>1.8376067556767215</v>
      </c>
      <c r="DX159" s="107">
        <f t="shared" si="1376"/>
        <v>1.7644483655053718</v>
      </c>
      <c r="DZ159" s="107">
        <f t="shared" si="1377"/>
        <v>1.739884659141735</v>
      </c>
      <c r="EA159" s="122" t="str">
        <f t="shared" si="1431"/>
        <v>-</v>
      </c>
      <c r="EB159" s="107">
        <f t="shared" si="1432"/>
        <v>1.8457890853866827</v>
      </c>
      <c r="EC159" s="122" t="str">
        <f t="shared" si="1433"/>
        <v>-</v>
      </c>
      <c r="ED159" s="107">
        <f>IF(SeilBeregnet=0,ED158,SeilBeregnet^0.5/Depl^0.33333)</f>
        <v>4.7391334184018961</v>
      </c>
      <c r="EE159" s="107">
        <f>IF(SeilBeregnet=0,EE158,Lwl^0.3333)</f>
        <v>2.4018710337482303</v>
      </c>
      <c r="EF159" s="107">
        <f>IF(SeilBeregnet=0,EF158,((Loa+Lwl)/Bredde)^EF$3)</f>
        <v>1.7694459023509632</v>
      </c>
      <c r="EH159" s="107">
        <f t="shared" si="1434"/>
        <v>1.8284294138083057</v>
      </c>
      <c r="EJ159" s="107">
        <f>IF(SeilBeregnet=0,EJ158,SeilBeregnet^0.5/Depl^0.33333)</f>
        <v>4.7391334184018961</v>
      </c>
      <c r="EK159" s="107">
        <f>IF(SeilBeregnet=0,EK158,Lwl^EK$3)</f>
        <v>2.4020604772912337</v>
      </c>
      <c r="EL159" s="107">
        <f>IF(SeilBeregnet=0,EL158,((Loa+Lwl)/Bredde)^EL$3)</f>
        <v>2.1400142942095619</v>
      </c>
      <c r="EM159" s="107">
        <f t="shared" si="1435"/>
        <v>1.7860915630616148</v>
      </c>
      <c r="EO159" s="107">
        <f>IF(SeilBeregnet=0,EO158,(EP159*EQ159)^EO$3)</f>
        <v>8.3856402078857482</v>
      </c>
      <c r="EP159" s="107">
        <f>IF(SeilBeregnet=0,EP158,SeilBeregnet^0.5/Depl^0.33333)</f>
        <v>4.7391334184018961</v>
      </c>
      <c r="EQ159" s="107">
        <f>IF(SeilBeregnet=0,EQ158,((Loa+Lwl)/Bredde)^EQ$3)</f>
        <v>1.7694459023509632</v>
      </c>
      <c r="ER159" s="107">
        <f>IF(SeilBeregnet=0,ER158,Lwl^ER$3)</f>
        <v>1.929482338296274</v>
      </c>
      <c r="ES159" s="107">
        <f t="shared" si="1212"/>
        <v>1.7499230371720629</v>
      </c>
      <c r="EU159" s="107">
        <f>IF(SeilBeregnet=0,EU158,(EV:EV*EW:EW)^EU$3)</f>
        <v>2.3147239544962757</v>
      </c>
      <c r="EV159" s="107">
        <f>IF(SeilBeregnet=0,EV158,SeilBeregnet^0.5/Depl^0.33333)</f>
        <v>4.7391334184018961</v>
      </c>
      <c r="EW159" s="107">
        <f>IF(SeilBeregnet=0,EW158,((Loa+Lwl)/Bredde/6)^EW$3)</f>
        <v>1.1305752576439712</v>
      </c>
      <c r="EX159" s="107">
        <f>IF(SeilBeregnet=0,EX158,(Lwl*0.7+Loa*0.3)^EX$3)</f>
        <v>2.004081240602865</v>
      </c>
      <c r="EY159" s="107">
        <f t="shared" si="1213"/>
        <v>1.5599116201663736</v>
      </c>
      <c r="FA159" s="107">
        <f t="shared" si="1214"/>
        <v>2.3148371878467313</v>
      </c>
      <c r="FB159" s="107">
        <f>IF(SeilBeregnet=0,FB158,SeilBeregnet^0.5/Depl^0.3333)</f>
        <v>4.7395970944957622</v>
      </c>
      <c r="FC159" s="107">
        <f>IF(SeilBeregnet=0,FC158,((Loa+Lwl)/Bredde/6)^FC$3)</f>
        <v>1.1305752576439712</v>
      </c>
      <c r="FD159" s="107">
        <f>IF(SeilBeregnet=0,FD158,(Lwl*0.7+Loa*0.3)^FD$3)</f>
        <v>2.004081240602865</v>
      </c>
      <c r="FE159" s="107">
        <f t="shared" si="1215"/>
        <v>1.9070858001908473</v>
      </c>
      <c r="FF159" s="141" t="str">
        <f t="shared" si="1436"/>
        <v>-</v>
      </c>
      <c r="FG159" s="107">
        <f t="shared" si="1217"/>
        <v>6.0581549645705133</v>
      </c>
      <c r="FH159" s="133">
        <f>IF(SeilBeregnet=0,FH158,(SeilBeregnet^0.5/(Depl^0.3333))^FH$3)</f>
        <v>4.7395970944957622</v>
      </c>
      <c r="FI159" s="133">
        <f>IF(SeilBeregnet=0,FI158,((Loa+Lwl)/Bredde/6)^FI$3)</f>
        <v>1.2782004131967319</v>
      </c>
      <c r="FJ159" s="107">
        <f>IF(SeilBeregnet=0,FJ158,(Lwl*0.07+Loa*0.03)^FJ$3)</f>
        <v>1.1269777006297337</v>
      </c>
      <c r="FK159" s="107">
        <f t="shared" si="1218"/>
        <v>1.7664734367857047</v>
      </c>
      <c r="FL159" s="141" t="str">
        <f t="shared" si="1437"/>
        <v>-</v>
      </c>
      <c r="FM159" s="107">
        <f t="shared" si="1220"/>
        <v>7.6934182294435161</v>
      </c>
      <c r="FN159" s="133">
        <f>IF(SeilBeregnet=0,FN158,(SeilBeregnet^0.5/(Depl^0.3333))^FN$3)</f>
        <v>4.7395970944957622</v>
      </c>
      <c r="FO159" s="133">
        <f>IF(SeilBeregnet=0,FO158,(SeilBeregnet^0.5/Lwl*FO$7)^FO$3)</f>
        <v>1.013989628925714</v>
      </c>
      <c r="FP159" s="133">
        <f>IF(SeilBeregnet=0,FP158,((Loa)/Bredde)^FP$3*FP$7)</f>
        <v>2.4398315060220401</v>
      </c>
      <c r="FQ159" s="107">
        <f>IF(SeilBeregnet=0,FQ158,(Lwl)^FQ$3)</f>
        <v>1.929482338296274</v>
      </c>
      <c r="FR159" s="107">
        <f t="shared" si="1221"/>
        <v>1.9219272037827848</v>
      </c>
      <c r="FS159" s="141" t="str">
        <f t="shared" si="1438"/>
        <v>-</v>
      </c>
      <c r="FT159" s="107">
        <f t="shared" si="1223"/>
        <v>11.563818317001282</v>
      </c>
      <c r="FU159" s="133">
        <f>IF(SeilBeregnet=0,FU158,(SeilBeregnet^0.5/(Depl^0.3333))^FU$3)</f>
        <v>4.7395970944957622</v>
      </c>
      <c r="FV159" s="133">
        <f>IF(SeilBeregnet=0,FV158,(Loa/Bredde)^FV$3)</f>
        <v>2.4398315060220401</v>
      </c>
      <c r="FW159" s="107">
        <f>IF(SeilBeregnet=0,FW158,Lwl^FW$3)</f>
        <v>1.929482338296274</v>
      </c>
      <c r="FY159" s="336">
        <v>1</v>
      </c>
      <c r="FZ159" s="62">
        <f t="shared" si="1452"/>
        <v>1.6181975077368016</v>
      </c>
      <c r="GA159" s="62">
        <f t="shared" si="1378"/>
        <v>1.7878628498187483</v>
      </c>
      <c r="GB159" s="107">
        <f t="shared" si="798"/>
        <v>1.5820513906208142</v>
      </c>
      <c r="GC159" s="440"/>
      <c r="GD159" s="17"/>
      <c r="GE159" s="442"/>
      <c r="GF159" s="462"/>
      <c r="GG159" s="17"/>
      <c r="GH159" s="17"/>
      <c r="GI159" s="17"/>
      <c r="GJ159" s="17"/>
      <c r="GL159" s="17"/>
      <c r="GM159" s="442"/>
      <c r="GN159" s="8"/>
      <c r="GO159" s="8"/>
      <c r="GP159" s="8"/>
      <c r="GQ159" s="8"/>
      <c r="GS159" s="17"/>
      <c r="GT159" s="17"/>
      <c r="GU159" s="17"/>
      <c r="GV159" s="629"/>
      <c r="GW159" s="17"/>
      <c r="GX159" s="17"/>
      <c r="GY159" s="17"/>
      <c r="GZ159" s="17"/>
    </row>
    <row r="160" spans="1:208" ht="15.6" x14ac:dyDescent="0.3">
      <c r="A160" s="60" t="s">
        <v>33</v>
      </c>
      <c r="B160" s="218"/>
      <c r="C160" s="61" t="str">
        <f t="shared" ref="C160" si="1469">C159</f>
        <v>Bermuda</v>
      </c>
      <c r="D160" s="61"/>
      <c r="E160" s="61"/>
      <c r="F160" s="61"/>
      <c r="G160" s="54"/>
      <c r="H160" s="204">
        <f>IF(StH=0,0,TBFavrundet)</f>
        <v>177.99999999999997</v>
      </c>
      <c r="I160" s="63">
        <f>COUNTA(O160:AG160)</f>
        <v>2</v>
      </c>
      <c r="J160" s="222">
        <f>SUM(O160:AG160)</f>
        <v>175.96</v>
      </c>
      <c r="K160" s="116">
        <f>Seilareal/Depl^0.667/K$7</f>
        <v>1.8522191123399792</v>
      </c>
      <c r="L160" s="116">
        <f>Seilareal/Lwl/Lwl/L$7</f>
        <v>1.3898389116047138</v>
      </c>
      <c r="M160" s="92">
        <f>RiggF</f>
        <v>0.965799045237554</v>
      </c>
      <c r="N160" s="242">
        <f>StHfaktor</f>
        <v>1.0637866251253518</v>
      </c>
      <c r="O160" s="143"/>
      <c r="P160" s="143"/>
      <c r="Q160" s="143"/>
      <c r="R160" s="143"/>
      <c r="S160" s="143"/>
      <c r="T160" s="143"/>
      <c r="U160" s="165">
        <v>55.6</v>
      </c>
      <c r="V160" s="559"/>
      <c r="W160" s="559"/>
      <c r="X160" s="143"/>
      <c r="Y160" s="143"/>
      <c r="Z160" s="143"/>
      <c r="AA160" s="143"/>
      <c r="AB160" s="143"/>
      <c r="AC160" s="143"/>
      <c r="AD160" s="143"/>
      <c r="AE160" s="165">
        <v>120.36</v>
      </c>
      <c r="AF160" s="143"/>
      <c r="AG160" s="551"/>
      <c r="AH160" s="557">
        <f t="shared" ref="AH160:AI160" si="1470">AH159</f>
        <v>22.73</v>
      </c>
      <c r="AI160" s="557">
        <f t="shared" si="1470"/>
        <v>22.73</v>
      </c>
      <c r="AJ160" s="337">
        <f t="shared" si="1460"/>
        <v>0</v>
      </c>
      <c r="AK160" s="339"/>
      <c r="AL160" s="337"/>
      <c r="AM160" s="339"/>
      <c r="AN160" s="267" t="str">
        <f t="shared" si="1461"/>
        <v>Delt</v>
      </c>
      <c r="AO160" s="45">
        <f>VLOOKUP(AN160,Skrogform!$1:$1048576,3,FALSE)</f>
        <v>1.02</v>
      </c>
      <c r="AP160" s="64">
        <f t="shared" ref="AP160:AZ160" si="1471">AP159</f>
        <v>21.43</v>
      </c>
      <c r="AQ160" s="64">
        <f t="shared" si="1471"/>
        <v>13.86</v>
      </c>
      <c r="AR160" s="64">
        <f t="shared" si="1471"/>
        <v>3.6</v>
      </c>
      <c r="AS160" s="64">
        <f t="shared" si="1471"/>
        <v>2.74</v>
      </c>
      <c r="AT160" s="64">
        <f t="shared" ref="AT160" si="1472">AT159</f>
        <v>26.08</v>
      </c>
      <c r="AU160" s="64">
        <f t="shared" si="1471"/>
        <v>26.08</v>
      </c>
      <c r="AV160" s="64">
        <f t="shared" si="1471"/>
        <v>14</v>
      </c>
      <c r="AW160" s="64">
        <f t="shared" si="1471"/>
        <v>0</v>
      </c>
      <c r="AX160" s="256">
        <f>AX159</f>
        <v>0</v>
      </c>
      <c r="AY160" s="256">
        <f t="shared" si="1471"/>
        <v>70</v>
      </c>
      <c r="AZ160" s="256">
        <f t="shared" si="1471"/>
        <v>490</v>
      </c>
      <c r="BA160" s="256">
        <f t="shared" ref="BA160:BB160" si="1473">BA159</f>
        <v>0</v>
      </c>
      <c r="BB160" s="256">
        <f t="shared" si="1473"/>
        <v>0</v>
      </c>
      <c r="BC160" s="256"/>
      <c r="BD160" s="66"/>
      <c r="BE160" s="66"/>
      <c r="BF160" s="261"/>
      <c r="BG160" s="66"/>
      <c r="BH160" s="175"/>
      <c r="BI160" s="66"/>
      <c r="BJ160" s="66"/>
      <c r="BK160" s="65" t="str">
        <f t="shared" ref="BK160:BM160" si="1474" xml:space="preserve"> BK159</f>
        <v>Seilrett</v>
      </c>
      <c r="BL160" s="267">
        <f t="shared" si="1474"/>
        <v>3</v>
      </c>
      <c r="BM160" s="267">
        <f t="shared" si="1474"/>
        <v>60</v>
      </c>
      <c r="BN160" s="45">
        <f t="shared" si="1197"/>
        <v>1</v>
      </c>
      <c r="BO160" s="59"/>
      <c r="BP160" s="59"/>
      <c r="BR160" s="49">
        <f t="shared" si="1466"/>
        <v>0</v>
      </c>
      <c r="BS160" s="49">
        <f t="shared" si="1466"/>
        <v>0</v>
      </c>
      <c r="BT160" s="49">
        <f t="shared" si="1466"/>
        <v>0</v>
      </c>
      <c r="BU160" s="49">
        <f t="shared" si="1466"/>
        <v>0</v>
      </c>
      <c r="BV160" s="49">
        <f t="shared" si="1466"/>
        <v>0</v>
      </c>
      <c r="BW160" s="49">
        <f t="shared" si="1466"/>
        <v>0</v>
      </c>
      <c r="BX160" s="49">
        <f t="shared" si="1466"/>
        <v>55.6</v>
      </c>
      <c r="BY160" s="549">
        <f>IF(COUNT(Q160:U160)&gt;1,MINA(Q160:U160)*BY$9,0)</f>
        <v>0</v>
      </c>
      <c r="BZ160" s="85">
        <f t="shared" si="1467"/>
        <v>0</v>
      </c>
      <c r="CA160" s="85">
        <f t="shared" si="1467"/>
        <v>0</v>
      </c>
      <c r="CB160" s="85">
        <f t="shared" si="1467"/>
        <v>0</v>
      </c>
      <c r="CC160" s="85">
        <f t="shared" si="1467"/>
        <v>0</v>
      </c>
      <c r="CD160" s="85">
        <f t="shared" si="1467"/>
        <v>0</v>
      </c>
      <c r="CE160" s="85">
        <f>IF(AC160=0,0,AC160*CE$9)</f>
        <v>0</v>
      </c>
      <c r="CF160" s="85">
        <f>IF(AA160=0,0,AA160*CF$9)</f>
        <v>0</v>
      </c>
      <c r="CG160" s="85">
        <f>IF(AB160=0,0,AB160*CG$9)</f>
        <v>0</v>
      </c>
      <c r="CH160" s="85">
        <f t="shared" si="1468"/>
        <v>0</v>
      </c>
      <c r="CI160" s="85">
        <f t="shared" si="1468"/>
        <v>114.342</v>
      </c>
      <c r="CJ160" s="85">
        <f t="shared" si="1468"/>
        <v>0</v>
      </c>
      <c r="CK160" s="85">
        <f t="shared" si="1468"/>
        <v>0</v>
      </c>
      <c r="CL160" s="100">
        <f>SUM(BR160:CK160)</f>
        <v>169.94200000000001</v>
      </c>
      <c r="CM160" s="50"/>
      <c r="CN160" s="104">
        <f>J160</f>
        <v>175.96</v>
      </c>
      <c r="CO160" s="101">
        <f>CL160/CN160</f>
        <v>0.965799045237554</v>
      </c>
      <c r="CP160" s="51">
        <f>Seilareal/Lwl/Lwl</f>
        <v>0.91598316706541827</v>
      </c>
      <c r="CQ160" s="116">
        <f>Seilareal/Depl^0.667/K$7</f>
        <v>1.8522191123399792</v>
      </c>
      <c r="CR160" s="51">
        <f>Seilareal/Lwl/Lwl/SApRS1</f>
        <v>1.3898389116047138</v>
      </c>
      <c r="CS160" s="204"/>
      <c r="CT160" s="204">
        <f>(ROUND(TBF/CT$6,3)*CT$6)*CT$4</f>
        <v>177.99999999999997</v>
      </c>
      <c r="CU160" s="107">
        <f t="shared" si="83"/>
        <v>1.7801180100973664</v>
      </c>
      <c r="CV160" s="62">
        <f t="shared" si="789"/>
        <v>4.6644069584793018</v>
      </c>
      <c r="CW160" s="62">
        <f t="shared" si="84"/>
        <v>2.2139080579122723</v>
      </c>
      <c r="CX160" s="62">
        <f t="shared" si="790"/>
        <v>1.929482338296274</v>
      </c>
      <c r="CY160" s="107">
        <f t="shared" si="85"/>
        <v>1.0637866251253518</v>
      </c>
      <c r="CZ160" s="168" t="str">
        <f t="shared" si="1450"/>
        <v>-</v>
      </c>
      <c r="DA160" s="158"/>
      <c r="DB160" s="168" t="str">
        <f t="shared" si="1451"/>
        <v>-</v>
      </c>
      <c r="DC160" s="160"/>
      <c r="DD160" s="190" t="s">
        <v>134</v>
      </c>
      <c r="DE160" s="62" t="s">
        <v>102</v>
      </c>
      <c r="DF160" s="62" t="s">
        <v>102</v>
      </c>
      <c r="DG160" s="62" t="s">
        <v>102</v>
      </c>
      <c r="DH160" s="150" t="s">
        <v>102</v>
      </c>
      <c r="DI160" s="62">
        <f t="shared" si="1374"/>
        <v>2.0885556844678113</v>
      </c>
      <c r="DJ160" s="47">
        <f t="shared" si="1375"/>
        <v>14.842903575297942</v>
      </c>
      <c r="DK160" s="48">
        <f t="shared" si="1428"/>
        <v>0</v>
      </c>
      <c r="DM160" s="107">
        <f t="shared" si="1201"/>
        <v>1.6356028854850453</v>
      </c>
      <c r="DN160" s="141" t="str">
        <f t="shared" si="1429"/>
        <v>-</v>
      </c>
      <c r="DO160" s="107">
        <f t="shared" si="1430"/>
        <v>6.8362096863415065</v>
      </c>
      <c r="DP160" s="133">
        <f>IF(SeilBeregnet=0,DP159,(SeilBeregnet^0.5/(Depl^0.3333))^DP$3*DP$7)</f>
        <v>4.3963781803194664</v>
      </c>
      <c r="DQ160" s="133">
        <f>IF(SeilBeregnet=0,DQ159,(SeilBeregnet^0.5/Lwl)^DQ$3*DQ$7)</f>
        <v>0</v>
      </c>
      <c r="DR160" s="133">
        <f>IF(SeilBeregnet=0,DR159,(0.1*Loa/Depl^0.3333)^DR$3*DR$7)</f>
        <v>0</v>
      </c>
      <c r="DS160" s="133">
        <f>IF(SeilBeregnet=0,DS159,((Loa)/Bredde)^DS$3*DS$7)</f>
        <v>2.4398315060220401</v>
      </c>
      <c r="DT160" s="107">
        <f>IF(SeilBeregnet=0,DT159,(Lwl)^DT$3)</f>
        <v>1.929482338296274</v>
      </c>
      <c r="DU160" s="133">
        <f>IF(SeilBeregnet=0,DU159,(Dypg/Loa)^DU$3*5*DU$7)</f>
        <v>1.7878628498187483</v>
      </c>
      <c r="DW160" s="107">
        <f t="shared" si="1241"/>
        <v>1.7452137353895749</v>
      </c>
      <c r="DX160" s="107">
        <f t="shared" si="1376"/>
        <v>1.6543638035968289</v>
      </c>
      <c r="DZ160" s="107">
        <f t="shared" si="1377"/>
        <v>1.6438366598537362</v>
      </c>
      <c r="EA160" s="122" t="str">
        <f t="shared" si="1431"/>
        <v>-</v>
      </c>
      <c r="EB160" s="107">
        <f t="shared" si="1432"/>
        <v>1.7323938978936619</v>
      </c>
      <c r="EC160" s="122" t="str">
        <f t="shared" si="1433"/>
        <v>-</v>
      </c>
      <c r="ED160" s="107">
        <f>IF(SeilBeregnet=0,ED159,SeilBeregnet^0.5/Depl^0.33333)</f>
        <v>4.3959480814268463</v>
      </c>
      <c r="EE160" s="107">
        <f>IF(SeilBeregnet=0,EE159,Lwl^0.3333)</f>
        <v>2.4018710337482303</v>
      </c>
      <c r="EF160" s="107">
        <f>IF(SeilBeregnet=0,EF159,((Loa+Lwl)/Bredde)^EF$3)</f>
        <v>1.7694459023509632</v>
      </c>
      <c r="EH160" s="107">
        <f t="shared" si="1434"/>
        <v>1.7221894524481243</v>
      </c>
      <c r="EJ160" s="107">
        <f>IF(SeilBeregnet=0,EJ159,SeilBeregnet^0.5/Depl^0.33333)</f>
        <v>4.3959480814268463</v>
      </c>
      <c r="EK160" s="107">
        <f>IF(SeilBeregnet=0,EK159,Lwl^EK$3)</f>
        <v>2.4020604772912337</v>
      </c>
      <c r="EL160" s="107">
        <f>IF(SeilBeregnet=0,EL159,((Loa+Lwl)/Bredde)^EL$3)</f>
        <v>2.1400142942095619</v>
      </c>
      <c r="EM160" s="107">
        <f t="shared" si="1435"/>
        <v>1.6816588744460339</v>
      </c>
      <c r="EO160" s="107">
        <f>IF(SeilBeregnet=0,EO159,(EP160*EQ160)^EO$3)</f>
        <v>7.7783923196283116</v>
      </c>
      <c r="EP160" s="107">
        <f>IF(SeilBeregnet=0,EP159,SeilBeregnet^0.5/Depl^0.33333)</f>
        <v>4.3959480814268463</v>
      </c>
      <c r="EQ160" s="107">
        <f>IF(SeilBeregnet=0,EQ159,((Loa+Lwl)/Bredde)^EQ$3)</f>
        <v>1.7694459023509632</v>
      </c>
      <c r="ER160" s="107">
        <f>IF(SeilBeregnet=0,ER159,Lwl^ER$3)</f>
        <v>1.929482338296274</v>
      </c>
      <c r="ES160" s="107">
        <f t="shared" si="1212"/>
        <v>1.6675865592030035</v>
      </c>
      <c r="EU160" s="107">
        <f>IF(SeilBeregnet=0,EU159,(EV:EV*EW:EW)^EU$3)</f>
        <v>2.2293384971216637</v>
      </c>
      <c r="EV160" s="107">
        <f>IF(SeilBeregnet=0,EV159,SeilBeregnet^0.5/Depl^0.33333)</f>
        <v>4.3959480814268463</v>
      </c>
      <c r="EW160" s="107">
        <f>IF(SeilBeregnet=0,EW159,((Loa+Lwl)/Bredde/6)^EW$3)</f>
        <v>1.1305752576439712</v>
      </c>
      <c r="EX160" s="107">
        <f>IF(SeilBeregnet=0,EX159,(Lwl*0.7+Loa*0.3)^EX$3)</f>
        <v>2.004081240602865</v>
      </c>
      <c r="EY160" s="107">
        <f t="shared" si="1213"/>
        <v>1.5023696541392135</v>
      </c>
      <c r="FA160" s="107">
        <f t="shared" si="1214"/>
        <v>2.229447553524194</v>
      </c>
      <c r="FB160" s="107">
        <f>IF(SeilBeregnet=0,FB159,SeilBeregnet^0.5/Depl^0.3333)</f>
        <v>4.3963781803194664</v>
      </c>
      <c r="FC160" s="107">
        <f>IF(SeilBeregnet=0,FC159,((Loa+Lwl)/Bredde/6)^FC$3)</f>
        <v>1.1305752576439712</v>
      </c>
      <c r="FD160" s="107">
        <f>IF(SeilBeregnet=0,FD159,(Lwl*0.7+Loa*0.3)^FD$3)</f>
        <v>2.004081240602865</v>
      </c>
      <c r="FE160" s="107">
        <f t="shared" si="1215"/>
        <v>1.8032601201946763</v>
      </c>
      <c r="FF160" s="141" t="str">
        <f t="shared" si="1436"/>
        <v>-</v>
      </c>
      <c r="FG160" s="107">
        <f t="shared" si="1217"/>
        <v>5.6194524066534388</v>
      </c>
      <c r="FH160" s="133">
        <f>IF(SeilBeregnet=0,FH159,(SeilBeregnet^0.5/(Depl^0.3333))^FH$3)</f>
        <v>4.3963781803194664</v>
      </c>
      <c r="FI160" s="133">
        <f>IF(SeilBeregnet=0,FI159,((Loa+Lwl)/Bredde/6)^FI$3)</f>
        <v>1.2782004131967319</v>
      </c>
      <c r="FJ160" s="107">
        <f>IF(SeilBeregnet=0,FJ159,(Lwl*0.07+Loa*0.03)^FJ$3)</f>
        <v>1.1269777006297337</v>
      </c>
      <c r="FK160" s="107">
        <f t="shared" si="1218"/>
        <v>1.6708077439812434</v>
      </c>
      <c r="FL160" s="141" t="str">
        <f t="shared" si="1437"/>
        <v>-</v>
      </c>
      <c r="FM160" s="107">
        <f t="shared" si="1220"/>
        <v>7.2767710443641782</v>
      </c>
      <c r="FN160" s="133">
        <f>IF(SeilBeregnet=0,FN159,(SeilBeregnet^0.5/(Depl^0.3333))^FN$3)</f>
        <v>4.3963781803194664</v>
      </c>
      <c r="FO160" s="133">
        <f>IF(SeilBeregnet=0,FO159,(SeilBeregnet^0.5/Lwl*FO$7)^FO$3)</f>
        <v>0.94056135802267138</v>
      </c>
      <c r="FP160" s="133">
        <f>IF(SeilBeregnet=0,FP159,((Loa)/Bredde)^FP$3*FP$7)</f>
        <v>2.4398315060220401</v>
      </c>
      <c r="FQ160" s="107">
        <f>IF(SeilBeregnet=0,FQ159,(Lwl)^FQ$3)</f>
        <v>1.929482338296274</v>
      </c>
      <c r="FR160" s="107">
        <f t="shared" si="1221"/>
        <v>1.8185197535354083</v>
      </c>
      <c r="FS160" s="141" t="str">
        <f t="shared" si="1438"/>
        <v>-</v>
      </c>
      <c r="FT160" s="107">
        <f t="shared" si="1223"/>
        <v>10.726421996731279</v>
      </c>
      <c r="FU160" s="133">
        <f>IF(SeilBeregnet=0,FU159,(SeilBeregnet^0.5/(Depl^0.3333))^FU$3)</f>
        <v>4.3963781803194664</v>
      </c>
      <c r="FV160" s="133">
        <f>IF(SeilBeregnet=0,FV159,(Loa/Bredde)^FV$3)</f>
        <v>2.4398315060220401</v>
      </c>
      <c r="FW160" s="107">
        <f>IF(SeilBeregnet=0,FW159,Lwl^FW$3)</f>
        <v>1.929482338296274</v>
      </c>
      <c r="FY160" s="336">
        <v>1</v>
      </c>
      <c r="FZ160" s="62">
        <f t="shared" si="1452"/>
        <v>1.5562649241420654</v>
      </c>
      <c r="GA160" s="62">
        <f t="shared" si="1378"/>
        <v>1.7878628498187483</v>
      </c>
      <c r="GB160" s="107">
        <f t="shared" si="798"/>
        <v>1.5429024187600846</v>
      </c>
      <c r="GC160" s="440"/>
      <c r="GD160" s="17"/>
      <c r="GE160" s="442"/>
      <c r="GF160" s="462"/>
      <c r="GG160" s="17"/>
      <c r="GH160" s="17"/>
      <c r="GI160" s="17"/>
      <c r="GJ160" s="17"/>
      <c r="GL160" s="17"/>
      <c r="GM160" s="442"/>
      <c r="GN160" s="8"/>
      <c r="GO160" s="8"/>
      <c r="GP160" s="8"/>
      <c r="GQ160" s="8"/>
      <c r="GS160" s="17"/>
      <c r="GT160" s="17"/>
      <c r="GU160" s="17"/>
      <c r="GV160" s="629"/>
      <c r="GW160" s="17"/>
      <c r="GX160" s="17"/>
      <c r="GY160" s="17"/>
      <c r="GZ160" s="17"/>
    </row>
    <row r="161" spans="1:208" ht="15.6" x14ac:dyDescent="0.3">
      <c r="A161" s="52" t="s">
        <v>858</v>
      </c>
      <c r="B161" s="218">
        <f t="shared" si="10"/>
        <v>44.291338582677163</v>
      </c>
      <c r="C161" s="53" t="s">
        <v>38</v>
      </c>
      <c r="D161" s="53"/>
      <c r="E161" s="53"/>
      <c r="F161" s="53"/>
      <c r="G161" s="54"/>
      <c r="H161" s="112">
        <f>J162</f>
        <v>102</v>
      </c>
      <c r="I161" s="601">
        <f>H162/100</f>
        <v>1.355</v>
      </c>
      <c r="J161" s="651">
        <f>IF(DC162=0,"-",DC162)</f>
        <v>1.42</v>
      </c>
      <c r="K161" s="123" t="str">
        <f>A161</f>
        <v>Arabella IV</v>
      </c>
      <c r="L161" s="116"/>
      <c r="M161" s="116"/>
      <c r="N161" s="92"/>
      <c r="O161" s="165">
        <v>20</v>
      </c>
      <c r="P161" s="165"/>
      <c r="Q161" s="165">
        <v>40</v>
      </c>
      <c r="R161" s="165"/>
      <c r="S161" s="165"/>
      <c r="T161" s="165"/>
      <c r="U161" s="165"/>
      <c r="V161" s="560"/>
      <c r="W161" s="560"/>
      <c r="X161" s="165"/>
      <c r="Y161" s="165"/>
      <c r="Z161" s="165"/>
      <c r="AA161" s="165"/>
      <c r="AB161" s="165"/>
      <c r="AC161" s="165"/>
      <c r="AD161" s="165"/>
      <c r="AE161" s="165">
        <v>42</v>
      </c>
      <c r="AF161" s="165"/>
      <c r="AG161" s="552"/>
      <c r="AH161" s="241">
        <v>15</v>
      </c>
      <c r="AI161" s="241">
        <f>AH161</f>
        <v>15</v>
      </c>
      <c r="AJ161" s="554"/>
      <c r="AK161" s="339"/>
      <c r="AL161" s="268"/>
      <c r="AM161" s="339"/>
      <c r="AN161" s="268" t="s">
        <v>214</v>
      </c>
      <c r="AO161" s="45">
        <f>VLOOKUP(AN161,Skrogform!$1:$1048576,3,FALSE)</f>
        <v>1</v>
      </c>
      <c r="AP161" s="55">
        <v>13.5</v>
      </c>
      <c r="AQ161" s="55">
        <v>9</v>
      </c>
      <c r="AR161" s="55">
        <v>3</v>
      </c>
      <c r="AS161" s="55">
        <v>2.5</v>
      </c>
      <c r="AT161" s="55"/>
      <c r="AU161" s="55">
        <v>13.5</v>
      </c>
      <c r="AV161" s="55"/>
      <c r="AW161" s="55"/>
      <c r="AX161" s="253"/>
      <c r="AY161" s="253"/>
      <c r="AZ161" s="254">
        <f>AY161*7</f>
        <v>0</v>
      </c>
      <c r="BA161" s="253"/>
      <c r="BB161" s="253"/>
      <c r="BC161" s="244">
        <f>Depl+Diesel/1000*0.84+Vann/1000</f>
        <v>13.5</v>
      </c>
      <c r="BD161" s="95">
        <f>Bredde/(Loa+Lwl)*2</f>
        <v>0.26666666666666666</v>
      </c>
      <c r="BE161" s="95">
        <f>(Kjøl+Ballast)/Depl</f>
        <v>0</v>
      </c>
      <c r="BF161" s="260">
        <f>BF$7*((Depl-Kjøl-Ballast-VektMotor/1000-VektAnnet/1000)/Lwl/Lwl/Bredde)</f>
        <v>2.0965591452991452</v>
      </c>
      <c r="BG161" s="95">
        <f>BG$7*(Depl/Loa/Lwl/Lwl)</f>
        <v>0.90850896296296291</v>
      </c>
      <c r="BH161" s="174">
        <f>BH$7*(Depl/Loa/Lwl/Bredde)</f>
        <v>1.0074483333333333</v>
      </c>
      <c r="BI161" s="95">
        <f>BI$7*Bredde/(Loa+Lwl)*2</f>
        <v>0.76071684587813626</v>
      </c>
      <c r="BJ161" s="95">
        <f>BJ$7*(Dypg/Lwl)</f>
        <v>1.5193236714975846</v>
      </c>
      <c r="BK161" s="56"/>
      <c r="BL161" s="268"/>
      <c r="BM161" s="268"/>
      <c r="BN161" s="45">
        <f t="shared" si="1197"/>
        <v>1</v>
      </c>
      <c r="BO161" s="59"/>
      <c r="BP161" s="59"/>
      <c r="BR161" s="209"/>
      <c r="BS161" s="209"/>
      <c r="BT161" s="209" t="str">
        <f>$A161</f>
        <v>Arabella IV</v>
      </c>
      <c r="BU161" s="10"/>
      <c r="BV161" s="10"/>
      <c r="BW161" s="10"/>
      <c r="BX161" s="10"/>
      <c r="BY161" s="549"/>
      <c r="BZ161" s="10"/>
      <c r="CA161" s="10"/>
      <c r="CB161" s="209" t="str">
        <f>$A161</f>
        <v>Arabella IV</v>
      </c>
      <c r="CC161" s="10"/>
      <c r="CD161" s="10"/>
      <c r="CE161" s="10"/>
      <c r="CF161" s="10"/>
      <c r="CG161" s="10"/>
      <c r="CH161" s="10"/>
      <c r="CI161" s="10">
        <f t="shared" si="1468"/>
        <v>39.9</v>
      </c>
      <c r="CJ161" s="10"/>
      <c r="CK161" s="10"/>
      <c r="CL161" s="209"/>
      <c r="CM161" s="10"/>
      <c r="CN161" s="209" t="str">
        <f>$A161</f>
        <v>Arabella IV</v>
      </c>
      <c r="CO161" s="207"/>
      <c r="CP161" s="207"/>
      <c r="CQ161" s="116"/>
      <c r="CR161" s="207"/>
      <c r="CS161" s="203"/>
      <c r="CT161" s="203" t="s">
        <v>23</v>
      </c>
      <c r="CU161" s="107" t="str">
        <f t="shared" si="83"/>
        <v>-</v>
      </c>
      <c r="CV161" s="62" t="str">
        <f t="shared" si="789"/>
        <v>-</v>
      </c>
      <c r="CW161" s="62" t="str">
        <f t="shared" si="84"/>
        <v>-</v>
      </c>
      <c r="CX161" s="62" t="str">
        <f t="shared" si="790"/>
        <v>-</v>
      </c>
      <c r="CY161" s="107" t="str">
        <f t="shared" si="85"/>
        <v>-</v>
      </c>
      <c r="CZ161" s="168" t="str">
        <f t="shared" si="1450"/>
        <v>-</v>
      </c>
      <c r="DA161" s="158"/>
      <c r="DB161" s="168" t="str">
        <f t="shared" si="1451"/>
        <v>-</v>
      </c>
      <c r="DC161" s="160">
        <v>1.42</v>
      </c>
      <c r="DD161" s="190" t="s">
        <v>134</v>
      </c>
      <c r="DE161" s="29" t="s">
        <v>23</v>
      </c>
      <c r="DF161" s="29" t="s">
        <v>23</v>
      </c>
      <c r="DG161" s="29" t="s">
        <v>23</v>
      </c>
      <c r="DH161" s="149">
        <v>2022</v>
      </c>
      <c r="DI161" s="62" t="str">
        <f t="shared" si="1374"/>
        <v>-</v>
      </c>
      <c r="DJ161" s="47">
        <f t="shared" si="1375"/>
        <v>19.230769230769234</v>
      </c>
      <c r="DK161" s="48">
        <f t="shared" si="1428"/>
        <v>0</v>
      </c>
      <c r="DM161" s="107" t="str">
        <f t="shared" si="1201"/>
        <v>-</v>
      </c>
      <c r="DN161" s="141" t="str">
        <f t="shared" si="1429"/>
        <v>-</v>
      </c>
      <c r="DO161" s="107">
        <f t="shared" si="1430"/>
        <v>5.5516969598148771</v>
      </c>
      <c r="DP161" s="133">
        <f>IF(SeilBeregnet=0,DP134,(SeilBeregnet^0.5/(Depl^0.3333))^DP$3*DP$7)</f>
        <v>3.6562833921224351</v>
      </c>
      <c r="DQ161" s="133">
        <f>IF(SeilBeregnet=0,DQ134,(SeilBeregnet^0.5/Lwl)^DQ$3*DQ$7)</f>
        <v>0</v>
      </c>
      <c r="DR161" s="133">
        <f>IF(SeilBeregnet=0,DR134,(0.1*Loa/Depl^0.3333)^DR$3*DR$7)</f>
        <v>0</v>
      </c>
      <c r="DS161" s="133">
        <f>IF(SeilBeregnet=0,DS134,((Loa)/Bredde)^DS$3*DS$7)</f>
        <v>1.8954135676924422</v>
      </c>
      <c r="DT161" s="107">
        <f>IF(SeilBeregnet=0,DT134,(Lwl)^DT$3)</f>
        <v>1.7223470599267343</v>
      </c>
      <c r="DU161" s="133">
        <f>IF(SeilBeregnet=0,DU134,(Dypg/Loa)^DU$3*5*DU$7)</f>
        <v>1.8995387394523999</v>
      </c>
      <c r="DW161" s="107" t="str">
        <f t="shared" si="1241"/>
        <v>-</v>
      </c>
      <c r="DX161" s="107" t="str">
        <f t="shared" si="1376"/>
        <v>-</v>
      </c>
      <c r="DZ161" s="107" t="str">
        <f t="shared" si="1377"/>
        <v>-</v>
      </c>
      <c r="EA161" s="122" t="str">
        <f t="shared" si="1431"/>
        <v>-</v>
      </c>
      <c r="EB161" s="107" t="str">
        <f t="shared" si="1432"/>
        <v>-</v>
      </c>
      <c r="EC161" s="122" t="str">
        <f t="shared" si="1433"/>
        <v>-</v>
      </c>
      <c r="ED161" s="107">
        <f>IF(SeilBeregnet=0,ED134,SeilBeregnet^0.5/Depl^0.33333)</f>
        <v>3.6560905804052237</v>
      </c>
      <c r="EE161" s="107">
        <f>IF(SeilBeregnet=0,EE134,Lwl^0.3333)</f>
        <v>2.0644105728067443</v>
      </c>
      <c r="EF161" s="107">
        <f>IF(SeilBeregnet=0,EF134,((Loa+Lwl)/Bredde)^EF$3)</f>
        <v>1.6179011774099146</v>
      </c>
      <c r="EH161" s="107" t="str">
        <f t="shared" si="1434"/>
        <v>-</v>
      </c>
      <c r="EJ161" s="107">
        <f>IF(SeilBeregnet=0,EJ134,SeilBeregnet^0.5/Depl^0.33333)</f>
        <v>3.6560905804052237</v>
      </c>
      <c r="EK161" s="107">
        <f>IF(SeilBeregnet=0,EK134,Lwl^EK$3)</f>
        <v>2.0645452646139271</v>
      </c>
      <c r="EL161" s="107">
        <f>IF(SeilBeregnet=0,EL134,((Loa+Lwl)/Bredde)^EL$3)</f>
        <v>1.8992178984985733</v>
      </c>
      <c r="EM161" s="107" t="str">
        <f t="shared" si="1435"/>
        <v>-</v>
      </c>
      <c r="EO161" s="107">
        <f>IF(SeilBeregnet=0,EO134,(EP161*EQ161)^EO$3)</f>
        <v>5.9151932547549091</v>
      </c>
      <c r="EP161" s="107">
        <f>IF(SeilBeregnet=0,EP134,SeilBeregnet^0.5/Depl^0.33333)</f>
        <v>3.6560905804052237</v>
      </c>
      <c r="EQ161" s="107">
        <f>IF(SeilBeregnet=0,EQ134,((Loa+Lwl)/Bredde)^EQ$3)</f>
        <v>1.6179011774099146</v>
      </c>
      <c r="ER161" s="107">
        <f>IF(SeilBeregnet=0,ER134,Lwl^ER$3)</f>
        <v>1.7223470599267343</v>
      </c>
      <c r="ES161" s="107" t="str">
        <f t="shared" si="1212"/>
        <v>-</v>
      </c>
      <c r="EU161" s="107">
        <f>IF(SeilBeregnet=0,EU134,(EV:EV*EW:EW)^EU$3)</f>
        <v>1.9440864025062552</v>
      </c>
      <c r="EV161" s="107">
        <f>IF(SeilBeregnet=0,EV134,SeilBeregnet^0.5/Depl^0.33333)</f>
        <v>3.6560905804052237</v>
      </c>
      <c r="EW161" s="107">
        <f>IF(SeilBeregnet=0,EW134,((Loa+Lwl)/Bredde/6)^EW$3)</f>
        <v>1.03374680065799</v>
      </c>
      <c r="EX161" s="107">
        <f>IF(SeilBeregnet=0,EX134,(Lwl*0.7+Loa*0.3)^EX$3)</f>
        <v>1.7354089054960848</v>
      </c>
      <c r="EY161" s="107" t="str">
        <f t="shared" si="1213"/>
        <v>-</v>
      </c>
      <c r="FA161" s="107">
        <f t="shared" si="1214"/>
        <v>1.9441376645972142</v>
      </c>
      <c r="FB161" s="107">
        <f>IF(SeilBeregnet=0,FB134,SeilBeregnet^0.5/Depl^0.3333)</f>
        <v>3.6562833921224351</v>
      </c>
      <c r="FC161" s="107">
        <f>IF(SeilBeregnet=0,FC134,((Loa+Lwl)/Bredde/6)^FC$3)</f>
        <v>1.03374680065799</v>
      </c>
      <c r="FD161" s="107">
        <f>IF(SeilBeregnet=0,FD134,(Lwl*0.7+Loa*0.3)^FD$3)</f>
        <v>1.7354089054960848</v>
      </c>
      <c r="FE161" s="107" t="str">
        <f t="shared" si="1215"/>
        <v>-</v>
      </c>
      <c r="FF161" s="141" t="str">
        <f t="shared" si="1436"/>
        <v>-</v>
      </c>
      <c r="FG161" s="107">
        <f t="shared" si="1217"/>
        <v>3.9072230714325289</v>
      </c>
      <c r="FH161" s="133">
        <f>IF(SeilBeregnet=0,FH134,(SeilBeregnet^0.5/(Depl^0.3333))^FH$3)</f>
        <v>3.6562833921224351</v>
      </c>
      <c r="FI161" s="133">
        <f>IF(SeilBeregnet=0,FI134,((Loa+Lwl)/Bredde/6)^FI$3)</f>
        <v>1.0686324478706302</v>
      </c>
      <c r="FJ161" s="107">
        <f>IF(SeilBeregnet=0,FJ134,(Lwl*0.07+Loa*0.03)^FJ$3)</f>
        <v>0.97589214366380161</v>
      </c>
      <c r="FK161" s="107" t="str">
        <f t="shared" si="1218"/>
        <v>-</v>
      </c>
      <c r="FL161" s="141" t="str">
        <f t="shared" si="1437"/>
        <v>-</v>
      </c>
      <c r="FM161" s="107">
        <f t="shared" si="1220"/>
        <v>5.798159000720104</v>
      </c>
      <c r="FN161" s="133">
        <f>IF(SeilBeregnet=0,FN134,(SeilBeregnet^0.5/(Depl^0.3333))^FN$3)</f>
        <v>3.6562833921224351</v>
      </c>
      <c r="FO161" s="133">
        <f>IF(SeilBeregnet=0,FO134,(SeilBeregnet^0.5/Lwl*FO$7)^FO$3)</f>
        <v>0.74646204090522683</v>
      </c>
      <c r="FP161" s="133">
        <f>IF(SeilBeregnet=0,FP134,((Loa)/Bredde)^FP$3*FP$7)</f>
        <v>1.8954135676924422</v>
      </c>
      <c r="FQ161" s="107">
        <f>IF(SeilBeregnet=0,FQ134,(Lwl)^FQ$3)</f>
        <v>1.7223470599267343</v>
      </c>
      <c r="FR161" s="107" t="str">
        <f t="shared" si="1221"/>
        <v>-</v>
      </c>
      <c r="FS161" s="141" t="str">
        <f t="shared" si="1438"/>
        <v>-</v>
      </c>
      <c r="FT161" s="107">
        <f t="shared" si="1223"/>
        <v>6.9301691487574093</v>
      </c>
      <c r="FU161" s="133">
        <f>IF(SeilBeregnet=0,FU134,(SeilBeregnet^0.5/(Depl^0.3333))^FU$3)</f>
        <v>3.6562833921224351</v>
      </c>
      <c r="FV161" s="133">
        <f>IF(SeilBeregnet=0,FV134,(Loa/Bredde)^FV$3)</f>
        <v>1.8954135676924422</v>
      </c>
      <c r="FW161" s="107">
        <f>IF(SeilBeregnet=0,FW134,Lwl^FW$3)</f>
        <v>1.7223470599267343</v>
      </c>
      <c r="FY161" s="336">
        <v>1</v>
      </c>
      <c r="FZ161" s="62" t="str">
        <f t="shared" si="1452"/>
        <v>-</v>
      </c>
      <c r="GA161" s="62">
        <f t="shared" si="1378"/>
        <v>2.1516574145596761</v>
      </c>
      <c r="GB161" s="107" t="str">
        <f t="shared" si="798"/>
        <v>-</v>
      </c>
      <c r="GC161" s="441" t="s">
        <v>859</v>
      </c>
      <c r="GD161" s="57" t="s">
        <v>1005</v>
      </c>
      <c r="GE161" s="436" t="s">
        <v>1006</v>
      </c>
      <c r="GF161" s="496" t="s">
        <v>1007</v>
      </c>
      <c r="GG161" s="57" t="s">
        <v>1008</v>
      </c>
      <c r="GH161" s="57" t="s">
        <v>1009</v>
      </c>
      <c r="GI161" s="57" t="s">
        <v>416</v>
      </c>
      <c r="GJ161" s="57" t="s">
        <v>462</v>
      </c>
      <c r="GL161" s="57" t="s">
        <v>478</v>
      </c>
      <c r="GM161" s="436" t="s">
        <v>478</v>
      </c>
      <c r="GN161" s="58" t="s">
        <v>478</v>
      </c>
      <c r="GO161" s="58" t="s">
        <v>478</v>
      </c>
      <c r="GP161" s="58" t="s">
        <v>478</v>
      </c>
      <c r="GQ161" s="58" t="s">
        <v>478</v>
      </c>
      <c r="GS161" s="57" t="s">
        <v>208</v>
      </c>
      <c r="GT161" s="57" t="s">
        <v>996</v>
      </c>
      <c r="GU161" s="632" t="s">
        <v>1010</v>
      </c>
      <c r="GV161" s="632" t="s">
        <v>1010</v>
      </c>
      <c r="GW161" s="57">
        <v>1946</v>
      </c>
      <c r="GX161" s="57" t="s">
        <v>431</v>
      </c>
      <c r="GY161" s="57" t="s">
        <v>901</v>
      </c>
      <c r="GZ161" s="57"/>
    </row>
    <row r="162" spans="1:208" ht="15.6" x14ac:dyDescent="0.3">
      <c r="A162" s="60" t="s">
        <v>33</v>
      </c>
      <c r="B162" s="218"/>
      <c r="C162" s="61" t="str">
        <f>C161</f>
        <v>Bermuda</v>
      </c>
      <c r="D162" s="61"/>
      <c r="E162" s="61"/>
      <c r="F162" s="61"/>
      <c r="G162" s="54"/>
      <c r="H162" s="204">
        <f>IF(StH=0,0,TBFavrundet)</f>
        <v>135.5</v>
      </c>
      <c r="I162" s="63">
        <f>COUNTA(O162:AG162)</f>
        <v>3</v>
      </c>
      <c r="J162" s="222">
        <f>SUM(O162:AG162)</f>
        <v>102</v>
      </c>
      <c r="K162" s="116">
        <f>Seilareal/Depl^0.667/K$7</f>
        <v>1.6658009930431361</v>
      </c>
      <c r="L162" s="116">
        <f>Seilareal/Lwl/Lwl/L$7</f>
        <v>1.9106983416782073</v>
      </c>
      <c r="M162" s="92">
        <f>RiggF</f>
        <v>0.79313725490196085</v>
      </c>
      <c r="N162" s="242">
        <f>StHfaktor</f>
        <v>1.0659359110507063</v>
      </c>
      <c r="O162" s="165">
        <v>20</v>
      </c>
      <c r="P162" s="165"/>
      <c r="Q162" s="165">
        <v>40</v>
      </c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65">
        <v>42</v>
      </c>
      <c r="AF162" s="143"/>
      <c r="AG162" s="551"/>
      <c r="AH162" s="557">
        <f t="shared" ref="AH162:AI162" si="1475">AH161</f>
        <v>15</v>
      </c>
      <c r="AI162" s="557">
        <f t="shared" si="1475"/>
        <v>15</v>
      </c>
      <c r="AJ162" s="337">
        <f t="shared" ref="AJ162" si="1476" xml:space="preserve"> AJ161</f>
        <v>0</v>
      </c>
      <c r="AK162" s="339"/>
      <c r="AL162" s="337">
        <f t="shared" ref="AL162" si="1477" xml:space="preserve"> AL161</f>
        <v>0</v>
      </c>
      <c r="AM162" s="339"/>
      <c r="AN162" s="267" t="str">
        <f t="shared" ref="AN162:AN163" si="1478" xml:space="preserve"> AN161</f>
        <v>Meter</v>
      </c>
      <c r="AO162" s="45">
        <f>VLOOKUP(AN162,Skrogform!$1:$1048576,3,FALSE)</f>
        <v>1</v>
      </c>
      <c r="AP162" s="64">
        <f t="shared" ref="AP162:BB162" si="1479">AP161</f>
        <v>13.5</v>
      </c>
      <c r="AQ162" s="64">
        <f t="shared" si="1479"/>
        <v>9</v>
      </c>
      <c r="AR162" s="64">
        <f t="shared" si="1479"/>
        <v>3</v>
      </c>
      <c r="AS162" s="64">
        <f t="shared" si="1479"/>
        <v>2.5</v>
      </c>
      <c r="AT162" s="64">
        <f t="shared" ref="AT162" si="1480">AT161</f>
        <v>0</v>
      </c>
      <c r="AU162" s="64">
        <f t="shared" si="1479"/>
        <v>13.5</v>
      </c>
      <c r="AV162" s="64">
        <f t="shared" si="1479"/>
        <v>0</v>
      </c>
      <c r="AW162" s="64">
        <f t="shared" si="1479"/>
        <v>0</v>
      </c>
      <c r="AX162" s="256">
        <f>AX161</f>
        <v>0</v>
      </c>
      <c r="AY162" s="256">
        <f t="shared" si="1479"/>
        <v>0</v>
      </c>
      <c r="AZ162" s="256">
        <f t="shared" si="1479"/>
        <v>0</v>
      </c>
      <c r="BA162" s="256">
        <f t="shared" si="1479"/>
        <v>0</v>
      </c>
      <c r="BB162" s="256">
        <f t="shared" si="1479"/>
        <v>0</v>
      </c>
      <c r="BC162" s="256"/>
      <c r="BD162" s="66"/>
      <c r="BE162" s="66"/>
      <c r="BF162" s="261"/>
      <c r="BG162" s="66"/>
      <c r="BH162" s="175"/>
      <c r="BI162" s="66"/>
      <c r="BJ162" s="66"/>
      <c r="BK162" s="65">
        <f t="shared" ref="BK162:BM162" si="1481" xml:space="preserve"> BK161</f>
        <v>0</v>
      </c>
      <c r="BL162" s="267">
        <f t="shared" si="1481"/>
        <v>0</v>
      </c>
      <c r="BM162" s="267">
        <f t="shared" si="1481"/>
        <v>0</v>
      </c>
      <c r="BN162" s="45">
        <f t="shared" si="1197"/>
        <v>1</v>
      </c>
      <c r="BO162" s="59"/>
      <c r="BP162" s="59"/>
      <c r="BR162" s="49">
        <f t="shared" ref="BR162:BX163" si="1482">IF(O162=0,0,O162*BR$9)</f>
        <v>1</v>
      </c>
      <c r="BS162" s="49">
        <f t="shared" si="1482"/>
        <v>0</v>
      </c>
      <c r="BT162" s="49">
        <f t="shared" si="1482"/>
        <v>40</v>
      </c>
      <c r="BU162" s="49">
        <f t="shared" si="1482"/>
        <v>0</v>
      </c>
      <c r="BV162" s="49">
        <f t="shared" si="1482"/>
        <v>0</v>
      </c>
      <c r="BW162" s="49">
        <f t="shared" si="1482"/>
        <v>0</v>
      </c>
      <c r="BX162" s="49">
        <f t="shared" si="1482"/>
        <v>0</v>
      </c>
      <c r="BY162" s="549">
        <f>IF(COUNT(Q162:U162)&gt;1,MINA(Q162:U162)*BY$9,0)</f>
        <v>0</v>
      </c>
      <c r="BZ162" s="85">
        <f t="shared" ref="BZ162:CD163" si="1483">IF(V162=0,0,V162*BZ$9)</f>
        <v>0</v>
      </c>
      <c r="CA162" s="85">
        <f t="shared" si="1483"/>
        <v>0</v>
      </c>
      <c r="CB162" s="85">
        <f t="shared" si="1483"/>
        <v>0</v>
      </c>
      <c r="CC162" s="85">
        <f t="shared" si="1483"/>
        <v>0</v>
      </c>
      <c r="CD162" s="85">
        <f t="shared" si="1483"/>
        <v>0</v>
      </c>
      <c r="CE162" s="85">
        <f>IF(AC162=0,0,AC162*CE$9)</f>
        <v>0</v>
      </c>
      <c r="CF162" s="85">
        <f>IF(AA162=0,0,AA162*CF$9)</f>
        <v>0</v>
      </c>
      <c r="CG162" s="85">
        <f>IF(AB162=0,0,AB162*CG$9)</f>
        <v>0</v>
      </c>
      <c r="CH162" s="85">
        <f t="shared" ref="CH162:CK163" si="1484">IF(AD162=0,0,AD162*CH$9)</f>
        <v>0</v>
      </c>
      <c r="CI162" s="85">
        <f t="shared" si="1484"/>
        <v>39.9</v>
      </c>
      <c r="CJ162" s="85">
        <f t="shared" si="1484"/>
        <v>0</v>
      </c>
      <c r="CK162" s="85">
        <f t="shared" si="1484"/>
        <v>0</v>
      </c>
      <c r="CL162" s="100">
        <f>SUM(BR162:CK162)</f>
        <v>80.900000000000006</v>
      </c>
      <c r="CM162" s="50"/>
      <c r="CN162" s="104">
        <f>J162</f>
        <v>102</v>
      </c>
      <c r="CO162" s="101">
        <f>CL162/CN162</f>
        <v>0.79313725490196085</v>
      </c>
      <c r="CP162" s="51">
        <f>Seilareal/Lwl/Lwl</f>
        <v>1.2592592592592593</v>
      </c>
      <c r="CQ162" s="116">
        <f>Seilareal/Depl^0.667/K$7</f>
        <v>1.6658009930431361</v>
      </c>
      <c r="CR162" s="51">
        <f>Seilareal/Lwl/Lwl/SApRS1</f>
        <v>1.9106983416782073</v>
      </c>
      <c r="CS162" s="204"/>
      <c r="CT162" s="204">
        <f>(ROUND(TBF/CT$6,3)*CT$6)*CT$4</f>
        <v>135.5</v>
      </c>
      <c r="CU162" s="107">
        <f t="shared" si="83"/>
        <v>1.3536736850512583</v>
      </c>
      <c r="CV162" s="62">
        <f t="shared" si="789"/>
        <v>4.0068076916054682</v>
      </c>
      <c r="CW162" s="62">
        <f t="shared" si="84"/>
        <v>1.9364916731037085</v>
      </c>
      <c r="CX162" s="62">
        <f t="shared" si="790"/>
        <v>1.7320508075688774</v>
      </c>
      <c r="CY162" s="107">
        <f t="shared" si="85"/>
        <v>1.0659359110507063</v>
      </c>
      <c r="CZ162" s="168" t="str">
        <f t="shared" si="1450"/>
        <v>-</v>
      </c>
      <c r="DA162" s="159">
        <f>DA161</f>
        <v>0</v>
      </c>
      <c r="DB162" s="168">
        <f t="shared" si="1451"/>
        <v>1.3203508771929826</v>
      </c>
      <c r="DC162" s="159">
        <f>DC161</f>
        <v>1.42</v>
      </c>
      <c r="DD162" s="190" t="s">
        <v>134</v>
      </c>
      <c r="DE162" s="62" t="s">
        <v>102</v>
      </c>
      <c r="DF162" s="62" t="s">
        <v>102</v>
      </c>
      <c r="DG162" s="62" t="s">
        <v>102</v>
      </c>
      <c r="DH162" s="150" t="s">
        <v>102</v>
      </c>
      <c r="DI162" s="62">
        <f t="shared" si="1374"/>
        <v>2.5096091033574157</v>
      </c>
      <c r="DJ162" s="47">
        <f t="shared" si="1375"/>
        <v>19.230769230769234</v>
      </c>
      <c r="DK162" s="48">
        <f t="shared" si="1428"/>
        <v>0</v>
      </c>
      <c r="DM162" s="107">
        <f t="shared" si="1201"/>
        <v>1.2669702019291771</v>
      </c>
      <c r="DN162" s="141" t="str">
        <f t="shared" si="1429"/>
        <v>-</v>
      </c>
      <c r="DO162" s="107">
        <f t="shared" si="1430"/>
        <v>5.8990773156374585</v>
      </c>
      <c r="DP162" s="133">
        <f>IF(SeilBeregnet=0,DP161,(SeilBeregnet^0.5/(Depl^0.3333))^DP$3*DP$7)</f>
        <v>3.7777569720778161</v>
      </c>
      <c r="DQ162" s="133">
        <f>IF(SeilBeregnet=0,DQ161,(SeilBeregnet^0.5/Lwl)^DQ$3*DQ$7)</f>
        <v>0</v>
      </c>
      <c r="DR162" s="133">
        <f>IF(SeilBeregnet=0,DR161,(0.1*Loa/Depl^0.3333)^DR$3*DR$7)</f>
        <v>0</v>
      </c>
      <c r="DS162" s="133">
        <f>IF(SeilBeregnet=0,DS161,((Loa)/Bredde)^DS$3*DS$7)</f>
        <v>2.1213203435596424</v>
      </c>
      <c r="DT162" s="107">
        <f>IF(SeilBeregnet=0,DT161,(Lwl)^DT$3)</f>
        <v>1.7320508075688774</v>
      </c>
      <c r="DU162" s="133">
        <f>IF(SeilBeregnet=0,DU161,(Dypg/Loa)^DU$3*5*DU$7)</f>
        <v>2.1516574145596761</v>
      </c>
      <c r="DW162" s="107">
        <f t="shared" si="1241"/>
        <v>1.3536736850512583</v>
      </c>
      <c r="DX162" s="107">
        <f t="shared" si="1376"/>
        <v>1.3537935448859511</v>
      </c>
      <c r="DZ162" s="107">
        <f t="shared" si="1377"/>
        <v>1.321200491390661</v>
      </c>
      <c r="EA162" s="122" t="str">
        <f t="shared" si="1431"/>
        <v>-</v>
      </c>
      <c r="EB162" s="107">
        <f t="shared" si="1432"/>
        <v>1.2907516637943532</v>
      </c>
      <c r="EC162" s="122" t="str">
        <f t="shared" si="1433"/>
        <v>-</v>
      </c>
      <c r="ED162" s="107">
        <f>IF(SeilBeregnet=0,ED161,SeilBeregnet^0.5/Depl^0.33333)</f>
        <v>3.7774620137200814</v>
      </c>
      <c r="EE162" s="107">
        <f>IF(SeilBeregnet=0,EE161,Lwl^0.3333)</f>
        <v>2.0799314815874812</v>
      </c>
      <c r="EF162" s="107">
        <f>IF(SeilBeregnet=0,EF161,((Loa+Lwl)/Bredde)^EF$3)</f>
        <v>1.6548754598234365</v>
      </c>
      <c r="EH162" s="107">
        <f t="shared" si="1434"/>
        <v>1.2875123722318387</v>
      </c>
      <c r="EJ162" s="107">
        <f>IF(SeilBeregnet=0,EJ161,SeilBeregnet^0.5/Depl^0.33333)</f>
        <v>3.7774620137200814</v>
      </c>
      <c r="EK162" s="107">
        <f>IF(SeilBeregnet=0,EK161,Lwl^EK$3)</f>
        <v>2.0800685884033645</v>
      </c>
      <c r="EL162" s="107">
        <f>IF(SeilBeregnet=0,EL161,((Loa+Lwl)/Bredde)^EL$3)</f>
        <v>1.9573023570219998</v>
      </c>
      <c r="EM162" s="107">
        <f t="shared" si="1435"/>
        <v>1.2738225006016859</v>
      </c>
      <c r="EO162" s="107">
        <f>IF(SeilBeregnet=0,EO161,(EP162*EQ162)^EO$3)</f>
        <v>6.2512291869205843</v>
      </c>
      <c r="EP162" s="107">
        <f>IF(SeilBeregnet=0,EP161,SeilBeregnet^0.5/Depl^0.33333)</f>
        <v>3.7774620137200814</v>
      </c>
      <c r="EQ162" s="107">
        <f>IF(SeilBeregnet=0,EQ161,((Loa+Lwl)/Bredde)^EQ$3)</f>
        <v>1.6548754598234365</v>
      </c>
      <c r="ER162" s="107">
        <f>IF(SeilBeregnet=0,ER161,Lwl^ER$3)</f>
        <v>1.7320508075688774</v>
      </c>
      <c r="ES162" s="107">
        <f t="shared" si="1212"/>
        <v>1.2932954833389352</v>
      </c>
      <c r="EU162" s="107">
        <f>IF(SeilBeregnet=0,EU161,(EV:EV*EW:EW)^EU$3)</f>
        <v>1.9985444158301662</v>
      </c>
      <c r="EV162" s="107">
        <f>IF(SeilBeregnet=0,EV161,SeilBeregnet^0.5/Depl^0.33333)</f>
        <v>3.7774620137200814</v>
      </c>
      <c r="EW162" s="107">
        <f>IF(SeilBeregnet=0,EW161,((Loa+Lwl)/Bredde/6)^EW$3)</f>
        <v>1.0573712634405641</v>
      </c>
      <c r="EX162" s="107">
        <f>IF(SeilBeregnet=0,EX161,(Lwl*0.7+Loa*0.3)^EX$3)</f>
        <v>1.7936392024119796</v>
      </c>
      <c r="EY162" s="107">
        <f t="shared" si="1213"/>
        <v>1.2053968902698857</v>
      </c>
      <c r="FA162" s="107">
        <f t="shared" si="1214"/>
        <v>1.9986224412172802</v>
      </c>
      <c r="FB162" s="107">
        <f>IF(SeilBeregnet=0,FB161,SeilBeregnet^0.5/Depl^0.3333)</f>
        <v>3.7777569720778161</v>
      </c>
      <c r="FC162" s="107">
        <f>IF(SeilBeregnet=0,FC161,((Loa+Lwl)/Bredde/6)^FC$3)</f>
        <v>1.0573712634405641</v>
      </c>
      <c r="FD162" s="107">
        <f>IF(SeilBeregnet=0,FD161,(Lwl*0.7+Loa*0.3)^FD$3)</f>
        <v>1.7936392024119796</v>
      </c>
      <c r="FE162" s="107">
        <f t="shared" si="1215"/>
        <v>1.3182576181298682</v>
      </c>
      <c r="FF162" s="141" t="str">
        <f t="shared" si="1436"/>
        <v>-</v>
      </c>
      <c r="FG162" s="107">
        <f t="shared" si="1217"/>
        <v>4.2236606960198859</v>
      </c>
      <c r="FH162" s="133">
        <f>IF(SeilBeregnet=0,FH161,(SeilBeregnet^0.5/(Depl^0.3333))^FH$3)</f>
        <v>3.7777569720778161</v>
      </c>
      <c r="FI162" s="133">
        <f>IF(SeilBeregnet=0,FI161,((Loa+Lwl)/Bredde/6)^FI$3)</f>
        <v>1.1180339887498949</v>
      </c>
      <c r="FJ162" s="107">
        <f>IF(SeilBeregnet=0,FJ161,(Lwl*0.07+Loa*0.03)^FJ$3)</f>
        <v>1.0086374459977134</v>
      </c>
      <c r="FK162" s="107">
        <f t="shared" si="1218"/>
        <v>1.3188124466515119</v>
      </c>
      <c r="FL162" s="141" t="str">
        <f t="shared" si="1437"/>
        <v>-</v>
      </c>
      <c r="FM162" s="107">
        <f t="shared" si="1220"/>
        <v>6.3984598410494069</v>
      </c>
      <c r="FN162" s="133">
        <f>IF(SeilBeregnet=0,FN161,(SeilBeregnet^0.5/(Depl^0.3333))^FN$3)</f>
        <v>3.7777569720778161</v>
      </c>
      <c r="FO162" s="133">
        <f>IF(SeilBeregnet=0,FO161,(SeilBeregnet^0.5/Lwl*FO$7)^FO$3)</f>
        <v>0.99938252541194927</v>
      </c>
      <c r="FP162" s="133">
        <f>IF(SeilBeregnet=0,FP161,((Loa)/Bredde)^FP$3*FP$7)</f>
        <v>2.1213203435596424</v>
      </c>
      <c r="FQ162" s="107">
        <f>IF(SeilBeregnet=0,FQ161,(Lwl)^FQ$3)</f>
        <v>1.7320508075688774</v>
      </c>
      <c r="FR162" s="107">
        <f t="shared" si="1221"/>
        <v>1.3317483943055286</v>
      </c>
      <c r="FS162" s="141" t="str">
        <f t="shared" si="1438"/>
        <v>-</v>
      </c>
      <c r="FT162" s="107">
        <f t="shared" si="1223"/>
        <v>8.0138327178929476</v>
      </c>
      <c r="FU162" s="133">
        <f>IF(SeilBeregnet=0,FU161,(SeilBeregnet^0.5/(Depl^0.3333))^FU$3)</f>
        <v>3.7777569720778161</v>
      </c>
      <c r="FV162" s="133">
        <f>IF(SeilBeregnet=0,FV161,(Loa/Bredde)^FV$3)</f>
        <v>2.1213203435596424</v>
      </c>
      <c r="FW162" s="107">
        <f>IF(SeilBeregnet=0,FW161,Lwl^FW$3)</f>
        <v>1.7320508075688774</v>
      </c>
      <c r="FY162" s="336">
        <v>1</v>
      </c>
      <c r="FZ162" s="62">
        <f t="shared" si="1452"/>
        <v>1.3041659340178453</v>
      </c>
      <c r="GA162" s="62">
        <f t="shared" si="1378"/>
        <v>2.1516574145596761</v>
      </c>
      <c r="GB162" s="107">
        <f t="shared" si="798"/>
        <v>1.4656162018336127</v>
      </c>
      <c r="GC162" s="440"/>
      <c r="GD162" s="17"/>
      <c r="GE162" s="442"/>
      <c r="GF162" s="462"/>
      <c r="GG162" s="17"/>
      <c r="GH162" s="17"/>
      <c r="GI162" s="17"/>
      <c r="GJ162" s="17"/>
      <c r="GL162" s="17"/>
      <c r="GM162" s="442"/>
      <c r="GN162" s="8"/>
      <c r="GO162" s="8"/>
      <c r="GP162" s="8"/>
      <c r="GQ162" s="8"/>
      <c r="GS162" s="17"/>
      <c r="GT162" s="17"/>
      <c r="GU162" s="17"/>
      <c r="GV162" s="629"/>
      <c r="GW162" s="17"/>
      <c r="GX162" s="17"/>
      <c r="GY162" s="17"/>
      <c r="GZ162" s="17"/>
    </row>
    <row r="163" spans="1:208" ht="15.6" x14ac:dyDescent="0.3">
      <c r="A163" s="60"/>
      <c r="B163" s="218"/>
      <c r="C163" s="61" t="str">
        <f t="shared" ref="C163" si="1485">C162</f>
        <v>Bermuda</v>
      </c>
      <c r="D163" s="61"/>
      <c r="E163" s="61"/>
      <c r="F163" s="61"/>
      <c r="G163" s="54"/>
      <c r="H163" s="204" t="e">
        <f>IF(StH=0,0,TBFavrundet)</f>
        <v>#VALUE!</v>
      </c>
      <c r="I163" s="63">
        <f>COUNTA(O163:AG163)</f>
        <v>0</v>
      </c>
      <c r="J163" s="222">
        <f>SUM(O163:AG163)</f>
        <v>0</v>
      </c>
      <c r="K163" s="116">
        <f>Seilareal/Depl^0.667/K$7</f>
        <v>0</v>
      </c>
      <c r="L163" s="116">
        <f>Seilareal/Lwl/Lwl/L$7</f>
        <v>0</v>
      </c>
      <c r="M163" s="92" t="e">
        <f>RiggF</f>
        <v>#DIV/0!</v>
      </c>
      <c r="N163" s="242" t="str">
        <f>StHfaktor</f>
        <v>-</v>
      </c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551"/>
      <c r="AH163" s="557">
        <f t="shared" ref="AH163:AI163" si="1486">AH162</f>
        <v>15</v>
      </c>
      <c r="AI163" s="557">
        <f t="shared" si="1486"/>
        <v>15</v>
      </c>
      <c r="AJ163" s="337">
        <f t="shared" ref="AJ163" si="1487" xml:space="preserve"> AJ162</f>
        <v>0</v>
      </c>
      <c r="AK163" s="339"/>
      <c r="AL163" s="337">
        <f t="shared" ref="AL163" si="1488" xml:space="preserve"> AL162</f>
        <v>0</v>
      </c>
      <c r="AM163" s="339"/>
      <c r="AN163" s="267" t="str">
        <f t="shared" si="1478"/>
        <v>Meter</v>
      </c>
      <c r="AO163" s="45">
        <f>VLOOKUP(AN163,Skrogform!$1:$1048576,3,FALSE)</f>
        <v>1</v>
      </c>
      <c r="AP163" s="64">
        <f t="shared" ref="AP163:BB163" si="1489">AP162</f>
        <v>13.5</v>
      </c>
      <c r="AQ163" s="64">
        <f t="shared" si="1489"/>
        <v>9</v>
      </c>
      <c r="AR163" s="64">
        <f t="shared" si="1489"/>
        <v>3</v>
      </c>
      <c r="AS163" s="64">
        <f t="shared" si="1489"/>
        <v>2.5</v>
      </c>
      <c r="AT163" s="64">
        <f t="shared" ref="AT163" si="1490">AT162</f>
        <v>0</v>
      </c>
      <c r="AU163" s="64">
        <f t="shared" si="1489"/>
        <v>13.5</v>
      </c>
      <c r="AV163" s="64">
        <f t="shared" si="1489"/>
        <v>0</v>
      </c>
      <c r="AW163" s="64">
        <f t="shared" si="1489"/>
        <v>0</v>
      </c>
      <c r="AX163" s="256">
        <f>AX162</f>
        <v>0</v>
      </c>
      <c r="AY163" s="256">
        <f t="shared" si="1489"/>
        <v>0</v>
      </c>
      <c r="AZ163" s="256">
        <f t="shared" si="1489"/>
        <v>0</v>
      </c>
      <c r="BA163" s="256">
        <f t="shared" si="1489"/>
        <v>0</v>
      </c>
      <c r="BB163" s="256">
        <f t="shared" si="1489"/>
        <v>0</v>
      </c>
      <c r="BC163" s="256"/>
      <c r="BD163" s="66"/>
      <c r="BE163" s="66"/>
      <c r="BF163" s="261"/>
      <c r="BG163" s="66"/>
      <c r="BH163" s="175"/>
      <c r="BI163" s="66"/>
      <c r="BJ163" s="66"/>
      <c r="BK163" s="65">
        <f t="shared" ref="BK163:BM163" si="1491" xml:space="preserve"> BK162</f>
        <v>0</v>
      </c>
      <c r="BL163" s="267">
        <f t="shared" si="1491"/>
        <v>0</v>
      </c>
      <c r="BM163" s="267">
        <f t="shared" si="1491"/>
        <v>0</v>
      </c>
      <c r="BN163" s="45">
        <f t="shared" si="1197"/>
        <v>1</v>
      </c>
      <c r="BO163" s="59"/>
      <c r="BP163" s="59"/>
      <c r="BR163" s="49">
        <f t="shared" si="1482"/>
        <v>0</v>
      </c>
      <c r="BS163" s="49">
        <f t="shared" si="1482"/>
        <v>0</v>
      </c>
      <c r="BT163" s="49">
        <f t="shared" si="1482"/>
        <v>0</v>
      </c>
      <c r="BU163" s="49">
        <f t="shared" si="1482"/>
        <v>0</v>
      </c>
      <c r="BV163" s="49">
        <f t="shared" si="1482"/>
        <v>0</v>
      </c>
      <c r="BW163" s="49">
        <f t="shared" si="1482"/>
        <v>0</v>
      </c>
      <c r="BX163" s="49">
        <f t="shared" si="1482"/>
        <v>0</v>
      </c>
      <c r="BY163" s="549">
        <f>IF(COUNT(Q163:U163)&gt;1,MINA(Q163:U163)*BY$9,0)</f>
        <v>0</v>
      </c>
      <c r="BZ163" s="85">
        <f t="shared" si="1483"/>
        <v>0</v>
      </c>
      <c r="CA163" s="85">
        <f t="shared" si="1483"/>
        <v>0</v>
      </c>
      <c r="CB163" s="85">
        <f t="shared" si="1483"/>
        <v>0</v>
      </c>
      <c r="CC163" s="85">
        <f t="shared" si="1483"/>
        <v>0</v>
      </c>
      <c r="CD163" s="85">
        <f t="shared" si="1483"/>
        <v>0</v>
      </c>
      <c r="CE163" s="85">
        <f>IF(AC163=0,0,AC163*CE$9)</f>
        <v>0</v>
      </c>
      <c r="CF163" s="85">
        <f>IF(AA163=0,0,AA163*CF$9)</f>
        <v>0</v>
      </c>
      <c r="CG163" s="85">
        <f>IF(AB163=0,0,AB163*CG$9)</f>
        <v>0</v>
      </c>
      <c r="CH163" s="85">
        <f t="shared" si="1484"/>
        <v>0</v>
      </c>
      <c r="CI163" s="85">
        <f t="shared" si="1484"/>
        <v>0</v>
      </c>
      <c r="CJ163" s="85">
        <f t="shared" si="1484"/>
        <v>0</v>
      </c>
      <c r="CK163" s="85">
        <f t="shared" si="1484"/>
        <v>0</v>
      </c>
      <c r="CL163" s="100">
        <f>SUM(BR163:CK163)</f>
        <v>0</v>
      </c>
      <c r="CM163" s="50"/>
      <c r="CN163" s="104">
        <f>J163</f>
        <v>0</v>
      </c>
      <c r="CO163" s="101" t="e">
        <f>CL163/CN163</f>
        <v>#DIV/0!</v>
      </c>
      <c r="CP163" s="51">
        <f>Seilareal/Lwl/Lwl</f>
        <v>0</v>
      </c>
      <c r="CQ163" s="116">
        <f>Seilareal/Depl^0.667/K$7</f>
        <v>0</v>
      </c>
      <c r="CR163" s="51">
        <f>Seilareal/Lwl/Lwl/SApRS1</f>
        <v>0</v>
      </c>
      <c r="CS163" s="204"/>
      <c r="CT163" s="204" t="e">
        <f>(ROUND(TBF/CT$6,3)*CT$6)*CT$4</f>
        <v>#VALUE!</v>
      </c>
      <c r="CU163" s="107" t="str">
        <f t="shared" si="83"/>
        <v>-</v>
      </c>
      <c r="CV163" s="62" t="str">
        <f t="shared" si="789"/>
        <v>-</v>
      </c>
      <c r="CW163" s="62" t="str">
        <f t="shared" si="84"/>
        <v>-</v>
      </c>
      <c r="CX163" s="62" t="str">
        <f t="shared" si="790"/>
        <v>-</v>
      </c>
      <c r="CY163" s="107" t="str">
        <f t="shared" si="85"/>
        <v>-</v>
      </c>
      <c r="CZ163" s="168" t="str">
        <f t="shared" si="1450"/>
        <v>-</v>
      </c>
      <c r="DA163" s="158"/>
      <c r="DB163" s="168" t="str">
        <f t="shared" si="1451"/>
        <v>-</v>
      </c>
      <c r="DC163" s="160"/>
      <c r="DD163" s="190" t="s">
        <v>134</v>
      </c>
      <c r="DE163" s="62" t="s">
        <v>102</v>
      </c>
      <c r="DF163" s="62" t="s">
        <v>102</v>
      </c>
      <c r="DG163" s="62" t="s">
        <v>102</v>
      </c>
      <c r="DH163" s="150" t="s">
        <v>102</v>
      </c>
      <c r="DI163" s="62" t="str">
        <f t="shared" si="1374"/>
        <v>-</v>
      </c>
      <c r="DJ163" s="47">
        <f t="shared" si="1375"/>
        <v>19.230769230769234</v>
      </c>
      <c r="DK163" s="48">
        <f t="shared" si="1428"/>
        <v>0</v>
      </c>
      <c r="DM163" s="107" t="str">
        <f t="shared" si="1201"/>
        <v>-</v>
      </c>
      <c r="DN163" s="141" t="str">
        <f t="shared" si="1429"/>
        <v>-</v>
      </c>
      <c r="DO163" s="107">
        <f t="shared" si="1430"/>
        <v>5.8990773156374585</v>
      </c>
      <c r="DP163" s="133">
        <f>IF(SeilBeregnet=0,DP162,(SeilBeregnet^0.5/(Depl^0.3333))^DP$3*DP$7)</f>
        <v>3.7777569720778161</v>
      </c>
      <c r="DQ163" s="133">
        <f>IF(SeilBeregnet=0,DQ162,(SeilBeregnet^0.5/Lwl)^DQ$3*DQ$7)</f>
        <v>0</v>
      </c>
      <c r="DR163" s="133">
        <f>IF(SeilBeregnet=0,DR162,(0.1*Loa/Depl^0.3333)^DR$3*DR$7)</f>
        <v>0</v>
      </c>
      <c r="DS163" s="133">
        <f>IF(SeilBeregnet=0,DS162,((Loa)/Bredde)^DS$3*DS$7)</f>
        <v>2.1213203435596424</v>
      </c>
      <c r="DT163" s="107">
        <f>IF(SeilBeregnet=0,DT162,(Lwl)^DT$3)</f>
        <v>1.7320508075688774</v>
      </c>
      <c r="DU163" s="133">
        <f>IF(SeilBeregnet=0,DU162,(Dypg/Loa)^DU$3*5*DU$7)</f>
        <v>2.1516574145596761</v>
      </c>
      <c r="DW163" s="107" t="str">
        <f t="shared" si="1241"/>
        <v>-</v>
      </c>
      <c r="DX163" s="107" t="str">
        <f t="shared" si="1376"/>
        <v>-</v>
      </c>
      <c r="DZ163" s="107" t="str">
        <f t="shared" si="1377"/>
        <v>-</v>
      </c>
      <c r="EA163" s="122" t="str">
        <f t="shared" si="1431"/>
        <v>-</v>
      </c>
      <c r="EB163" s="107" t="str">
        <f t="shared" si="1432"/>
        <v>-</v>
      </c>
      <c r="EC163" s="122" t="str">
        <f t="shared" si="1433"/>
        <v>-</v>
      </c>
      <c r="ED163" s="107">
        <f>IF(SeilBeregnet=0,ED162,SeilBeregnet^0.5/Depl^0.33333)</f>
        <v>3.7774620137200814</v>
      </c>
      <c r="EE163" s="107">
        <f>IF(SeilBeregnet=0,EE162,Lwl^0.3333)</f>
        <v>2.0799314815874812</v>
      </c>
      <c r="EF163" s="107">
        <f>IF(SeilBeregnet=0,EF162,((Loa+Lwl)/Bredde)^EF$3)</f>
        <v>1.6548754598234365</v>
      </c>
      <c r="EH163" s="107" t="str">
        <f t="shared" si="1434"/>
        <v>-</v>
      </c>
      <c r="EJ163" s="107">
        <f>IF(SeilBeregnet=0,EJ162,SeilBeregnet^0.5/Depl^0.33333)</f>
        <v>3.7774620137200814</v>
      </c>
      <c r="EK163" s="107">
        <f>IF(SeilBeregnet=0,EK162,Lwl^EK$3)</f>
        <v>2.0800685884033645</v>
      </c>
      <c r="EL163" s="107">
        <f>IF(SeilBeregnet=0,EL162,((Loa+Lwl)/Bredde)^EL$3)</f>
        <v>1.9573023570219998</v>
      </c>
      <c r="EM163" s="107" t="str">
        <f t="shared" si="1435"/>
        <v>-</v>
      </c>
      <c r="EO163" s="107">
        <f>IF(SeilBeregnet=0,EO162,(EP163*EQ163)^EO$3)</f>
        <v>6.2512291869205843</v>
      </c>
      <c r="EP163" s="107">
        <f>IF(SeilBeregnet=0,EP162,SeilBeregnet^0.5/Depl^0.33333)</f>
        <v>3.7774620137200814</v>
      </c>
      <c r="EQ163" s="107">
        <f>IF(SeilBeregnet=0,EQ162,((Loa+Lwl)/Bredde)^EQ$3)</f>
        <v>1.6548754598234365</v>
      </c>
      <c r="ER163" s="107">
        <f>IF(SeilBeregnet=0,ER162,Lwl^ER$3)</f>
        <v>1.7320508075688774</v>
      </c>
      <c r="ES163" s="107" t="str">
        <f t="shared" si="1212"/>
        <v>-</v>
      </c>
      <c r="EU163" s="107">
        <f>IF(SeilBeregnet=0,EU162,(EV:EV*EW:EW)^EU$3)</f>
        <v>1.9985444158301662</v>
      </c>
      <c r="EV163" s="107">
        <f>IF(SeilBeregnet=0,EV162,SeilBeregnet^0.5/Depl^0.33333)</f>
        <v>3.7774620137200814</v>
      </c>
      <c r="EW163" s="107">
        <f>IF(SeilBeregnet=0,EW162,((Loa+Lwl)/Bredde/6)^EW$3)</f>
        <v>1.0573712634405641</v>
      </c>
      <c r="EX163" s="107">
        <f>IF(SeilBeregnet=0,EX162,(Lwl*0.7+Loa*0.3)^EX$3)</f>
        <v>1.7936392024119796</v>
      </c>
      <c r="EY163" s="107" t="str">
        <f t="shared" si="1213"/>
        <v>-</v>
      </c>
      <c r="FA163" s="107">
        <f t="shared" si="1214"/>
        <v>1.9986224412172802</v>
      </c>
      <c r="FB163" s="107">
        <f>IF(SeilBeregnet=0,FB162,SeilBeregnet^0.5/Depl^0.3333)</f>
        <v>3.7777569720778161</v>
      </c>
      <c r="FC163" s="107">
        <f>IF(SeilBeregnet=0,FC162,((Loa+Lwl)/Bredde/6)^FC$3)</f>
        <v>1.0573712634405641</v>
      </c>
      <c r="FD163" s="107">
        <f>IF(SeilBeregnet=0,FD162,(Lwl*0.7+Loa*0.3)^FD$3)</f>
        <v>1.7936392024119796</v>
      </c>
      <c r="FE163" s="107" t="str">
        <f t="shared" si="1215"/>
        <v>-</v>
      </c>
      <c r="FF163" s="141" t="str">
        <f t="shared" si="1436"/>
        <v>-</v>
      </c>
      <c r="FG163" s="107">
        <f t="shared" si="1217"/>
        <v>4.2236606960198859</v>
      </c>
      <c r="FH163" s="133">
        <f>IF(SeilBeregnet=0,FH162,(SeilBeregnet^0.5/(Depl^0.3333))^FH$3)</f>
        <v>3.7777569720778161</v>
      </c>
      <c r="FI163" s="133">
        <f>IF(SeilBeregnet=0,FI162,((Loa+Lwl)/Bredde/6)^FI$3)</f>
        <v>1.1180339887498949</v>
      </c>
      <c r="FJ163" s="107">
        <f>IF(SeilBeregnet=0,FJ162,(Lwl*0.07+Loa*0.03)^FJ$3)</f>
        <v>1.0086374459977134</v>
      </c>
      <c r="FK163" s="107" t="str">
        <f t="shared" si="1218"/>
        <v>-</v>
      </c>
      <c r="FL163" s="141" t="str">
        <f t="shared" si="1437"/>
        <v>-</v>
      </c>
      <c r="FM163" s="107">
        <f t="shared" si="1220"/>
        <v>6.3984598410494069</v>
      </c>
      <c r="FN163" s="133">
        <f>IF(SeilBeregnet=0,FN162,(SeilBeregnet^0.5/(Depl^0.3333))^FN$3)</f>
        <v>3.7777569720778161</v>
      </c>
      <c r="FO163" s="133">
        <f>IF(SeilBeregnet=0,FO162,(SeilBeregnet^0.5/Lwl*FO$7)^FO$3)</f>
        <v>0.99938252541194927</v>
      </c>
      <c r="FP163" s="133">
        <f>IF(SeilBeregnet=0,FP162,((Loa)/Bredde)^FP$3*FP$7)</f>
        <v>2.1213203435596424</v>
      </c>
      <c r="FQ163" s="107">
        <f>IF(SeilBeregnet=0,FQ162,(Lwl)^FQ$3)</f>
        <v>1.7320508075688774</v>
      </c>
      <c r="FR163" s="107" t="str">
        <f t="shared" si="1221"/>
        <v>-</v>
      </c>
      <c r="FS163" s="141" t="str">
        <f t="shared" si="1438"/>
        <v>-</v>
      </c>
      <c r="FT163" s="107">
        <f t="shared" si="1223"/>
        <v>8.0138327178929476</v>
      </c>
      <c r="FU163" s="133">
        <f>IF(SeilBeregnet=0,FU162,(SeilBeregnet^0.5/(Depl^0.3333))^FU$3)</f>
        <v>3.7777569720778161</v>
      </c>
      <c r="FV163" s="133">
        <f>IF(SeilBeregnet=0,FV162,(Loa/Bredde)^FV$3)</f>
        <v>2.1213203435596424</v>
      </c>
      <c r="FW163" s="107">
        <f>IF(SeilBeregnet=0,FW162,Lwl^FW$3)</f>
        <v>1.7320508075688774</v>
      </c>
      <c r="FY163" s="336">
        <v>1</v>
      </c>
      <c r="FZ163" s="62" t="str">
        <f t="shared" si="1452"/>
        <v>-</v>
      </c>
      <c r="GA163" s="62">
        <f t="shared" si="1378"/>
        <v>2.1516574145596761</v>
      </c>
      <c r="GB163" s="107" t="str">
        <f t="shared" si="798"/>
        <v>-</v>
      </c>
      <c r="GC163" s="440"/>
      <c r="GD163" s="17"/>
      <c r="GE163" s="442"/>
      <c r="GF163" s="462"/>
      <c r="GG163" s="17"/>
      <c r="GH163" s="17"/>
      <c r="GI163" s="17"/>
      <c r="GJ163" s="17"/>
      <c r="GL163" s="17"/>
      <c r="GM163" s="442"/>
      <c r="GN163" s="8"/>
      <c r="GO163" s="8"/>
      <c r="GP163" s="8"/>
      <c r="GQ163" s="8"/>
      <c r="GS163" s="17"/>
      <c r="GT163" s="17"/>
      <c r="GU163" s="17"/>
      <c r="GV163" s="629"/>
      <c r="GW163" s="17"/>
      <c r="GX163" s="17"/>
      <c r="GY163" s="17"/>
      <c r="GZ163" s="17"/>
    </row>
    <row r="164" spans="1:208" ht="15.6" x14ac:dyDescent="0.3">
      <c r="A164" s="52" t="s">
        <v>262</v>
      </c>
      <c r="B164" s="218">
        <f t="shared" si="10"/>
        <v>61.745406824146983</v>
      </c>
      <c r="C164" s="53" t="s">
        <v>19</v>
      </c>
      <c r="D164" s="53"/>
      <c r="E164" s="53"/>
      <c r="F164" s="53"/>
      <c r="G164" s="54"/>
      <c r="H164" s="112">
        <f>J165</f>
        <v>0</v>
      </c>
      <c r="I164" s="601">
        <f>H165/100</f>
        <v>0</v>
      </c>
      <c r="J164" s="651">
        <f>IF(DC165=0,"-",DC165)</f>
        <v>1.47</v>
      </c>
      <c r="K164" s="123" t="str">
        <f>A164</f>
        <v>Cintra</v>
      </c>
      <c r="L164" s="116"/>
      <c r="M164" s="116"/>
      <c r="N164" s="92"/>
      <c r="O164" s="165"/>
      <c r="P164" s="165"/>
      <c r="Q164" s="165"/>
      <c r="R164" s="165"/>
      <c r="S164" s="165"/>
      <c r="T164" s="165"/>
      <c r="U164" s="165"/>
      <c r="V164" s="559"/>
      <c r="W164" s="559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552"/>
      <c r="AH164" s="244"/>
      <c r="AI164" s="244"/>
      <c r="AJ164" s="554"/>
      <c r="AK164" s="339"/>
      <c r="AL164" s="268"/>
      <c r="AM164" s="339"/>
      <c r="AN164" s="268" t="s">
        <v>214</v>
      </c>
      <c r="AO164" s="45">
        <f>VLOOKUP(AN164,Skrogform!$1:$1048576,3,FALSE)</f>
        <v>1</v>
      </c>
      <c r="AP164" s="55">
        <v>18.82</v>
      </c>
      <c r="AQ164" s="55">
        <v>11.96</v>
      </c>
      <c r="AR164" s="55">
        <v>3.36</v>
      </c>
      <c r="AS164" s="55">
        <v>2.6</v>
      </c>
      <c r="AT164" s="637">
        <f>AU164</f>
        <v>22</v>
      </c>
      <c r="AU164" s="55">
        <v>22</v>
      </c>
      <c r="AV164" s="55">
        <v>10</v>
      </c>
      <c r="AW164" s="55"/>
      <c r="AX164" s="253"/>
      <c r="AY164" s="253"/>
      <c r="AZ164" s="254">
        <f>AY164*7</f>
        <v>0</v>
      </c>
      <c r="BA164" s="253"/>
      <c r="BB164" s="253"/>
      <c r="BC164" s="244">
        <f>Depl+Diesel/1000*0.84+Vann/1000</f>
        <v>22</v>
      </c>
      <c r="BD164" s="95">
        <f>Bredde/(Loa+Lwl)*2</f>
        <v>0.21832358674463936</v>
      </c>
      <c r="BE164" s="95">
        <f>(Kjøl+Ballast)/Depl</f>
        <v>0.45454545454545453</v>
      </c>
      <c r="BF164" s="260">
        <f>BF$7*((Depl-Kjøl-Ballast-VektMotor/1000-VektAnnet/1000)/Lwl/Lwl/Bredde)</f>
        <v>0.94223500155061324</v>
      </c>
      <c r="BG164" s="95">
        <f>BG$7*(Depl/Loa/Lwl/Lwl)</f>
        <v>0.60138824859861661</v>
      </c>
      <c r="BH164" s="174">
        <f>BH$7*(Depl/Loa/Lwl/Bredde)</f>
        <v>0.79125989045261447</v>
      </c>
      <c r="BI164" s="95">
        <f>BI$7*Bredde/(Loa+Lwl)*2</f>
        <v>0.62280911358443891</v>
      </c>
      <c r="BJ164" s="95">
        <f>BJ$7*(Dypg/Lwl)</f>
        <v>1.1890359168241966</v>
      </c>
      <c r="BK164" s="56"/>
      <c r="BL164" s="268"/>
      <c r="BM164" s="268"/>
      <c r="BN164" s="45">
        <f t="shared" si="1197"/>
        <v>1</v>
      </c>
      <c r="BO164" s="59"/>
      <c r="BP164" s="59"/>
      <c r="BR164" s="209"/>
      <c r="BS164" s="209"/>
      <c r="BT164" s="209" t="str">
        <f>$A164</f>
        <v>Cintra</v>
      </c>
      <c r="BU164" s="10"/>
      <c r="BV164" s="10"/>
      <c r="BW164" s="10"/>
      <c r="BX164" s="10"/>
      <c r="BY164" s="549"/>
      <c r="BZ164" s="10"/>
      <c r="CA164" s="10"/>
      <c r="CB164" s="209" t="str">
        <f>$A164</f>
        <v>Cintra</v>
      </c>
      <c r="CC164" s="10"/>
      <c r="CD164" s="10"/>
      <c r="CE164" s="10"/>
      <c r="CF164" s="10"/>
      <c r="CG164" s="10"/>
      <c r="CH164" s="10"/>
      <c r="CI164" s="10"/>
      <c r="CJ164" s="10"/>
      <c r="CK164" s="10"/>
      <c r="CL164" s="209"/>
      <c r="CM164" s="10"/>
      <c r="CN164" s="209" t="str">
        <f>$A164</f>
        <v>Cintra</v>
      </c>
      <c r="CO164" s="207"/>
      <c r="CP164" s="207"/>
      <c r="CQ164" s="116"/>
      <c r="CR164" s="207"/>
      <c r="CS164" s="203"/>
      <c r="CT164" s="203" t="s">
        <v>23</v>
      </c>
      <c r="CU164" s="107" t="str">
        <f t="shared" si="83"/>
        <v>-</v>
      </c>
      <c r="CV164" s="62" t="str">
        <f t="shared" si="789"/>
        <v>-</v>
      </c>
      <c r="CW164" s="62" t="str">
        <f t="shared" si="84"/>
        <v>-</v>
      </c>
      <c r="CX164" s="62" t="str">
        <f t="shared" si="790"/>
        <v>-</v>
      </c>
      <c r="CY164" s="107" t="str">
        <f t="shared" si="85"/>
        <v>-</v>
      </c>
      <c r="CZ164" s="168" t="str">
        <f t="shared" si="1450"/>
        <v>-</v>
      </c>
      <c r="DA164" s="158"/>
      <c r="DB164" s="168" t="str">
        <f t="shared" si="1451"/>
        <v>-</v>
      </c>
      <c r="DC164" s="160">
        <v>1.47</v>
      </c>
      <c r="DD164" s="190" t="s">
        <v>134</v>
      </c>
      <c r="DE164" s="29" t="s">
        <v>23</v>
      </c>
      <c r="DF164" s="29" t="s">
        <v>23</v>
      </c>
      <c r="DG164" s="29" t="s">
        <v>23</v>
      </c>
      <c r="DH164" s="149">
        <v>2022</v>
      </c>
      <c r="DI164" s="62" t="str">
        <f t="shared" si="1374"/>
        <v>-</v>
      </c>
      <c r="DJ164" s="47">
        <f t="shared" si="1375"/>
        <v>15.931372549019606</v>
      </c>
      <c r="DK164" s="48">
        <f t="shared" si="1428"/>
        <v>0</v>
      </c>
      <c r="DM164" s="107" t="str">
        <f t="shared" si="1201"/>
        <v>-</v>
      </c>
      <c r="DN164" s="141" t="str">
        <f t="shared" si="1429"/>
        <v>-</v>
      </c>
      <c r="DO164" s="107">
        <f t="shared" si="1430"/>
        <v>4.8251732779443195</v>
      </c>
      <c r="DP164" s="133">
        <f>IF(SeilBeregnet=0,DP80,(SeilBeregnet^0.5/(Depl^0.3333))^DP$3*DP$7)</f>
        <v>3.0481266446670419</v>
      </c>
      <c r="DQ164" s="133">
        <f>IF(SeilBeregnet=0,DQ80,(SeilBeregnet^0.5/Lwl)^DQ$3*DQ$7)</f>
        <v>0</v>
      </c>
      <c r="DR164" s="133">
        <f>IF(SeilBeregnet=0,DR80,(0.1*Loa/Depl^0.3333)^DR$3*DR$7)</f>
        <v>0</v>
      </c>
      <c r="DS164" s="133">
        <f>IF(SeilBeregnet=0,DS80,((Loa)/Bredde)^DS$3*DS$7)</f>
        <v>1.7770466332772772</v>
      </c>
      <c r="DT164" s="107">
        <f>IF(SeilBeregnet=0,DT80,(Lwl)^DT$3)</f>
        <v>1.8334522799337654</v>
      </c>
      <c r="DU164" s="133">
        <f>IF(SeilBeregnet=0,DU80,(Dypg/Loa)^DU$3*5*DU$7)</f>
        <v>2.0916500663351889</v>
      </c>
      <c r="DW164" s="107" t="str">
        <f t="shared" si="1241"/>
        <v>-</v>
      </c>
      <c r="DX164" s="107" t="str">
        <f t="shared" si="1376"/>
        <v>-</v>
      </c>
      <c r="DZ164" s="107" t="str">
        <f t="shared" si="1377"/>
        <v>-</v>
      </c>
      <c r="EA164" s="122" t="str">
        <f t="shared" si="1431"/>
        <v>-</v>
      </c>
      <c r="EB164" s="107" t="str">
        <f t="shared" si="1432"/>
        <v>-</v>
      </c>
      <c r="EC164" s="122" t="str">
        <f t="shared" si="1433"/>
        <v>-</v>
      </c>
      <c r="ED164" s="107">
        <f>IF(SeilBeregnet=0,ED80,SeilBeregnet^0.5/Depl^0.33333)</f>
        <v>3.0478790203266728</v>
      </c>
      <c r="EE164" s="107">
        <f>IF(SeilBeregnet=0,EE80,Lwl^0.3333)</f>
        <v>2.2438356573015867</v>
      </c>
      <c r="EF164" s="107">
        <f>IF(SeilBeregnet=0,EF80,((Loa+Lwl)/Bredde)^EF$3)</f>
        <v>1.5735954135403782</v>
      </c>
      <c r="EH164" s="107" t="str">
        <f t="shared" si="1434"/>
        <v>-</v>
      </c>
      <c r="EJ164" s="107">
        <f>IF(SeilBeregnet=0,EJ80,SeilBeregnet^0.5/Depl^0.33333)</f>
        <v>3.0478790203266728</v>
      </c>
      <c r="EK164" s="107">
        <f>IF(SeilBeregnet=0,EK80,Lwl^EK$3)</f>
        <v>2.2439988890031217</v>
      </c>
      <c r="EL164" s="107">
        <f>IF(SeilBeregnet=0,EL80,((Loa+Lwl)/Bredde)^EL$3)</f>
        <v>1.830197069920783</v>
      </c>
      <c r="EM164" s="107" t="str">
        <f t="shared" si="1435"/>
        <v>-</v>
      </c>
      <c r="EO164" s="107">
        <f>IF(SeilBeregnet=0,EO80,(EP164*EQ164)^EO$3)</f>
        <v>4.7961284474119932</v>
      </c>
      <c r="EP164" s="107">
        <f>IF(SeilBeregnet=0,EP80,SeilBeregnet^0.5/Depl^0.33333)</f>
        <v>3.0478790203266728</v>
      </c>
      <c r="EQ164" s="107">
        <f>IF(SeilBeregnet=0,EQ80,((Loa+Lwl)/Bredde)^EQ$3)</f>
        <v>1.5735954135403782</v>
      </c>
      <c r="ER164" s="107">
        <f>IF(SeilBeregnet=0,ER80,Lwl^ER$3)</f>
        <v>1.8334522799337654</v>
      </c>
      <c r="ES164" s="107" t="str">
        <f t="shared" si="1212"/>
        <v>-</v>
      </c>
      <c r="EU164" s="107">
        <f>IF(SeilBeregnet=0,EU80,(EV:EV*EW:EW)^EU$3)</f>
        <v>1.7505579677786378</v>
      </c>
      <c r="EV164" s="107">
        <f>IF(SeilBeregnet=0,EV80,SeilBeregnet^0.5/Depl^0.33333)</f>
        <v>3.0478790203266728</v>
      </c>
      <c r="EW164" s="107">
        <f>IF(SeilBeregnet=0,EW80,((Loa+Lwl)/Bredde/6)^EW$3)</f>
        <v>1.0054379383551861</v>
      </c>
      <c r="EX164" s="107">
        <f>IF(SeilBeregnet=0,EX80,(Lwl*0.7+Loa*0.3)^EX$3)</f>
        <v>1.8419118031918562</v>
      </c>
      <c r="EY164" s="107" t="str">
        <f t="shared" si="1213"/>
        <v>-</v>
      </c>
      <c r="FA164" s="107">
        <f t="shared" si="1214"/>
        <v>1.7506290782057579</v>
      </c>
      <c r="FB164" s="107">
        <f>IF(SeilBeregnet=0,FB80,SeilBeregnet^0.5/Depl^0.3333)</f>
        <v>3.0481266446670419</v>
      </c>
      <c r="FC164" s="107">
        <f>IF(SeilBeregnet=0,FC80,((Loa+Lwl)/Bredde/6)^FC$3)</f>
        <v>1.0054379383551861</v>
      </c>
      <c r="FD164" s="107">
        <f>IF(SeilBeregnet=0,FD80,(Lwl*0.7+Loa*0.3)^FD$3)</f>
        <v>1.8419118031918562</v>
      </c>
      <c r="FE164" s="107" t="str">
        <f t="shared" si="1215"/>
        <v>-</v>
      </c>
      <c r="FF164" s="141" t="str">
        <f t="shared" si="1436"/>
        <v>-</v>
      </c>
      <c r="FG164" s="107">
        <f t="shared" si="1217"/>
        <v>3.0813678309340684</v>
      </c>
      <c r="FH164" s="133">
        <f>IF(SeilBeregnet=0,FH80,(SeilBeregnet^0.5/(Depl^0.3333))^FH$3)</f>
        <v>3.0481266446670419</v>
      </c>
      <c r="FI164" s="133">
        <f>IF(SeilBeregnet=0,FI80,((Loa+Lwl)/Bredde/6)^FI$3)</f>
        <v>1.0109054478839272</v>
      </c>
      <c r="FJ164" s="107">
        <f>IF(SeilBeregnet=0,FJ80,(Lwl*0.07+Loa*0.03)^FJ$3)</f>
        <v>1.0357831242906539</v>
      </c>
      <c r="FK164" s="107" t="str">
        <f t="shared" si="1218"/>
        <v>-</v>
      </c>
      <c r="FL164" s="141" t="str">
        <f t="shared" si="1437"/>
        <v>-</v>
      </c>
      <c r="FM164" s="107">
        <f t="shared" si="1220"/>
        <v>4.9903633831820589</v>
      </c>
      <c r="FN164" s="133">
        <f>IF(SeilBeregnet=0,FN80,(SeilBeregnet^0.5/(Depl^0.3333))^FN$3)</f>
        <v>3.0481266446670419</v>
      </c>
      <c r="FO164" s="133">
        <f>IF(SeilBeregnet=0,FO80,(SeilBeregnet^0.5/Lwl*FO$7)^FO$3)</f>
        <v>0.66519010523773925</v>
      </c>
      <c r="FP164" s="133">
        <f>IF(SeilBeregnet=0,FP80,((Loa)/Bredde)^FP$3*FP$7)</f>
        <v>1.7770466332772772</v>
      </c>
      <c r="FQ164" s="107">
        <f>IF(SeilBeregnet=0,FQ80,(Lwl)^FQ$3)</f>
        <v>1.8334522799337654</v>
      </c>
      <c r="FR164" s="107" t="str">
        <f t="shared" si="1221"/>
        <v>-</v>
      </c>
      <c r="FS164" s="141" t="str">
        <f t="shared" si="1438"/>
        <v>-</v>
      </c>
      <c r="FT164" s="107">
        <f t="shared" si="1223"/>
        <v>5.4166631917083299</v>
      </c>
      <c r="FU164" s="133">
        <f>IF(SeilBeregnet=0,FU80,(SeilBeregnet^0.5/(Depl^0.3333))^FU$3)</f>
        <v>3.0481266446670419</v>
      </c>
      <c r="FV164" s="133">
        <f>IF(SeilBeregnet=0,FV80,(Loa/Bredde)^FV$3)</f>
        <v>1.7770466332772772</v>
      </c>
      <c r="FW164" s="107">
        <f>IF(SeilBeregnet=0,FW80,Lwl^FW$3)</f>
        <v>1.8334522799337654</v>
      </c>
      <c r="FX164" s="522">
        <v>1.47</v>
      </c>
      <c r="FY164" s="336">
        <v>1</v>
      </c>
      <c r="FZ164" s="62" t="str">
        <f t="shared" si="1452"/>
        <v>-</v>
      </c>
      <c r="GA164" s="62">
        <f t="shared" si="1378"/>
        <v>1.8584328296603005</v>
      </c>
      <c r="GB164" s="107" t="str">
        <f t="shared" si="798"/>
        <v>-</v>
      </c>
      <c r="GC164" s="441" t="s">
        <v>685</v>
      </c>
      <c r="GD164" s="57" t="s">
        <v>686</v>
      </c>
      <c r="GE164" s="436" t="s">
        <v>687</v>
      </c>
      <c r="GF164" s="496" t="s">
        <v>688</v>
      </c>
      <c r="GG164" s="57" t="s">
        <v>478</v>
      </c>
      <c r="GH164" s="57" t="s">
        <v>689</v>
      </c>
      <c r="GI164" s="57" t="s">
        <v>425</v>
      </c>
      <c r="GJ164" s="57" t="s">
        <v>690</v>
      </c>
      <c r="GL164" s="57" t="s">
        <v>478</v>
      </c>
      <c r="GM164" s="436" t="s">
        <v>478</v>
      </c>
      <c r="GN164" s="58" t="s">
        <v>478</v>
      </c>
      <c r="GO164" s="58" t="s">
        <v>478</v>
      </c>
      <c r="GP164" s="58" t="s">
        <v>478</v>
      </c>
      <c r="GQ164" s="58" t="s">
        <v>478</v>
      </c>
      <c r="GS164" s="57" t="s">
        <v>208</v>
      </c>
      <c r="GT164" s="57" t="s">
        <v>434</v>
      </c>
      <c r="GU164" s="57" t="s">
        <v>691</v>
      </c>
      <c r="GV164" s="632" t="s">
        <v>692</v>
      </c>
      <c r="GW164" s="57">
        <v>1909</v>
      </c>
      <c r="GX164" s="57" t="s">
        <v>431</v>
      </c>
      <c r="GY164" s="57" t="s">
        <v>438</v>
      </c>
      <c r="GZ164" s="57" t="s">
        <v>478</v>
      </c>
    </row>
    <row r="165" spans="1:208" ht="15.6" x14ac:dyDescent="0.3">
      <c r="A165" s="60"/>
      <c r="B165" s="218"/>
      <c r="C165" s="61" t="str">
        <f>C164</f>
        <v>Gaffel</v>
      </c>
      <c r="D165" s="61"/>
      <c r="E165" s="61"/>
      <c r="F165" s="61"/>
      <c r="G165" s="54"/>
      <c r="H165" s="204">
        <f>IF(StH=0,0,TBFavrundet)</f>
        <v>0</v>
      </c>
      <c r="I165" s="63">
        <f>COUNTA(O165:AG165)</f>
        <v>0</v>
      </c>
      <c r="J165" s="222">
        <f>SUM(O165:AG165)</f>
        <v>0</v>
      </c>
      <c r="K165" s="116">
        <f>Seilareal/Depl^0.667/K$7</f>
        <v>0</v>
      </c>
      <c r="L165" s="116">
        <f>Seilareal/Lwl/Lwl/L$7</f>
        <v>0</v>
      </c>
      <c r="M165" s="92" t="e">
        <f>RiggF</f>
        <v>#DIV/0!</v>
      </c>
      <c r="N165" s="242" t="str">
        <f>StHfaktor</f>
        <v>-</v>
      </c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551"/>
      <c r="AH165" s="557">
        <f t="shared" ref="AH165:AI165" si="1492">AH164</f>
        <v>0</v>
      </c>
      <c r="AI165" s="557">
        <f t="shared" si="1492"/>
        <v>0</v>
      </c>
      <c r="AJ165" s="337">
        <f t="shared" ref="AJ165:AL166" si="1493" xml:space="preserve"> AJ164</f>
        <v>0</v>
      </c>
      <c r="AK165" s="339"/>
      <c r="AL165" s="337">
        <f t="shared" si="1493"/>
        <v>0</v>
      </c>
      <c r="AM165" s="339"/>
      <c r="AN165" s="267" t="str">
        <f t="shared" ref="AN165:AN166" si="1494" xml:space="preserve"> AN164</f>
        <v>Meter</v>
      </c>
      <c r="AO165" s="45">
        <f>VLOOKUP(AN165,Skrogform!$1:$1048576,3,FALSE)</f>
        <v>1</v>
      </c>
      <c r="AP165" s="64">
        <f t="shared" ref="AP165:AZ165" si="1495">AP164</f>
        <v>18.82</v>
      </c>
      <c r="AQ165" s="64">
        <f t="shared" si="1495"/>
        <v>11.96</v>
      </c>
      <c r="AR165" s="64">
        <f t="shared" si="1495"/>
        <v>3.36</v>
      </c>
      <c r="AS165" s="64">
        <f t="shared" si="1495"/>
        <v>2.6</v>
      </c>
      <c r="AT165" s="64">
        <f t="shared" ref="AT165" si="1496">AT164</f>
        <v>22</v>
      </c>
      <c r="AU165" s="64">
        <f t="shared" si="1495"/>
        <v>22</v>
      </c>
      <c r="AV165" s="64">
        <f t="shared" si="1495"/>
        <v>10</v>
      </c>
      <c r="AW165" s="64">
        <f t="shared" si="1495"/>
        <v>0</v>
      </c>
      <c r="AX165" s="256">
        <f>AX164</f>
        <v>0</v>
      </c>
      <c r="AY165" s="256">
        <f t="shared" si="1495"/>
        <v>0</v>
      </c>
      <c r="AZ165" s="256">
        <f t="shared" si="1495"/>
        <v>0</v>
      </c>
      <c r="BA165" s="256">
        <f t="shared" ref="BA165:BB165" si="1497">BA164</f>
        <v>0</v>
      </c>
      <c r="BB165" s="256">
        <f t="shared" si="1497"/>
        <v>0</v>
      </c>
      <c r="BC165" s="256"/>
      <c r="BD165" s="66"/>
      <c r="BE165" s="66"/>
      <c r="BF165" s="261"/>
      <c r="BG165" s="66"/>
      <c r="BH165" s="175"/>
      <c r="BI165" s="66"/>
      <c r="BJ165" s="66"/>
      <c r="BK165" s="65">
        <f t="shared" ref="BK165:BM165" si="1498" xml:space="preserve"> BK164</f>
        <v>0</v>
      </c>
      <c r="BL165" s="267">
        <f t="shared" si="1498"/>
        <v>0</v>
      </c>
      <c r="BM165" s="267">
        <f t="shared" si="1498"/>
        <v>0</v>
      </c>
      <c r="BN165" s="45">
        <f t="shared" si="1197"/>
        <v>1</v>
      </c>
      <c r="BO165" s="59"/>
      <c r="BP165" s="59"/>
      <c r="BR165" s="49">
        <f t="shared" ref="BR165:BX166" si="1499">IF(O165=0,0,O165*BR$9)</f>
        <v>0</v>
      </c>
      <c r="BS165" s="49">
        <f t="shared" si="1499"/>
        <v>0</v>
      </c>
      <c r="BT165" s="49">
        <f t="shared" si="1499"/>
        <v>0</v>
      </c>
      <c r="BU165" s="49">
        <f t="shared" si="1499"/>
        <v>0</v>
      </c>
      <c r="BV165" s="49">
        <f t="shared" si="1499"/>
        <v>0</v>
      </c>
      <c r="BW165" s="49">
        <f t="shared" si="1499"/>
        <v>0</v>
      </c>
      <c r="BX165" s="49">
        <f t="shared" si="1499"/>
        <v>0</v>
      </c>
      <c r="BY165" s="549">
        <f>IF(COUNT(Q165:U165)&gt;1,MINA(Q165:U165)*BY$9,0)</f>
        <v>0</v>
      </c>
      <c r="BZ165" s="85">
        <f t="shared" ref="BZ165:CD166" si="1500">IF(V165=0,0,V165*BZ$9)</f>
        <v>0</v>
      </c>
      <c r="CA165" s="85">
        <f t="shared" si="1500"/>
        <v>0</v>
      </c>
      <c r="CB165" s="85">
        <f t="shared" si="1500"/>
        <v>0</v>
      </c>
      <c r="CC165" s="85">
        <f t="shared" si="1500"/>
        <v>0</v>
      </c>
      <c r="CD165" s="85">
        <f t="shared" si="1500"/>
        <v>0</v>
      </c>
      <c r="CE165" s="85">
        <f>IF(AC165=0,0,AC165*CE$9)</f>
        <v>0</v>
      </c>
      <c r="CF165" s="85">
        <f>IF(AA165=0,0,AA165*CF$9)</f>
        <v>0</v>
      </c>
      <c r="CG165" s="85">
        <f>IF(AB165=0,0,AB165*CG$9)</f>
        <v>0</v>
      </c>
      <c r="CH165" s="85">
        <f t="shared" ref="CH165:CK166" si="1501">IF(AD165=0,0,AD165*CH$9)</f>
        <v>0</v>
      </c>
      <c r="CI165" s="85">
        <f t="shared" si="1501"/>
        <v>0</v>
      </c>
      <c r="CJ165" s="85">
        <f t="shared" si="1501"/>
        <v>0</v>
      </c>
      <c r="CK165" s="85">
        <f t="shared" si="1501"/>
        <v>0</v>
      </c>
      <c r="CL165" s="100">
        <f>SUM(BR165:CK165)</f>
        <v>0</v>
      </c>
      <c r="CM165" s="50"/>
      <c r="CN165" s="104">
        <f>J165</f>
        <v>0</v>
      </c>
      <c r="CO165" s="101" t="e">
        <f>CL165/CN165</f>
        <v>#DIV/0!</v>
      </c>
      <c r="CP165" s="51">
        <f>Seilareal/Lwl/Lwl</f>
        <v>0</v>
      </c>
      <c r="CQ165" s="116">
        <f>Seilareal/Depl^0.667/K$7</f>
        <v>0</v>
      </c>
      <c r="CR165" s="51">
        <f>Seilareal/Lwl/Lwl/SApRS1</f>
        <v>0</v>
      </c>
      <c r="CS165" s="204"/>
      <c r="CT165" s="204" t="e">
        <f>(ROUND(TBF/CT$6,3)*CT$6)*CT$4</f>
        <v>#VALUE!</v>
      </c>
      <c r="CU165" s="107" t="str">
        <f t="shared" si="83"/>
        <v>-</v>
      </c>
      <c r="CV165" s="62" t="str">
        <f t="shared" si="789"/>
        <v>-</v>
      </c>
      <c r="CW165" s="62" t="str">
        <f t="shared" si="84"/>
        <v>-</v>
      </c>
      <c r="CX165" s="62" t="str">
        <f t="shared" si="790"/>
        <v>-</v>
      </c>
      <c r="CY165" s="107" t="str">
        <f t="shared" si="85"/>
        <v>-</v>
      </c>
      <c r="CZ165" s="168" t="str">
        <f t="shared" si="1450"/>
        <v>-</v>
      </c>
      <c r="DA165" s="159">
        <f>DA164</f>
        <v>0</v>
      </c>
      <c r="DB165" s="168" t="e">
        <f t="shared" si="1451"/>
        <v>#VALUE!</v>
      </c>
      <c r="DC165" s="159">
        <f>DC164</f>
        <v>1.47</v>
      </c>
      <c r="DD165" s="190" t="s">
        <v>134</v>
      </c>
      <c r="DE165" s="62" t="s">
        <v>102</v>
      </c>
      <c r="DF165" s="62" t="s">
        <v>102</v>
      </c>
      <c r="DG165" s="62" t="s">
        <v>102</v>
      </c>
      <c r="DH165" s="150" t="s">
        <v>102</v>
      </c>
      <c r="DI165" s="62" t="str">
        <f t="shared" si="1374"/>
        <v>-</v>
      </c>
      <c r="DJ165" s="47">
        <f t="shared" si="1375"/>
        <v>15.931372549019606</v>
      </c>
      <c r="DK165" s="48">
        <f t="shared" si="1428"/>
        <v>0</v>
      </c>
      <c r="DM165" s="107" t="str">
        <f t="shared" si="1201"/>
        <v>-</v>
      </c>
      <c r="DN165" s="141" t="str">
        <f t="shared" si="1429"/>
        <v>-</v>
      </c>
      <c r="DO165" s="107">
        <f t="shared" si="1430"/>
        <v>4.8251732779443195</v>
      </c>
      <c r="DP165" s="133">
        <f>IF(SeilBeregnet=0,DP164,(SeilBeregnet^0.5/(Depl^0.3333))^DP$3*DP$7)</f>
        <v>3.0481266446670419</v>
      </c>
      <c r="DQ165" s="133">
        <f>IF(SeilBeregnet=0,DQ164,(SeilBeregnet^0.5/Lwl)^DQ$3*DQ$7)</f>
        <v>0</v>
      </c>
      <c r="DR165" s="133">
        <f>IF(SeilBeregnet=0,DR164,(0.1*Loa/Depl^0.3333)^DR$3*DR$7)</f>
        <v>0</v>
      </c>
      <c r="DS165" s="133">
        <f>IF(SeilBeregnet=0,DS164,((Loa)/Bredde)^DS$3*DS$7)</f>
        <v>1.7770466332772772</v>
      </c>
      <c r="DT165" s="107">
        <f>IF(SeilBeregnet=0,DT164,(Lwl)^DT$3)</f>
        <v>1.8334522799337654</v>
      </c>
      <c r="DU165" s="133">
        <f>IF(SeilBeregnet=0,DU164,(Dypg/Loa)^DU$3*5*DU$7)</f>
        <v>2.0916500663351889</v>
      </c>
      <c r="DW165" s="107" t="str">
        <f t="shared" si="1241"/>
        <v>-</v>
      </c>
      <c r="DX165" s="107" t="str">
        <f t="shared" si="1376"/>
        <v>-</v>
      </c>
      <c r="DZ165" s="107" t="str">
        <f t="shared" si="1377"/>
        <v>-</v>
      </c>
      <c r="EA165" s="122" t="str">
        <f t="shared" si="1431"/>
        <v>-</v>
      </c>
      <c r="EB165" s="107" t="str">
        <f t="shared" si="1432"/>
        <v>-</v>
      </c>
      <c r="EC165" s="122" t="str">
        <f t="shared" si="1433"/>
        <v>-</v>
      </c>
      <c r="ED165" s="107">
        <f>IF(SeilBeregnet=0,ED164,SeilBeregnet^0.5/Depl^0.33333)</f>
        <v>3.0478790203266728</v>
      </c>
      <c r="EE165" s="107">
        <f>IF(SeilBeregnet=0,EE164,Lwl^0.3333)</f>
        <v>2.2438356573015867</v>
      </c>
      <c r="EF165" s="107">
        <f>IF(SeilBeregnet=0,EF164,((Loa+Lwl)/Bredde)^EF$3)</f>
        <v>1.5735954135403782</v>
      </c>
      <c r="EH165" s="107" t="str">
        <f t="shared" si="1434"/>
        <v>-</v>
      </c>
      <c r="EJ165" s="107">
        <f>IF(SeilBeregnet=0,EJ164,SeilBeregnet^0.5/Depl^0.33333)</f>
        <v>3.0478790203266728</v>
      </c>
      <c r="EK165" s="107">
        <f>IF(SeilBeregnet=0,EK164,Lwl^EK$3)</f>
        <v>2.2439988890031217</v>
      </c>
      <c r="EL165" s="107">
        <f>IF(SeilBeregnet=0,EL164,((Loa+Lwl)/Bredde)^EL$3)</f>
        <v>1.830197069920783</v>
      </c>
      <c r="EM165" s="107" t="str">
        <f t="shared" si="1435"/>
        <v>-</v>
      </c>
      <c r="EO165" s="107">
        <f>IF(SeilBeregnet=0,EO164,(EP165*EQ165)^EO$3)</f>
        <v>4.7961284474119932</v>
      </c>
      <c r="EP165" s="107">
        <f>IF(SeilBeregnet=0,EP164,SeilBeregnet^0.5/Depl^0.33333)</f>
        <v>3.0478790203266728</v>
      </c>
      <c r="EQ165" s="107">
        <f>IF(SeilBeregnet=0,EQ164,((Loa+Lwl)/Bredde)^EQ$3)</f>
        <v>1.5735954135403782</v>
      </c>
      <c r="ER165" s="107">
        <f>IF(SeilBeregnet=0,ER164,Lwl^ER$3)</f>
        <v>1.8334522799337654</v>
      </c>
      <c r="ES165" s="107" t="str">
        <f t="shared" si="1212"/>
        <v>-</v>
      </c>
      <c r="EU165" s="107">
        <f>IF(SeilBeregnet=0,EU164,(EV:EV*EW:EW)^EU$3)</f>
        <v>1.7505579677786378</v>
      </c>
      <c r="EV165" s="107">
        <f>IF(SeilBeregnet=0,EV164,SeilBeregnet^0.5/Depl^0.33333)</f>
        <v>3.0478790203266728</v>
      </c>
      <c r="EW165" s="107">
        <f>IF(SeilBeregnet=0,EW164,((Loa+Lwl)/Bredde/6)^EW$3)</f>
        <v>1.0054379383551861</v>
      </c>
      <c r="EX165" s="107">
        <f>IF(SeilBeregnet=0,EX164,(Lwl*0.7+Loa*0.3)^EX$3)</f>
        <v>1.8419118031918562</v>
      </c>
      <c r="EY165" s="107" t="str">
        <f t="shared" si="1213"/>
        <v>-</v>
      </c>
      <c r="FA165" s="107">
        <f t="shared" si="1214"/>
        <v>1.7506290782057579</v>
      </c>
      <c r="FB165" s="107">
        <f>IF(SeilBeregnet=0,FB164,SeilBeregnet^0.5/Depl^0.3333)</f>
        <v>3.0481266446670419</v>
      </c>
      <c r="FC165" s="107">
        <f>IF(SeilBeregnet=0,FC164,((Loa+Lwl)/Bredde/6)^FC$3)</f>
        <v>1.0054379383551861</v>
      </c>
      <c r="FD165" s="107">
        <f>IF(SeilBeregnet=0,FD164,(Lwl*0.7+Loa*0.3)^FD$3)</f>
        <v>1.8419118031918562</v>
      </c>
      <c r="FE165" s="107" t="str">
        <f t="shared" si="1215"/>
        <v>-</v>
      </c>
      <c r="FF165" s="141" t="str">
        <f t="shared" si="1436"/>
        <v>-</v>
      </c>
      <c r="FG165" s="107">
        <f t="shared" si="1217"/>
        <v>3.0813678309340684</v>
      </c>
      <c r="FH165" s="133">
        <f>IF(SeilBeregnet=0,FH164,(SeilBeregnet^0.5/(Depl^0.3333))^FH$3)</f>
        <v>3.0481266446670419</v>
      </c>
      <c r="FI165" s="133">
        <f>IF(SeilBeregnet=0,FI164,((Loa+Lwl)/Bredde/6)^FI$3)</f>
        <v>1.0109054478839272</v>
      </c>
      <c r="FJ165" s="107">
        <f>IF(SeilBeregnet=0,FJ164,(Lwl*0.07+Loa*0.03)^FJ$3)</f>
        <v>1.0357831242906539</v>
      </c>
      <c r="FK165" s="107" t="str">
        <f t="shared" si="1218"/>
        <v>-</v>
      </c>
      <c r="FL165" s="141" t="str">
        <f t="shared" si="1437"/>
        <v>-</v>
      </c>
      <c r="FM165" s="107">
        <f t="shared" si="1220"/>
        <v>4.9903633831820589</v>
      </c>
      <c r="FN165" s="133">
        <f>IF(SeilBeregnet=0,FN164,(SeilBeregnet^0.5/(Depl^0.3333))^FN$3)</f>
        <v>3.0481266446670419</v>
      </c>
      <c r="FO165" s="133">
        <f>IF(SeilBeregnet=0,FO164,(SeilBeregnet^0.5/Lwl*FO$7)^FO$3)</f>
        <v>0.66519010523773925</v>
      </c>
      <c r="FP165" s="133">
        <f>IF(SeilBeregnet=0,FP164,((Loa)/Bredde)^FP$3*FP$7)</f>
        <v>1.7770466332772772</v>
      </c>
      <c r="FQ165" s="107">
        <f>IF(SeilBeregnet=0,FQ164,(Lwl)^FQ$3)</f>
        <v>1.8334522799337654</v>
      </c>
      <c r="FR165" s="107" t="str">
        <f t="shared" si="1221"/>
        <v>-</v>
      </c>
      <c r="FS165" s="141" t="str">
        <f t="shared" si="1438"/>
        <v>-</v>
      </c>
      <c r="FT165" s="107">
        <f t="shared" si="1223"/>
        <v>5.4166631917083299</v>
      </c>
      <c r="FU165" s="133">
        <f>IF(SeilBeregnet=0,FU164,(SeilBeregnet^0.5/(Depl^0.3333))^FU$3)</f>
        <v>3.0481266446670419</v>
      </c>
      <c r="FV165" s="133">
        <f>IF(SeilBeregnet=0,FV164,(Loa/Bredde)^FV$3)</f>
        <v>1.7770466332772772</v>
      </c>
      <c r="FW165" s="107">
        <f>IF(SeilBeregnet=0,FW164,Lwl^FW$3)</f>
        <v>1.8334522799337654</v>
      </c>
      <c r="FY165" s="336">
        <v>1</v>
      </c>
      <c r="FZ165" s="62" t="str">
        <f t="shared" si="1452"/>
        <v>-</v>
      </c>
      <c r="GA165" s="62">
        <f t="shared" si="1378"/>
        <v>1.8584328296603005</v>
      </c>
      <c r="GB165" s="107" t="str">
        <f t="shared" si="798"/>
        <v>-</v>
      </c>
      <c r="GC165" s="440"/>
      <c r="GD165" s="17"/>
      <c r="GE165" s="442"/>
      <c r="GF165" s="462"/>
      <c r="GG165" s="17"/>
      <c r="GH165" s="17"/>
      <c r="GI165" s="17"/>
      <c r="GJ165" s="17"/>
      <c r="GL165" s="17"/>
      <c r="GM165" s="442"/>
      <c r="GN165" s="8"/>
      <c r="GO165" s="8"/>
      <c r="GP165" s="8"/>
      <c r="GQ165" s="8"/>
      <c r="GS165" s="17"/>
      <c r="GT165" s="17"/>
      <c r="GU165" s="17"/>
      <c r="GV165" s="629"/>
      <c r="GW165" s="17"/>
      <c r="GX165" s="17"/>
      <c r="GY165" s="17"/>
      <c r="GZ165" s="17"/>
    </row>
    <row r="166" spans="1:208" ht="15.6" x14ac:dyDescent="0.3">
      <c r="A166" s="60"/>
      <c r="B166" s="218"/>
      <c r="C166" s="61" t="str">
        <f t="shared" ref="C166" si="1502">C165</f>
        <v>Gaffel</v>
      </c>
      <c r="D166" s="61"/>
      <c r="E166" s="61"/>
      <c r="F166" s="61"/>
      <c r="G166" s="54"/>
      <c r="H166" s="204">
        <f>IF(StH=0,0,TBFavrundet)</f>
        <v>0</v>
      </c>
      <c r="I166" s="63">
        <f>COUNTA(O166:AG166)</f>
        <v>0</v>
      </c>
      <c r="J166" s="222">
        <f>SUM(O166:AG166)</f>
        <v>0</v>
      </c>
      <c r="K166" s="116">
        <f>Seilareal/Depl^0.667/K$7</f>
        <v>0</v>
      </c>
      <c r="L166" s="116">
        <f>Seilareal/Lwl/Lwl/L$7</f>
        <v>0</v>
      </c>
      <c r="M166" s="92" t="e">
        <f>RiggF</f>
        <v>#DIV/0!</v>
      </c>
      <c r="N166" s="242" t="str">
        <f>StHfaktor</f>
        <v>-</v>
      </c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551"/>
      <c r="AH166" s="557">
        <f t="shared" ref="AH166:AI166" si="1503">AH165</f>
        <v>0</v>
      </c>
      <c r="AI166" s="557">
        <f t="shared" si="1503"/>
        <v>0</v>
      </c>
      <c r="AJ166" s="337">
        <f t="shared" si="1493"/>
        <v>0</v>
      </c>
      <c r="AK166" s="339"/>
      <c r="AL166" s="337">
        <f t="shared" si="1493"/>
        <v>0</v>
      </c>
      <c r="AM166" s="339"/>
      <c r="AN166" s="267" t="str">
        <f t="shared" si="1494"/>
        <v>Meter</v>
      </c>
      <c r="AO166" s="45">
        <f>VLOOKUP(AN166,Skrogform!$1:$1048576,3,FALSE)</f>
        <v>1</v>
      </c>
      <c r="AP166" s="64">
        <f t="shared" ref="AP166:AZ166" si="1504">AP165</f>
        <v>18.82</v>
      </c>
      <c r="AQ166" s="64">
        <f t="shared" si="1504"/>
        <v>11.96</v>
      </c>
      <c r="AR166" s="64">
        <f t="shared" si="1504"/>
        <v>3.36</v>
      </c>
      <c r="AS166" s="64">
        <f t="shared" si="1504"/>
        <v>2.6</v>
      </c>
      <c r="AT166" s="64">
        <f t="shared" ref="AT166" si="1505">AT165</f>
        <v>22</v>
      </c>
      <c r="AU166" s="64">
        <f t="shared" si="1504"/>
        <v>22</v>
      </c>
      <c r="AV166" s="64">
        <f t="shared" si="1504"/>
        <v>10</v>
      </c>
      <c r="AW166" s="64">
        <f t="shared" si="1504"/>
        <v>0</v>
      </c>
      <c r="AX166" s="256">
        <f>AX165</f>
        <v>0</v>
      </c>
      <c r="AY166" s="256">
        <f t="shared" si="1504"/>
        <v>0</v>
      </c>
      <c r="AZ166" s="256">
        <f t="shared" si="1504"/>
        <v>0</v>
      </c>
      <c r="BA166" s="256">
        <f t="shared" ref="BA166:BB166" si="1506">BA165</f>
        <v>0</v>
      </c>
      <c r="BB166" s="256">
        <f t="shared" si="1506"/>
        <v>0</v>
      </c>
      <c r="BC166" s="256"/>
      <c r="BD166" s="66"/>
      <c r="BE166" s="66"/>
      <c r="BF166" s="261"/>
      <c r="BG166" s="66"/>
      <c r="BH166" s="175"/>
      <c r="BI166" s="66"/>
      <c r="BJ166" s="66"/>
      <c r="BK166" s="65">
        <f t="shared" ref="BK166:BM166" si="1507" xml:space="preserve"> BK165</f>
        <v>0</v>
      </c>
      <c r="BL166" s="267">
        <f t="shared" si="1507"/>
        <v>0</v>
      </c>
      <c r="BM166" s="267">
        <f t="shared" si="1507"/>
        <v>0</v>
      </c>
      <c r="BN166" s="45">
        <f t="shared" si="1197"/>
        <v>1</v>
      </c>
      <c r="BO166" s="59"/>
      <c r="BP166" s="59"/>
      <c r="BR166" s="49">
        <f t="shared" si="1499"/>
        <v>0</v>
      </c>
      <c r="BS166" s="49">
        <f t="shared" si="1499"/>
        <v>0</v>
      </c>
      <c r="BT166" s="49">
        <f t="shared" si="1499"/>
        <v>0</v>
      </c>
      <c r="BU166" s="49">
        <f t="shared" si="1499"/>
        <v>0</v>
      </c>
      <c r="BV166" s="49">
        <f t="shared" si="1499"/>
        <v>0</v>
      </c>
      <c r="BW166" s="49">
        <f t="shared" si="1499"/>
        <v>0</v>
      </c>
      <c r="BX166" s="49">
        <f t="shared" si="1499"/>
        <v>0</v>
      </c>
      <c r="BY166" s="549">
        <f>IF(COUNT(Q166:U166)&gt;1,MINA(Q166:U166)*BY$9,0)</f>
        <v>0</v>
      </c>
      <c r="BZ166" s="85">
        <f t="shared" si="1500"/>
        <v>0</v>
      </c>
      <c r="CA166" s="85">
        <f t="shared" si="1500"/>
        <v>0</v>
      </c>
      <c r="CB166" s="85">
        <f t="shared" si="1500"/>
        <v>0</v>
      </c>
      <c r="CC166" s="85">
        <f t="shared" si="1500"/>
        <v>0</v>
      </c>
      <c r="CD166" s="85">
        <f t="shared" si="1500"/>
        <v>0</v>
      </c>
      <c r="CE166" s="85">
        <f>IF(AC166=0,0,AC166*CE$9)</f>
        <v>0</v>
      </c>
      <c r="CF166" s="85">
        <f>IF(AA166=0,0,AA166*CF$9)</f>
        <v>0</v>
      </c>
      <c r="CG166" s="85">
        <f>IF(AB166=0,0,AB166*CG$9)</f>
        <v>0</v>
      </c>
      <c r="CH166" s="85">
        <f t="shared" si="1501"/>
        <v>0</v>
      </c>
      <c r="CI166" s="85">
        <f t="shared" si="1501"/>
        <v>0</v>
      </c>
      <c r="CJ166" s="85">
        <f t="shared" si="1501"/>
        <v>0</v>
      </c>
      <c r="CK166" s="85">
        <f t="shared" si="1501"/>
        <v>0</v>
      </c>
      <c r="CL166" s="100">
        <f>SUM(BR166:CK166)</f>
        <v>0</v>
      </c>
      <c r="CM166" s="50"/>
      <c r="CN166" s="104">
        <f>J166</f>
        <v>0</v>
      </c>
      <c r="CO166" s="101" t="e">
        <f>CL166/CN166</f>
        <v>#DIV/0!</v>
      </c>
      <c r="CP166" s="51">
        <f>Seilareal/Lwl/Lwl</f>
        <v>0</v>
      </c>
      <c r="CQ166" s="116">
        <f>Seilareal/Depl^0.667/K$7</f>
        <v>0</v>
      </c>
      <c r="CR166" s="51">
        <f>Seilareal/Lwl/Lwl/SApRS1</f>
        <v>0</v>
      </c>
      <c r="CS166" s="204"/>
      <c r="CT166" s="204" t="e">
        <f>(ROUND(TBF/CT$6,3)*CT$6)*CT$4</f>
        <v>#VALUE!</v>
      </c>
      <c r="CU166" s="107" t="str">
        <f t="shared" si="83"/>
        <v>-</v>
      </c>
      <c r="CV166" s="62" t="str">
        <f t="shared" si="789"/>
        <v>-</v>
      </c>
      <c r="CW166" s="62" t="str">
        <f t="shared" si="84"/>
        <v>-</v>
      </c>
      <c r="CX166" s="62" t="str">
        <f t="shared" si="790"/>
        <v>-</v>
      </c>
      <c r="CY166" s="107" t="str">
        <f t="shared" si="85"/>
        <v>-</v>
      </c>
      <c r="CZ166" s="168" t="str">
        <f t="shared" si="1450"/>
        <v>-</v>
      </c>
      <c r="DA166" s="158"/>
      <c r="DB166" s="168" t="str">
        <f t="shared" si="1451"/>
        <v>-</v>
      </c>
      <c r="DC166" s="160"/>
      <c r="DD166" s="190" t="s">
        <v>134</v>
      </c>
      <c r="DE166" s="62" t="s">
        <v>102</v>
      </c>
      <c r="DF166" s="62" t="s">
        <v>102</v>
      </c>
      <c r="DG166" s="62" t="s">
        <v>102</v>
      </c>
      <c r="DH166" s="150" t="s">
        <v>102</v>
      </c>
      <c r="DI166" s="62" t="str">
        <f t="shared" si="1374"/>
        <v>-</v>
      </c>
      <c r="DJ166" s="47">
        <f t="shared" si="1375"/>
        <v>15.931372549019606</v>
      </c>
      <c r="DK166" s="48">
        <f t="shared" si="1428"/>
        <v>0</v>
      </c>
      <c r="DM166" s="107" t="str">
        <f t="shared" si="1201"/>
        <v>-</v>
      </c>
      <c r="DN166" s="141" t="str">
        <f t="shared" si="1429"/>
        <v>-</v>
      </c>
      <c r="DO166" s="107">
        <f t="shared" si="1430"/>
        <v>4.8251732779443195</v>
      </c>
      <c r="DP166" s="133">
        <f>IF(SeilBeregnet=0,DP165,(SeilBeregnet^0.5/(Depl^0.3333))^DP$3*DP$7)</f>
        <v>3.0481266446670419</v>
      </c>
      <c r="DQ166" s="133">
        <f>IF(SeilBeregnet=0,DQ165,(SeilBeregnet^0.5/Lwl)^DQ$3*DQ$7)</f>
        <v>0</v>
      </c>
      <c r="DR166" s="133">
        <f>IF(SeilBeregnet=0,DR165,(0.1*Loa/Depl^0.3333)^DR$3*DR$7)</f>
        <v>0</v>
      </c>
      <c r="DS166" s="133">
        <f>IF(SeilBeregnet=0,DS165,((Loa)/Bredde)^DS$3*DS$7)</f>
        <v>1.7770466332772772</v>
      </c>
      <c r="DT166" s="107">
        <f>IF(SeilBeregnet=0,DT165,(Lwl)^DT$3)</f>
        <v>1.8334522799337654</v>
      </c>
      <c r="DU166" s="133">
        <f>IF(SeilBeregnet=0,DU165,(Dypg/Loa)^DU$3*5*DU$7)</f>
        <v>2.0916500663351889</v>
      </c>
      <c r="DW166" s="107" t="str">
        <f t="shared" si="1241"/>
        <v>-</v>
      </c>
      <c r="DX166" s="107" t="str">
        <f t="shared" si="1376"/>
        <v>-</v>
      </c>
      <c r="DZ166" s="107" t="str">
        <f t="shared" si="1377"/>
        <v>-</v>
      </c>
      <c r="EA166" s="122" t="str">
        <f t="shared" si="1431"/>
        <v>-</v>
      </c>
      <c r="EB166" s="107" t="str">
        <f t="shared" si="1432"/>
        <v>-</v>
      </c>
      <c r="EC166" s="122" t="str">
        <f t="shared" si="1433"/>
        <v>-</v>
      </c>
      <c r="ED166" s="107">
        <f>IF(SeilBeregnet=0,ED165,SeilBeregnet^0.5/Depl^0.33333)</f>
        <v>3.0478790203266728</v>
      </c>
      <c r="EE166" s="107">
        <f>IF(SeilBeregnet=0,EE165,Lwl^0.3333)</f>
        <v>2.2438356573015867</v>
      </c>
      <c r="EF166" s="107">
        <f>IF(SeilBeregnet=0,EF165,((Loa+Lwl)/Bredde)^EF$3)</f>
        <v>1.5735954135403782</v>
      </c>
      <c r="EH166" s="107" t="str">
        <f t="shared" si="1434"/>
        <v>-</v>
      </c>
      <c r="EJ166" s="107">
        <f>IF(SeilBeregnet=0,EJ165,SeilBeregnet^0.5/Depl^0.33333)</f>
        <v>3.0478790203266728</v>
      </c>
      <c r="EK166" s="107">
        <f>IF(SeilBeregnet=0,EK165,Lwl^EK$3)</f>
        <v>2.2439988890031217</v>
      </c>
      <c r="EL166" s="107">
        <f>IF(SeilBeregnet=0,EL165,((Loa+Lwl)/Bredde)^EL$3)</f>
        <v>1.830197069920783</v>
      </c>
      <c r="EM166" s="107" t="str">
        <f t="shared" si="1435"/>
        <v>-</v>
      </c>
      <c r="EO166" s="107">
        <f>IF(SeilBeregnet=0,EO165,(EP166*EQ166)^EO$3)</f>
        <v>4.7961284474119932</v>
      </c>
      <c r="EP166" s="107">
        <f>IF(SeilBeregnet=0,EP165,SeilBeregnet^0.5/Depl^0.33333)</f>
        <v>3.0478790203266728</v>
      </c>
      <c r="EQ166" s="107">
        <f>IF(SeilBeregnet=0,EQ165,((Loa+Lwl)/Bredde)^EQ$3)</f>
        <v>1.5735954135403782</v>
      </c>
      <c r="ER166" s="107">
        <f>IF(SeilBeregnet=0,ER165,Lwl^ER$3)</f>
        <v>1.8334522799337654</v>
      </c>
      <c r="ES166" s="107" t="str">
        <f t="shared" si="1212"/>
        <v>-</v>
      </c>
      <c r="EU166" s="107">
        <f>IF(SeilBeregnet=0,EU165,(EV:EV*EW:EW)^EU$3)</f>
        <v>1.7505579677786378</v>
      </c>
      <c r="EV166" s="107">
        <f>IF(SeilBeregnet=0,EV165,SeilBeregnet^0.5/Depl^0.33333)</f>
        <v>3.0478790203266728</v>
      </c>
      <c r="EW166" s="107">
        <f>IF(SeilBeregnet=0,EW165,((Loa+Lwl)/Bredde/6)^EW$3)</f>
        <v>1.0054379383551861</v>
      </c>
      <c r="EX166" s="107">
        <f>IF(SeilBeregnet=0,EX165,(Lwl*0.7+Loa*0.3)^EX$3)</f>
        <v>1.8419118031918562</v>
      </c>
      <c r="EY166" s="107" t="str">
        <f t="shared" si="1213"/>
        <v>-</v>
      </c>
      <c r="FA166" s="107">
        <f t="shared" si="1214"/>
        <v>1.7506290782057579</v>
      </c>
      <c r="FB166" s="107">
        <f>IF(SeilBeregnet=0,FB165,SeilBeregnet^0.5/Depl^0.3333)</f>
        <v>3.0481266446670419</v>
      </c>
      <c r="FC166" s="107">
        <f>IF(SeilBeregnet=0,FC165,((Loa+Lwl)/Bredde/6)^FC$3)</f>
        <v>1.0054379383551861</v>
      </c>
      <c r="FD166" s="107">
        <f>IF(SeilBeregnet=0,FD165,(Lwl*0.7+Loa*0.3)^FD$3)</f>
        <v>1.8419118031918562</v>
      </c>
      <c r="FE166" s="107" t="str">
        <f t="shared" si="1215"/>
        <v>-</v>
      </c>
      <c r="FF166" s="141" t="str">
        <f t="shared" si="1436"/>
        <v>-</v>
      </c>
      <c r="FG166" s="107">
        <f t="shared" si="1217"/>
        <v>3.0813678309340684</v>
      </c>
      <c r="FH166" s="133">
        <f>IF(SeilBeregnet=0,FH165,(SeilBeregnet^0.5/(Depl^0.3333))^FH$3)</f>
        <v>3.0481266446670419</v>
      </c>
      <c r="FI166" s="133">
        <f>IF(SeilBeregnet=0,FI165,((Loa+Lwl)/Bredde/6)^FI$3)</f>
        <v>1.0109054478839272</v>
      </c>
      <c r="FJ166" s="107">
        <f>IF(SeilBeregnet=0,FJ165,(Lwl*0.07+Loa*0.03)^FJ$3)</f>
        <v>1.0357831242906539</v>
      </c>
      <c r="FK166" s="107" t="str">
        <f t="shared" si="1218"/>
        <v>-</v>
      </c>
      <c r="FL166" s="141" t="str">
        <f t="shared" si="1437"/>
        <v>-</v>
      </c>
      <c r="FM166" s="107">
        <f t="shared" si="1220"/>
        <v>4.9903633831820589</v>
      </c>
      <c r="FN166" s="133">
        <f>IF(SeilBeregnet=0,FN165,(SeilBeregnet^0.5/(Depl^0.3333))^FN$3)</f>
        <v>3.0481266446670419</v>
      </c>
      <c r="FO166" s="133">
        <f>IF(SeilBeregnet=0,FO165,(SeilBeregnet^0.5/Lwl*FO$7)^FO$3)</f>
        <v>0.66519010523773925</v>
      </c>
      <c r="FP166" s="133">
        <f>IF(SeilBeregnet=0,FP165,((Loa)/Bredde)^FP$3*FP$7)</f>
        <v>1.7770466332772772</v>
      </c>
      <c r="FQ166" s="107">
        <f>IF(SeilBeregnet=0,FQ165,(Lwl)^FQ$3)</f>
        <v>1.8334522799337654</v>
      </c>
      <c r="FR166" s="107" t="str">
        <f t="shared" si="1221"/>
        <v>-</v>
      </c>
      <c r="FS166" s="141" t="str">
        <f t="shared" si="1438"/>
        <v>-</v>
      </c>
      <c r="FT166" s="107">
        <f t="shared" si="1223"/>
        <v>5.4166631917083299</v>
      </c>
      <c r="FU166" s="133">
        <f>IF(SeilBeregnet=0,FU165,(SeilBeregnet^0.5/(Depl^0.3333))^FU$3)</f>
        <v>3.0481266446670419</v>
      </c>
      <c r="FV166" s="133">
        <f>IF(SeilBeregnet=0,FV165,(Loa/Bredde)^FV$3)</f>
        <v>1.7770466332772772</v>
      </c>
      <c r="FW166" s="107">
        <f>IF(SeilBeregnet=0,FW165,Lwl^FW$3)</f>
        <v>1.8334522799337654</v>
      </c>
      <c r="FY166" s="336">
        <v>1</v>
      </c>
      <c r="FZ166" s="62" t="str">
        <f t="shared" si="1452"/>
        <v>-</v>
      </c>
      <c r="GA166" s="62">
        <f t="shared" si="1378"/>
        <v>1.8584328296603005</v>
      </c>
      <c r="GB166" s="107" t="str">
        <f t="shared" si="798"/>
        <v>-</v>
      </c>
      <c r="GC166" s="440"/>
      <c r="GD166" s="17"/>
      <c r="GE166" s="442"/>
      <c r="GF166" s="462"/>
      <c r="GG166" s="17"/>
      <c r="GH166" s="17"/>
      <c r="GI166" s="17"/>
      <c r="GJ166" s="17"/>
      <c r="GL166" s="17"/>
      <c r="GM166" s="442"/>
      <c r="GN166" s="8"/>
      <c r="GO166" s="8"/>
      <c r="GP166" s="8"/>
      <c r="GQ166" s="8"/>
      <c r="GS166" s="17"/>
      <c r="GT166" s="17"/>
      <c r="GU166" s="17"/>
      <c r="GV166" s="629"/>
      <c r="GW166" s="17"/>
      <c r="GX166" s="17"/>
      <c r="GY166" s="17"/>
      <c r="GZ166" s="17"/>
    </row>
    <row r="167" spans="1:208" ht="15.6" x14ac:dyDescent="0.3">
      <c r="A167" s="52" t="s">
        <v>904</v>
      </c>
      <c r="B167" s="218">
        <f t="shared" si="10"/>
        <v>25.065616797900262</v>
      </c>
      <c r="C167" s="53" t="s">
        <v>38</v>
      </c>
      <c r="D167" s="53"/>
      <c r="E167" s="53"/>
      <c r="F167" s="53"/>
      <c r="G167" s="54"/>
      <c r="H167" s="112">
        <f>J168</f>
        <v>24</v>
      </c>
      <c r="I167" s="601">
        <f>H168/100</f>
        <v>1.19</v>
      </c>
      <c r="J167" s="651">
        <f>IF(DC168=0,"-",DC168)</f>
        <v>1.19</v>
      </c>
      <c r="K167" s="123" t="str">
        <f>A167</f>
        <v>Fair Play</v>
      </c>
      <c r="L167" s="116"/>
      <c r="M167" s="116"/>
      <c r="N167" s="92"/>
      <c r="O167" s="165"/>
      <c r="P167" s="165"/>
      <c r="Q167" s="165"/>
      <c r="R167" s="165"/>
      <c r="S167" s="165"/>
      <c r="T167" s="165"/>
      <c r="U167" s="165">
        <v>7</v>
      </c>
      <c r="V167" s="559"/>
      <c r="W167" s="559"/>
      <c r="X167" s="165"/>
      <c r="Y167" s="165"/>
      <c r="Z167" s="165"/>
      <c r="AA167" s="165"/>
      <c r="AB167" s="165"/>
      <c r="AC167" s="165"/>
      <c r="AD167" s="165"/>
      <c r="AE167" s="165">
        <v>17</v>
      </c>
      <c r="AF167" s="165"/>
      <c r="AG167" s="552"/>
      <c r="AH167" s="244">
        <v>9.02</v>
      </c>
      <c r="AI167" s="244">
        <v>9.02</v>
      </c>
      <c r="AJ167" s="554"/>
      <c r="AK167" s="339"/>
      <c r="AL167" s="268"/>
      <c r="AM167" s="339"/>
      <c r="AN167" s="268" t="s">
        <v>222</v>
      </c>
      <c r="AO167" s="45">
        <f>VLOOKUP(AN167,Skrogform!$1:$1048576,3,FALSE)</f>
        <v>0.99</v>
      </c>
      <c r="AP167" s="55">
        <v>7.64</v>
      </c>
      <c r="AQ167" s="55">
        <v>6</v>
      </c>
      <c r="AR167" s="55">
        <v>2.2000000000000002</v>
      </c>
      <c r="AS167" s="55">
        <v>1.2</v>
      </c>
      <c r="AT167" s="637">
        <f>AU167</f>
        <v>1.93</v>
      </c>
      <c r="AU167" s="55">
        <v>1.93</v>
      </c>
      <c r="AV167" s="55">
        <v>1.0249999999999999</v>
      </c>
      <c r="AW167" s="55"/>
      <c r="AX167" s="253"/>
      <c r="AY167" s="253"/>
      <c r="AZ167" s="253">
        <v>40</v>
      </c>
      <c r="BA167" s="253"/>
      <c r="BB167" s="253"/>
      <c r="BC167" s="244">
        <f>Depl+Diesel/1000*0.84+Vann/1000</f>
        <v>1.93</v>
      </c>
      <c r="BD167" s="95">
        <f>Bredde/(Loa+Lwl)*2</f>
        <v>0.32258064516129031</v>
      </c>
      <c r="BE167" s="95">
        <f>(Kjøl+Ballast)/Depl</f>
        <v>0.5310880829015544</v>
      </c>
      <c r="BF167" s="260">
        <f>BF$7*((Depl-Kjøl-Ballast-VektMotor/1000-VektAnnet/1000)/Lwl/Lwl/Bredde)</f>
        <v>0.41216446833721831</v>
      </c>
      <c r="BG167" s="95">
        <f>BG$7*(Depl/Loa/Lwl/Lwl)</f>
        <v>0.51638745702443267</v>
      </c>
      <c r="BH167" s="174">
        <f>BH$7*(Depl/Loa/Lwl/Bredde)</f>
        <v>0.52056691902665386</v>
      </c>
      <c r="BI167" s="95">
        <f>BI$7*Bredde/(Loa+Lwl)*2</f>
        <v>0.92022199098161639</v>
      </c>
      <c r="BJ167" s="95">
        <f>BJ$7*(Dypg/Lwl)</f>
        <v>1.0939130434782607</v>
      </c>
      <c r="BK167" s="56"/>
      <c r="BL167" s="268"/>
      <c r="BM167" s="268"/>
      <c r="BN167" s="45">
        <f t="shared" si="1197"/>
        <v>1</v>
      </c>
      <c r="BO167" s="36">
        <v>0.03</v>
      </c>
      <c r="BP167" s="59"/>
      <c r="BR167" s="209"/>
      <c r="BS167" s="209"/>
      <c r="BT167" s="209" t="str">
        <f>$A167</f>
        <v>Fair Play</v>
      </c>
      <c r="BU167" s="10"/>
      <c r="BV167" s="10"/>
      <c r="BW167" s="10"/>
      <c r="BX167" s="10"/>
      <c r="BY167" s="549"/>
      <c r="BZ167" s="10"/>
      <c r="CA167" s="10"/>
      <c r="CB167" s="209" t="str">
        <f>$A167</f>
        <v>Fair Play</v>
      </c>
      <c r="CC167" s="10"/>
      <c r="CD167" s="10"/>
      <c r="CE167" s="10"/>
      <c r="CF167" s="10"/>
      <c r="CG167" s="10"/>
      <c r="CH167" s="10"/>
      <c r="CI167" s="10"/>
      <c r="CJ167" s="10"/>
      <c r="CK167" s="10"/>
      <c r="CL167" s="209"/>
      <c r="CM167" s="10"/>
      <c r="CN167" s="209" t="str">
        <f>$A167</f>
        <v>Fair Play</v>
      </c>
      <c r="CO167" s="207"/>
      <c r="CP167" s="207"/>
      <c r="CQ167" s="116"/>
      <c r="CR167" s="207"/>
      <c r="CS167" s="203"/>
      <c r="CT167" s="203" t="s">
        <v>23</v>
      </c>
      <c r="CU167" s="107" t="str">
        <f t="shared" si="83"/>
        <v>-</v>
      </c>
      <c r="CV167" s="62" t="str">
        <f t="shared" si="789"/>
        <v>-</v>
      </c>
      <c r="CW167" s="62" t="str">
        <f t="shared" si="84"/>
        <v>-</v>
      </c>
      <c r="CX167" s="62" t="str">
        <f t="shared" si="790"/>
        <v>-</v>
      </c>
      <c r="CY167" s="107" t="str">
        <f t="shared" si="85"/>
        <v>-</v>
      </c>
      <c r="CZ167" s="168" t="str">
        <f t="shared" si="1450"/>
        <v>-</v>
      </c>
      <c r="DA167" s="158"/>
      <c r="DB167" s="168" t="str">
        <f t="shared" si="1451"/>
        <v>-</v>
      </c>
      <c r="DC167" s="160">
        <v>1.19</v>
      </c>
      <c r="DD167" s="190" t="s">
        <v>134</v>
      </c>
      <c r="DE167" s="29" t="s">
        <v>23</v>
      </c>
      <c r="DF167" s="29" t="s">
        <v>23</v>
      </c>
      <c r="DG167" s="29" t="s">
        <v>23</v>
      </c>
      <c r="DH167" s="149">
        <v>2022</v>
      </c>
      <c r="DI167" s="62" t="str">
        <f t="shared" si="1374"/>
        <v>-</v>
      </c>
      <c r="DJ167" s="47">
        <f t="shared" si="1375"/>
        <v>13.043478260869565</v>
      </c>
      <c r="DK167" s="48">
        <f t="shared" si="1428"/>
        <v>0</v>
      </c>
      <c r="DM167" s="107" t="str">
        <f t="shared" si="1201"/>
        <v>-</v>
      </c>
      <c r="DN167" s="141" t="str">
        <f t="shared" ref="DN167:DN171" si="1508">IF($DY167=0,"-",(DM167-$DW167)*100)</f>
        <v>-</v>
      </c>
      <c r="DO167" s="107" t="e">
        <f t="shared" si="1430"/>
        <v>#REF!</v>
      </c>
      <c r="DP167" s="133" t="e">
        <f>IF(SeilBeregnet=0,#REF!,(SeilBeregnet^0.5/(Depl^0.3333))^DP$3*DP$7)</f>
        <v>#REF!</v>
      </c>
      <c r="DQ167" s="133" t="e">
        <f>IF(SeilBeregnet=0,#REF!,(SeilBeregnet^0.5/Lwl)^DQ$3*DQ$7)</f>
        <v>#REF!</v>
      </c>
      <c r="DR167" s="133" t="e">
        <f>IF(SeilBeregnet=0,#REF!,(0.1*Loa/Depl^0.3333)^DR$3*DR$7)</f>
        <v>#REF!</v>
      </c>
      <c r="DS167" s="133" t="e">
        <f>IF(SeilBeregnet=0,#REF!,((Loa)/Bredde)^DS$3*DS$7)</f>
        <v>#REF!</v>
      </c>
      <c r="DT167" s="107" t="e">
        <f>IF(SeilBeregnet=0,#REF!,(Lwl)^DT$3)</f>
        <v>#REF!</v>
      </c>
      <c r="DU167" s="133" t="e">
        <f>IF(SeilBeregnet=0,#REF!,(Dypg/Loa)^DU$3*5*DU$7)</f>
        <v>#REF!</v>
      </c>
      <c r="DW167" s="107" t="str">
        <f t="shared" si="512"/>
        <v>-</v>
      </c>
      <c r="DX167" s="107" t="str">
        <f t="shared" si="1376"/>
        <v>-</v>
      </c>
      <c r="DZ167" s="107" t="str">
        <f t="shared" si="1377"/>
        <v>-</v>
      </c>
      <c r="EA167" s="122" t="str">
        <f t="shared" ref="EA167:EA171" si="1509">IF($DY167=0,"-",DZ167-$DW167)</f>
        <v>-</v>
      </c>
      <c r="EB167" s="107" t="str">
        <f t="shared" si="1432"/>
        <v>-</v>
      </c>
      <c r="EC167" s="122" t="str">
        <f t="shared" ref="EC167:EC171" si="1510">IF($DY167=0,"-",EB167-$DW167)</f>
        <v>-</v>
      </c>
      <c r="ED167" s="107" t="e">
        <f>IF(SeilBeregnet=0,#REF!,SeilBeregnet^0.5/Depl^0.33333)</f>
        <v>#REF!</v>
      </c>
      <c r="EE167" s="107" t="e">
        <f>IF(SeilBeregnet=0,#REF!,Lwl^0.3333)</f>
        <v>#REF!</v>
      </c>
      <c r="EF167" s="107" t="e">
        <f>IF(SeilBeregnet=0,#REF!,((Loa+Lwl)/Bredde)^EF$3)</f>
        <v>#REF!</v>
      </c>
      <c r="EH167" s="107" t="str">
        <f t="shared" si="1434"/>
        <v>-</v>
      </c>
      <c r="EJ167" s="107" t="e">
        <f>IF(SeilBeregnet=0,#REF!,SeilBeregnet^0.5/Depl^0.33333)</f>
        <v>#REF!</v>
      </c>
      <c r="EK167" s="107" t="e">
        <f>IF(SeilBeregnet=0,#REF!,Lwl^EK$3)</f>
        <v>#REF!</v>
      </c>
      <c r="EL167" s="107" t="e">
        <f>IF(SeilBeregnet=0,#REF!,((Loa+Lwl)/Bredde)^EL$3)</f>
        <v>#REF!</v>
      </c>
      <c r="EM167" s="107" t="str">
        <f t="shared" si="1435"/>
        <v>-</v>
      </c>
      <c r="EO167" s="107" t="e">
        <f>IF(SeilBeregnet=0,#REF!,(EP167*EQ167)^EO$3)</f>
        <v>#REF!</v>
      </c>
      <c r="EP167" s="107" t="e">
        <f>IF(SeilBeregnet=0,#REF!,SeilBeregnet^0.5/Depl^0.33333)</f>
        <v>#REF!</v>
      </c>
      <c r="EQ167" s="107" t="e">
        <f>IF(SeilBeregnet=0,#REF!,((Loa+Lwl)/Bredde)^EQ$3)</f>
        <v>#REF!</v>
      </c>
      <c r="ER167" s="107" t="e">
        <f>IF(SeilBeregnet=0,#REF!,Lwl^ER$3)</f>
        <v>#REF!</v>
      </c>
      <c r="ES167" s="107" t="str">
        <f t="shared" si="1212"/>
        <v>-</v>
      </c>
      <c r="EU167" s="107" t="e">
        <f>IF(SeilBeregnet=0,#REF!,(EV:EV*EW:EW)^EU$3)</f>
        <v>#REF!</v>
      </c>
      <c r="EV167" s="107" t="e">
        <f>IF(SeilBeregnet=0,#REF!,SeilBeregnet^0.5/Depl^0.33333)</f>
        <v>#REF!</v>
      </c>
      <c r="EW167" s="107" t="e">
        <f>IF(SeilBeregnet=0,#REF!,((Loa+Lwl)/Bredde/6)^EW$3)</f>
        <v>#REF!</v>
      </c>
      <c r="EX167" s="107" t="e">
        <f>IF(SeilBeregnet=0,#REF!,(Lwl*0.7+Loa*0.3)^EX$3)</f>
        <v>#REF!</v>
      </c>
      <c r="EY167" s="107" t="str">
        <f t="shared" si="1213"/>
        <v>-</v>
      </c>
      <c r="FA167" s="107" t="e">
        <f t="shared" si="1214"/>
        <v>#REF!</v>
      </c>
      <c r="FB167" s="107" t="e">
        <f>IF(SeilBeregnet=0,#REF!,SeilBeregnet^0.5/Depl^0.3333)</f>
        <v>#REF!</v>
      </c>
      <c r="FC167" s="107" t="e">
        <f>IF(SeilBeregnet=0,#REF!,((Loa+Lwl)/Bredde/6)^FC$3)</f>
        <v>#REF!</v>
      </c>
      <c r="FD167" s="107" t="e">
        <f>IF(SeilBeregnet=0,#REF!,(Lwl*0.7+Loa*0.3)^FD$3)</f>
        <v>#REF!</v>
      </c>
      <c r="FE167" s="107" t="str">
        <f t="shared" si="1215"/>
        <v>-</v>
      </c>
      <c r="FF167" s="141" t="str">
        <f t="shared" ref="FF167:FF171" si="1511">IF($DY167=0,"-",(FE167-$DW167)*100)</f>
        <v>-</v>
      </c>
      <c r="FG167" s="107" t="e">
        <f t="shared" si="1217"/>
        <v>#REF!</v>
      </c>
      <c r="FH167" s="133" t="e">
        <f>IF(SeilBeregnet=0,#REF!,(SeilBeregnet^0.5/(Depl^0.3333))^FH$3)</f>
        <v>#REF!</v>
      </c>
      <c r="FI167" s="133" t="e">
        <f>IF(SeilBeregnet=0,#REF!,((Loa+Lwl)/Bredde/6)^FI$3)</f>
        <v>#REF!</v>
      </c>
      <c r="FJ167" s="107" t="e">
        <f>IF(SeilBeregnet=0,#REF!,(Lwl*0.07+Loa*0.03)^FJ$3)</f>
        <v>#REF!</v>
      </c>
      <c r="FK167" s="107" t="str">
        <f t="shared" si="1218"/>
        <v>-</v>
      </c>
      <c r="FL167" s="141" t="str">
        <f t="shared" ref="FL167:FL171" si="1512">IF($DY167=0,"-",(FK167-$DW167)*100)</f>
        <v>-</v>
      </c>
      <c r="FM167" s="107" t="e">
        <f t="shared" si="1220"/>
        <v>#REF!</v>
      </c>
      <c r="FN167" s="133" t="e">
        <f>IF(SeilBeregnet=0,#REF!,(SeilBeregnet^0.5/(Depl^0.3333))^FN$3)</f>
        <v>#REF!</v>
      </c>
      <c r="FO167" s="133" t="e">
        <f>IF(SeilBeregnet=0,#REF!,(SeilBeregnet^0.5/Lwl*FO$7)^FO$3)</f>
        <v>#REF!</v>
      </c>
      <c r="FP167" s="133" t="e">
        <f>IF(SeilBeregnet=0,#REF!,((Loa)/Bredde)^FP$3*FP$7)</f>
        <v>#REF!</v>
      </c>
      <c r="FQ167" s="107" t="e">
        <f>IF(SeilBeregnet=0,#REF!,(Lwl)^FQ$3)</f>
        <v>#REF!</v>
      </c>
      <c r="FR167" s="107" t="str">
        <f t="shared" si="1221"/>
        <v>-</v>
      </c>
      <c r="FS167" s="141" t="str">
        <f t="shared" ref="FS167:FS171" si="1513">IF($DY167=0,"-",(FR167-$DW167)*100)</f>
        <v>-</v>
      </c>
      <c r="FT167" s="107" t="e">
        <f t="shared" si="1223"/>
        <v>#REF!</v>
      </c>
      <c r="FU167" s="133" t="e">
        <f>IF(SeilBeregnet=0,#REF!,(SeilBeregnet^0.5/(Depl^0.3333))^FU$3)</f>
        <v>#REF!</v>
      </c>
      <c r="FV167" s="133" t="e">
        <f>IF(SeilBeregnet=0,#REF!,(Loa/Bredde)^FV$3)</f>
        <v>#REF!</v>
      </c>
      <c r="FW167" s="107" t="e">
        <f>IF(SeilBeregnet=0,#REF!,Lwl^FW$3)</f>
        <v>#REF!</v>
      </c>
      <c r="FX167" s="522">
        <v>1.19</v>
      </c>
      <c r="FY167" s="336">
        <v>1</v>
      </c>
      <c r="FZ167" s="62" t="str">
        <f t="shared" si="1452"/>
        <v>-</v>
      </c>
      <c r="GA167" s="62">
        <f t="shared" si="1378"/>
        <v>1.9815906667827816</v>
      </c>
      <c r="GB167" s="107" t="str">
        <f t="shared" si="798"/>
        <v>-</v>
      </c>
      <c r="GC167" s="441" t="s">
        <v>459</v>
      </c>
      <c r="GD167" s="57" t="s">
        <v>479</v>
      </c>
      <c r="GE167" s="436" t="s">
        <v>481</v>
      </c>
      <c r="GF167" s="464" t="s">
        <v>483</v>
      </c>
      <c r="GG167" s="57" t="s">
        <v>484</v>
      </c>
      <c r="GH167" s="57" t="s">
        <v>485</v>
      </c>
      <c r="GI167" s="57" t="s">
        <v>425</v>
      </c>
      <c r="GJ167" s="57" t="s">
        <v>486</v>
      </c>
      <c r="GL167" s="57" t="s">
        <v>478</v>
      </c>
      <c r="GM167" s="436" t="s">
        <v>478</v>
      </c>
      <c r="GN167" s="58" t="s">
        <v>478</v>
      </c>
      <c r="GO167" s="58" t="s">
        <v>478</v>
      </c>
      <c r="GP167" s="58" t="s">
        <v>478</v>
      </c>
      <c r="GQ167" s="58" t="s">
        <v>478</v>
      </c>
      <c r="GS167" s="57" t="s">
        <v>553</v>
      </c>
      <c r="GT167" s="57" t="s">
        <v>489</v>
      </c>
      <c r="GU167" s="57"/>
      <c r="GV167" s="632" t="s">
        <v>490</v>
      </c>
      <c r="GW167" s="57">
        <v>1955</v>
      </c>
      <c r="GX167" s="57" t="s">
        <v>431</v>
      </c>
      <c r="GY167" s="57" t="s">
        <v>491</v>
      </c>
      <c r="GZ167" s="57" t="s">
        <v>478</v>
      </c>
    </row>
    <row r="168" spans="1:208" ht="15.6" x14ac:dyDescent="0.3">
      <c r="A168" s="60" t="s">
        <v>33</v>
      </c>
      <c r="B168" s="218"/>
      <c r="C168" s="61" t="str">
        <f>C167</f>
        <v>Bermuda</v>
      </c>
      <c r="D168" s="61"/>
      <c r="E168" s="61"/>
      <c r="F168" s="61"/>
      <c r="G168" s="54"/>
      <c r="H168" s="204">
        <f>IF(StH=0,0,TBFavrundet)</f>
        <v>119</v>
      </c>
      <c r="I168" s="63">
        <f>COUNTA(O168:AG168)</f>
        <v>2</v>
      </c>
      <c r="J168" s="222">
        <f>SUM(O168:AG168)</f>
        <v>24</v>
      </c>
      <c r="K168" s="116">
        <f>Seilareal/Depl^0.667/K$7</f>
        <v>1.4344984557975764</v>
      </c>
      <c r="L168" s="116">
        <f>Seilareal/Lwl/Lwl/L$7</f>
        <v>1.0115461808884627</v>
      </c>
      <c r="M168" s="92">
        <f>RiggF</f>
        <v>0.96458333333333324</v>
      </c>
      <c r="N168" s="242">
        <f>StHfaktor</f>
        <v>1.0522814411075829</v>
      </c>
      <c r="O168" s="143"/>
      <c r="P168" s="143"/>
      <c r="Q168" s="143"/>
      <c r="R168" s="143"/>
      <c r="S168" s="143"/>
      <c r="T168" s="143"/>
      <c r="U168" s="165">
        <v>7</v>
      </c>
      <c r="V168" s="559"/>
      <c r="W168" s="559"/>
      <c r="X168" s="143"/>
      <c r="Y168" s="143"/>
      <c r="Z168" s="143"/>
      <c r="AA168" s="143"/>
      <c r="AB168" s="143"/>
      <c r="AC168" s="143"/>
      <c r="AD168" s="143"/>
      <c r="AE168" s="165">
        <v>17</v>
      </c>
      <c r="AF168" s="143"/>
      <c r="AG168" s="551"/>
      <c r="AH168" s="557">
        <f>AH167</f>
        <v>9.02</v>
      </c>
      <c r="AI168" s="557">
        <f>AI167</f>
        <v>9.02</v>
      </c>
      <c r="AJ168" s="337">
        <f t="shared" ref="AJ168:AL168" si="1514" xml:space="preserve"> AJ167</f>
        <v>0</v>
      </c>
      <c r="AK168" s="339"/>
      <c r="AL168" s="337">
        <f t="shared" si="1514"/>
        <v>0</v>
      </c>
      <c r="AM168" s="339"/>
      <c r="AN168" s="267" t="str">
        <f xml:space="preserve"> AN167</f>
        <v>Folk</v>
      </c>
      <c r="AO168" s="45">
        <f>VLOOKUP(AN168,Skrogform!$1:$1048576,3,FALSE)</f>
        <v>0.99</v>
      </c>
      <c r="AP168" s="64">
        <f t="shared" ref="AP168:AZ168" si="1515">AP167</f>
        <v>7.64</v>
      </c>
      <c r="AQ168" s="64">
        <f t="shared" si="1515"/>
        <v>6</v>
      </c>
      <c r="AR168" s="64">
        <f t="shared" si="1515"/>
        <v>2.2000000000000002</v>
      </c>
      <c r="AS168" s="64">
        <f t="shared" si="1515"/>
        <v>1.2</v>
      </c>
      <c r="AT168" s="64">
        <f t="shared" ref="AT168" si="1516">AT167</f>
        <v>1.93</v>
      </c>
      <c r="AU168" s="64">
        <f t="shared" si="1515"/>
        <v>1.93</v>
      </c>
      <c r="AV168" s="64">
        <f t="shared" si="1515"/>
        <v>1.0249999999999999</v>
      </c>
      <c r="AW168" s="64">
        <f t="shared" si="1515"/>
        <v>0</v>
      </c>
      <c r="AX168" s="256">
        <f>AX167</f>
        <v>0</v>
      </c>
      <c r="AY168" s="256">
        <f t="shared" si="1515"/>
        <v>0</v>
      </c>
      <c r="AZ168" s="256">
        <f t="shared" si="1515"/>
        <v>40</v>
      </c>
      <c r="BA168" s="256">
        <f t="shared" ref="BA168:BB168" si="1517">BA167</f>
        <v>0</v>
      </c>
      <c r="BB168" s="256">
        <f t="shared" si="1517"/>
        <v>0</v>
      </c>
      <c r="BC168" s="256"/>
      <c r="BD168" s="66"/>
      <c r="BE168" s="66"/>
      <c r="BF168" s="261"/>
      <c r="BG168" s="66"/>
      <c r="BH168" s="175"/>
      <c r="BI168" s="66"/>
      <c r="BJ168" s="66"/>
      <c r="BK168" s="65">
        <f t="shared" ref="BK168:BM168" si="1518" xml:space="preserve"> BK167</f>
        <v>0</v>
      </c>
      <c r="BL168" s="267">
        <f t="shared" si="1518"/>
        <v>0</v>
      </c>
      <c r="BM168" s="267">
        <f t="shared" si="1518"/>
        <v>0</v>
      </c>
      <c r="BN168" s="45">
        <f t="shared" si="1197"/>
        <v>1</v>
      </c>
      <c r="BO168" s="59">
        <f>BO167</f>
        <v>0.03</v>
      </c>
      <c r="BP168" s="59"/>
      <c r="BR168" s="49">
        <f t="shared" ref="BR168:BX168" si="1519">IF(O168=0,0,O168*BR$9)</f>
        <v>0</v>
      </c>
      <c r="BS168" s="49">
        <f t="shared" si="1519"/>
        <v>0</v>
      </c>
      <c r="BT168" s="49">
        <f t="shared" si="1519"/>
        <v>0</v>
      </c>
      <c r="BU168" s="49">
        <f t="shared" si="1519"/>
        <v>0</v>
      </c>
      <c r="BV168" s="49">
        <f t="shared" si="1519"/>
        <v>0</v>
      </c>
      <c r="BW168" s="49">
        <f t="shared" si="1519"/>
        <v>0</v>
      </c>
      <c r="BX168" s="49">
        <f t="shared" si="1519"/>
        <v>7</v>
      </c>
      <c r="BY168" s="549">
        <f>IF(COUNT(Q168:U168)&gt;1,MINA(Q168:U168)*BY$9,0)</f>
        <v>0</v>
      </c>
      <c r="BZ168" s="85">
        <f>IF(V168=0,0,V168*BZ$9)</f>
        <v>0</v>
      </c>
      <c r="CA168" s="85">
        <f>IF(W168=0,0,W168*CA$9)</f>
        <v>0</v>
      </c>
      <c r="CB168" s="85">
        <f>IF(X168=0,0,X168*CB$9)</f>
        <v>0</v>
      </c>
      <c r="CC168" s="85">
        <f>IF(Y168=0,0,Y168*CC$9)</f>
        <v>0</v>
      </c>
      <c r="CD168" s="85">
        <f>IF(Z168=0,0,Z168*CD$9)</f>
        <v>0</v>
      </c>
      <c r="CE168" s="85">
        <f>IF(AC168=0,0,AC168*CE$9)</f>
        <v>0</v>
      </c>
      <c r="CF168" s="85">
        <f>IF(AA168=0,0,AA168*CF$9)</f>
        <v>0</v>
      </c>
      <c r="CG168" s="85">
        <f>IF(AB168=0,0,AB168*CG$9)</f>
        <v>0</v>
      </c>
      <c r="CH168" s="85">
        <f>IF(AD168=0,0,AD168*CH$9)</f>
        <v>0</v>
      </c>
      <c r="CI168" s="85">
        <f>IF(AE168=0,0,AE168*CI$9)</f>
        <v>16.149999999999999</v>
      </c>
      <c r="CJ168" s="85">
        <f>IF(AF168=0,0,AF168*CJ$9)</f>
        <v>0</v>
      </c>
      <c r="CK168" s="85">
        <f>IF(AG168=0,0,AG168*CK$9)</f>
        <v>0</v>
      </c>
      <c r="CL168" s="100">
        <f>SUM(BR168:CK168)</f>
        <v>23.15</v>
      </c>
      <c r="CM168" s="50"/>
      <c r="CN168" s="104">
        <f>J168</f>
        <v>24</v>
      </c>
      <c r="CO168" s="101">
        <f>CL168/CN168</f>
        <v>0.96458333333333324</v>
      </c>
      <c r="CP168" s="51">
        <f>Seilareal/Lwl/Lwl</f>
        <v>0.66666666666666663</v>
      </c>
      <c r="CQ168" s="116">
        <f>Seilareal/Depl^0.667/K$7</f>
        <v>1.4344984557975764</v>
      </c>
      <c r="CR168" s="51">
        <f>Seilareal/Lwl/Lwl/SApRS1</f>
        <v>1.0115461808884627</v>
      </c>
      <c r="CS168" s="204"/>
      <c r="CT168" s="204">
        <f>(ROUND(TBF/CT$6,3)*CT$6)*CT$4</f>
        <v>119</v>
      </c>
      <c r="CU168" s="107">
        <f t="shared" si="83"/>
        <v>1.1905033734115236</v>
      </c>
      <c r="CV168" s="62">
        <f t="shared" si="789"/>
        <v>3.93502540678513</v>
      </c>
      <c r="CW168" s="62">
        <f t="shared" si="84"/>
        <v>1.7606816861659009</v>
      </c>
      <c r="CX168" s="62">
        <f t="shared" si="790"/>
        <v>1.5650845800732873</v>
      </c>
      <c r="CY168" s="107">
        <f t="shared" si="85"/>
        <v>1.0522814411075829</v>
      </c>
      <c r="CZ168" s="168" t="str">
        <f t="shared" si="1450"/>
        <v>-</v>
      </c>
      <c r="DA168" s="159"/>
      <c r="DB168" s="168">
        <f t="shared" si="1451"/>
        <v>1.1064912280701755</v>
      </c>
      <c r="DC168" s="159">
        <f>DC167</f>
        <v>1.19</v>
      </c>
      <c r="DD168" s="190" t="s">
        <v>134</v>
      </c>
      <c r="DE168" s="62">
        <v>0.85</v>
      </c>
      <c r="DF168" s="62">
        <v>0.87</v>
      </c>
      <c r="DG168" s="62">
        <v>0.94</v>
      </c>
      <c r="DH168" s="152">
        <f>0.94+0.03</f>
        <v>0.97</v>
      </c>
      <c r="DI168" s="62">
        <f t="shared" si="1374"/>
        <v>2.1428939822296749</v>
      </c>
      <c r="DJ168" s="47">
        <f t="shared" si="1375"/>
        <v>13.043478260869565</v>
      </c>
      <c r="DK168" s="48">
        <f t="shared" si="1428"/>
        <v>0</v>
      </c>
      <c r="DM168" s="136">
        <f t="shared" si="1201"/>
        <v>1.1416509519674924</v>
      </c>
      <c r="DN168" s="142">
        <f t="shared" si="1508"/>
        <v>-6.0574677741117133</v>
      </c>
      <c r="DO168" s="107">
        <f t="shared" si="1430"/>
        <v>5.7280783071647869</v>
      </c>
      <c r="DP168" s="133">
        <f>IF(SeilBeregnet=0,DP167,(SeilBeregnet^0.5/(Depl^0.3333))^DP$3*DP$7)</f>
        <v>3.8645528115712136</v>
      </c>
      <c r="DQ168" s="133">
        <f>IF(SeilBeregnet=0,DQ167,(SeilBeregnet^0.5/Lwl)^DQ$3*DQ$7)</f>
        <v>0</v>
      </c>
      <c r="DR168" s="133">
        <f>IF(SeilBeregnet=0,DR167,(0.1*Loa/Depl^0.3333)^DR$3*DR$7)</f>
        <v>0</v>
      </c>
      <c r="DS168" s="133">
        <f>IF(SeilBeregnet=0,DS167,((Loa)/Bredde)^DS$3*DS$7)</f>
        <v>1.8635254955935732</v>
      </c>
      <c r="DT168" s="107">
        <f>IF(SeilBeregnet=0,DT167,(Lwl)^DT$3)</f>
        <v>1.5650845800732873</v>
      </c>
      <c r="DU168" s="133">
        <f>IF(SeilBeregnet=0,DU167,(Dypg/Loa)^DU$3*5*DU$7)</f>
        <v>1.9815906667827816</v>
      </c>
      <c r="DW168" s="72">
        <f t="shared" si="512"/>
        <v>1.2022256297086096</v>
      </c>
      <c r="DX168" s="107">
        <f t="shared" si="1376"/>
        <v>1.0760057229915072</v>
      </c>
      <c r="DY168" s="122">
        <f>DX168-DW168</f>
        <v>-0.12621990671710237</v>
      </c>
      <c r="DZ168" s="107">
        <f t="shared" si="1377"/>
        <v>1.0807824639624033</v>
      </c>
      <c r="EA168" s="122">
        <f t="shared" si="1509"/>
        <v>-0.12144316574620628</v>
      </c>
      <c r="EB168" s="107">
        <f t="shared" si="1432"/>
        <v>1.1713267680891888</v>
      </c>
      <c r="EC168" s="122">
        <f t="shared" si="1510"/>
        <v>-3.0898861619420792E-2</v>
      </c>
      <c r="ED168" s="107">
        <f t="shared" ref="ED168" si="1520">IF(SeilBeregnet=0,ED167,SeilBeregnet^0.5/Depl^0.33333)</f>
        <v>3.8644765816997775</v>
      </c>
      <c r="EE168" s="107">
        <f t="shared" ref="EE168" si="1521">IF(SeilBeregnet=0,EE167,Lwl^0.3333)</f>
        <v>1.8170120679720481</v>
      </c>
      <c r="EF168" s="107">
        <f>IF(SeilBeregnet=0,EF167,((Loa+Lwl)/Bredde)^EF$3)</f>
        <v>1.5779670210741878</v>
      </c>
      <c r="EH168" s="107">
        <f t="shared" si="1434"/>
        <v>1.1681801456327847</v>
      </c>
      <c r="EJ168" s="107">
        <f t="shared" ref="EJ168" si="1522">IF(SeilBeregnet=0,EJ167,SeilBeregnet^0.5/Depl^0.33333)</f>
        <v>3.8644765816997775</v>
      </c>
      <c r="EK168" s="107">
        <f>IF(SeilBeregnet=0,EK167,Lwl^EK$3)</f>
        <v>1.8171097400544527</v>
      </c>
      <c r="EL168" s="107">
        <f>IF(SeilBeregnet=0,EL167,((Loa+Lwl)/Bredde)^EL$3)</f>
        <v>1.8369788246696532</v>
      </c>
      <c r="EM168" s="107">
        <f t="shared" si="1435"/>
        <v>1.159655740380737</v>
      </c>
      <c r="EO168" s="107">
        <f>IF(SeilBeregnet=0,EO167,(EP168*EQ168)^EO$3)</f>
        <v>6.0980165996357583</v>
      </c>
      <c r="EP168" s="107">
        <f t="shared" ref="EP168" si="1523">IF(SeilBeregnet=0,EP167,SeilBeregnet^0.5/Depl^0.33333)</f>
        <v>3.8644765816997775</v>
      </c>
      <c r="EQ168" s="107">
        <f>IF(SeilBeregnet=0,EQ167,((Loa+Lwl)/Bredde)^EQ$3)</f>
        <v>1.5779670210741878</v>
      </c>
      <c r="ER168" s="107">
        <f>IF(SeilBeregnet=0,ER167,Lwl^ER$3)</f>
        <v>1.5650845800732873</v>
      </c>
      <c r="ES168" s="107">
        <f t="shared" si="1212"/>
        <v>1.1620250369397993</v>
      </c>
      <c r="EU168" s="107">
        <f>IF(SeilBeregnet=0,EU167,(EV:EV*EW:EW)^EU$3)</f>
        <v>1.9739011261754147</v>
      </c>
      <c r="EV168" s="107">
        <f t="shared" ref="EV168" si="1524">IF(SeilBeregnet=0,EV167,SeilBeregnet^0.5/Depl^0.33333)</f>
        <v>3.8644765816997775</v>
      </c>
      <c r="EW168" s="107">
        <f>IF(SeilBeregnet=0,EW167,((Loa+Lwl)/Bredde/6)^EW$3)</f>
        <v>1.0082311468433849</v>
      </c>
      <c r="EX168" s="107">
        <f>IF(SeilBeregnet=0,EX167,(Lwl*0.7+Loa*0.3)^EX$3)</f>
        <v>1.5962269088918948</v>
      </c>
      <c r="EY168" s="107">
        <f t="shared" si="1213"/>
        <v>1.0894696633880858</v>
      </c>
      <c r="FA168" s="107">
        <f t="shared" si="1214"/>
        <v>1.9739205944635341</v>
      </c>
      <c r="FB168" s="107">
        <f t="shared" ref="FB168" si="1525">IF(SeilBeregnet=0,FB167,SeilBeregnet^0.5/Depl^0.3333)</f>
        <v>3.8645528115712136</v>
      </c>
      <c r="FC168" s="107">
        <f>IF(SeilBeregnet=0,FC167,((Loa+Lwl)/Bredde/6)^FC$3)</f>
        <v>1.0082311468433849</v>
      </c>
      <c r="FD168" s="107">
        <f>IF(SeilBeregnet=0,FD167,(Lwl*0.7+Loa*0.3)^FD$3)</f>
        <v>1.5962269088918948</v>
      </c>
      <c r="FE168" s="107">
        <f t="shared" si="1215"/>
        <v>1.1475164253777697</v>
      </c>
      <c r="FF168" s="141">
        <f t="shared" si="1511"/>
        <v>-5.4709204330839922</v>
      </c>
      <c r="FG168" s="107">
        <f t="shared" si="1217"/>
        <v>3.9284340452488706</v>
      </c>
      <c r="FH168" s="133">
        <f>IF(SeilBeregnet=0,FH167,(SeilBeregnet^0.5/(Depl^0.3333))^FH$3)</f>
        <v>3.8645528115712136</v>
      </c>
      <c r="FI168" s="133">
        <f>IF(SeilBeregnet=0,FI167,((Loa+Lwl)/Bredde/6)^FI$3)</f>
        <v>1.0165300454651272</v>
      </c>
      <c r="FJ168" s="107">
        <f>IF(SeilBeregnet=0,FJ167,(Lwl*0.07+Loa*0.03)^FJ$3)</f>
        <v>0.89762435525076267</v>
      </c>
      <c r="FK168" s="107">
        <f t="shared" si="1218"/>
        <v>1.1530550891391096</v>
      </c>
      <c r="FL168" s="141">
        <f t="shared" si="1512"/>
        <v>-4.9170540569499988</v>
      </c>
      <c r="FM168" s="107">
        <f t="shared" si="1220"/>
        <v>6.0299857554127474</v>
      </c>
      <c r="FN168" s="133">
        <f>IF(SeilBeregnet=0,FN167,(SeilBeregnet^0.5/(Depl^0.3333))^FN$3)</f>
        <v>3.8645528115712136</v>
      </c>
      <c r="FO168" s="133">
        <f>IF(SeilBeregnet=0,FO167,(SeilBeregnet^0.5/Lwl*FO$7)^FO$3)</f>
        <v>0.80190744824796056</v>
      </c>
      <c r="FP168" s="133">
        <f>IF(SeilBeregnet=0,FP167,((Loa)/Bredde)^FP$3*FP$7)</f>
        <v>1.8635254955935732</v>
      </c>
      <c r="FQ168" s="107">
        <f>IF(SeilBeregnet=0,FQ167,(Lwl)^FQ$3)</f>
        <v>1.5650845800732873</v>
      </c>
      <c r="FR168" s="107">
        <f t="shared" si="1221"/>
        <v>1.15202217633332</v>
      </c>
      <c r="FS168" s="141">
        <f t="shared" si="1513"/>
        <v>-5.0203453375289531</v>
      </c>
      <c r="FT168" s="107">
        <f t="shared" si="1223"/>
        <v>7.2016926934307826</v>
      </c>
      <c r="FU168" s="133">
        <f>IF(SeilBeregnet=0,FU167,(SeilBeregnet^0.5/(Depl^0.3333))^FU$3)</f>
        <v>3.8645528115712136</v>
      </c>
      <c r="FV168" s="133">
        <f>IF(SeilBeregnet=0,FV167,(Loa/Bredde)^FV$3)</f>
        <v>1.8635254955935732</v>
      </c>
      <c r="FW168" s="107">
        <f>IF(SeilBeregnet=0,FW167,Lwl^FW$3)</f>
        <v>1.5650845800732873</v>
      </c>
      <c r="FY168" s="336">
        <v>1</v>
      </c>
      <c r="FZ168" s="62">
        <f t="shared" si="1452"/>
        <v>1.1285561191384494</v>
      </c>
      <c r="GA168" s="62">
        <f t="shared" si="1378"/>
        <v>1.9815906667827816</v>
      </c>
      <c r="GB168" s="107">
        <f t="shared" si="798"/>
        <v>1.7212428226472574</v>
      </c>
      <c r="GC168" s="440"/>
      <c r="GD168" s="17"/>
      <c r="GE168" s="442"/>
      <c r="GF168" s="462"/>
      <c r="GG168" s="17"/>
      <c r="GH168" s="17"/>
      <c r="GI168" s="17"/>
      <c r="GJ168" s="17"/>
      <c r="GL168" s="17"/>
      <c r="GM168" s="442"/>
      <c r="GN168" s="8"/>
      <c r="GO168" s="8"/>
      <c r="GP168" s="8"/>
      <c r="GQ168" s="8"/>
      <c r="GS168" s="17"/>
      <c r="GT168" s="17"/>
      <c r="GU168" s="17"/>
      <c r="GV168" s="629"/>
      <c r="GW168" s="17"/>
      <c r="GX168" s="17"/>
      <c r="GY168" s="17"/>
      <c r="GZ168" s="17"/>
    </row>
    <row r="169" spans="1:208" ht="15.6" x14ac:dyDescent="0.3">
      <c r="A169" s="52" t="s">
        <v>702</v>
      </c>
      <c r="B169" s="218">
        <f t="shared" si="10"/>
        <v>59.055118110236215</v>
      </c>
      <c r="C169" s="53" t="s">
        <v>38</v>
      </c>
      <c r="D169" s="53"/>
      <c r="E169" s="53"/>
      <c r="F169" s="53"/>
      <c r="G169" s="54"/>
      <c r="H169" s="112">
        <f>J170</f>
        <v>175</v>
      </c>
      <c r="I169" s="601">
        <f>H170/100</f>
        <v>1.43</v>
      </c>
      <c r="J169" s="651">
        <f>IF(DC170=0,"-",DC170)</f>
        <v>1.38</v>
      </c>
      <c r="K169" s="123" t="str">
        <f>A169</f>
        <v>Mingary</v>
      </c>
      <c r="L169" s="116"/>
      <c r="M169" s="116"/>
      <c r="N169" s="92"/>
      <c r="O169" s="165">
        <v>28</v>
      </c>
      <c r="P169" s="165"/>
      <c r="Q169" s="165"/>
      <c r="R169" s="165">
        <v>31</v>
      </c>
      <c r="S169" s="165"/>
      <c r="T169" s="165"/>
      <c r="U169" s="165">
        <v>28</v>
      </c>
      <c r="V169" s="559"/>
      <c r="W169" s="559"/>
      <c r="X169" s="165"/>
      <c r="Y169" s="165"/>
      <c r="Z169" s="165"/>
      <c r="AA169" s="165"/>
      <c r="AB169" s="165"/>
      <c r="AC169" s="165"/>
      <c r="AD169" s="165"/>
      <c r="AE169" s="165">
        <v>60</v>
      </c>
      <c r="AF169" s="165"/>
      <c r="AG169" s="552">
        <v>28</v>
      </c>
      <c r="AH169" s="241">
        <f>Loa*1.2</f>
        <v>21.599999999999998</v>
      </c>
      <c r="AI169" s="241">
        <f>Loa*1.2</f>
        <v>21.599999999999998</v>
      </c>
      <c r="AJ169" s="554"/>
      <c r="AK169" s="339"/>
      <c r="AL169" s="268"/>
      <c r="AM169" s="339"/>
      <c r="AN169" s="268" t="s">
        <v>214</v>
      </c>
      <c r="AO169" s="45">
        <f>VLOOKUP(AN169,Skrogform!$1:$1048576,3,FALSE)</f>
        <v>1</v>
      </c>
      <c r="AP169" s="55">
        <v>18</v>
      </c>
      <c r="AQ169" s="55">
        <v>12.5</v>
      </c>
      <c r="AR169" s="55">
        <v>4.0999999999999996</v>
      </c>
      <c r="AS169" s="55">
        <v>2.7</v>
      </c>
      <c r="AT169" s="637">
        <f>AU169</f>
        <v>28</v>
      </c>
      <c r="AU169" s="55">
        <v>28</v>
      </c>
      <c r="AV169" s="55">
        <v>10</v>
      </c>
      <c r="AW169" s="55"/>
      <c r="AX169" s="253"/>
      <c r="AY169" s="253"/>
      <c r="AZ169" s="254">
        <f>AY169*7</f>
        <v>0</v>
      </c>
      <c r="BA169" s="253"/>
      <c r="BB169" s="253"/>
      <c r="BC169" s="244">
        <f>Depl+Diesel/1000*0.84+Vann/1000</f>
        <v>28</v>
      </c>
      <c r="BD169" s="95">
        <f>Bredde/(Loa+Lwl)*2</f>
        <v>0.26885245901639343</v>
      </c>
      <c r="BE169" s="95">
        <f>(Kjøl+Ballast)/Depl</f>
        <v>0.35714285714285715</v>
      </c>
      <c r="BF169" s="260">
        <f>BF$7*((Depl-Kjøl-Ballast-VektMotor/1000-VektAnnet/1000)/Lwl/Lwl/Bredde)</f>
        <v>1.0603475716322701</v>
      </c>
      <c r="BG169" s="95">
        <f>BG$7*(Depl/Loa/Lwl/Lwl)</f>
        <v>0.73262162773333328</v>
      </c>
      <c r="BH169" s="174">
        <f>BH$7*(Depl/Loa/Lwl/Bredde)</f>
        <v>0.82561619512195139</v>
      </c>
      <c r="BI169" s="95">
        <f>BI$7*Bredde/(Loa+Lwl)*2</f>
        <v>0.76695222986074374</v>
      </c>
      <c r="BJ169" s="95">
        <f>BJ$7*(Dypg/Lwl)</f>
        <v>1.1814260869565218</v>
      </c>
      <c r="BK169" s="56" t="s">
        <v>39</v>
      </c>
      <c r="BL169" s="268">
        <v>3</v>
      </c>
      <c r="BM169" s="268">
        <v>40</v>
      </c>
      <c r="BN169" s="45">
        <f t="shared" si="1197"/>
        <v>0.99161170113510466</v>
      </c>
      <c r="BO169" s="59"/>
      <c r="BP169" s="59"/>
      <c r="BR169" s="209"/>
      <c r="BS169" s="209"/>
      <c r="BT169" s="209" t="str">
        <f>$A169</f>
        <v>Mingary</v>
      </c>
      <c r="BU169" s="10"/>
      <c r="BV169" s="10"/>
      <c r="BW169" s="10"/>
      <c r="BX169" s="10"/>
      <c r="BY169" s="549"/>
      <c r="BZ169" s="10"/>
      <c r="CA169" s="10"/>
      <c r="CB169" s="209" t="str">
        <f>$A169</f>
        <v>Mingary</v>
      </c>
      <c r="CC169" s="10"/>
      <c r="CD169" s="10"/>
      <c r="CE169" s="10"/>
      <c r="CF169" s="10"/>
      <c r="CG169" s="10"/>
      <c r="CH169" s="10"/>
      <c r="CI169" s="10"/>
      <c r="CJ169" s="10"/>
      <c r="CK169" s="10"/>
      <c r="CL169" s="209"/>
      <c r="CM169" s="10"/>
      <c r="CN169" s="209" t="str">
        <f>$A169</f>
        <v>Mingary</v>
      </c>
      <c r="CO169" s="207"/>
      <c r="CP169" s="207"/>
      <c r="CQ169" s="116"/>
      <c r="CR169" s="207"/>
      <c r="CS169" s="203"/>
      <c r="CT169" s="203" t="s">
        <v>23</v>
      </c>
      <c r="CU169" s="107" t="str">
        <f t="shared" si="83"/>
        <v>-</v>
      </c>
      <c r="CV169" s="62" t="str">
        <f t="shared" si="523"/>
        <v>-</v>
      </c>
      <c r="CW169" s="62" t="str">
        <f t="shared" si="84"/>
        <v>-</v>
      </c>
      <c r="CX169" s="62" t="str">
        <f t="shared" si="524"/>
        <v>-</v>
      </c>
      <c r="CY169" s="107" t="str">
        <f t="shared" si="85"/>
        <v>-</v>
      </c>
      <c r="CZ169" s="168" t="str">
        <f t="shared" si="1450"/>
        <v>-</v>
      </c>
      <c r="DA169" s="158"/>
      <c r="DB169" s="168" t="str">
        <f t="shared" si="1451"/>
        <v>-</v>
      </c>
      <c r="DC169" s="160">
        <v>1.38</v>
      </c>
      <c r="DD169" s="190" t="s">
        <v>134</v>
      </c>
      <c r="DE169" s="29" t="s">
        <v>23</v>
      </c>
      <c r="DF169" s="29" t="s">
        <v>23</v>
      </c>
      <c r="DG169" s="29" t="s">
        <v>23</v>
      </c>
      <c r="DH169" s="149">
        <v>2022</v>
      </c>
      <c r="DI169" s="62" t="str">
        <f t="shared" si="1374"/>
        <v>-</v>
      </c>
      <c r="DJ169" s="47">
        <f t="shared" si="1375"/>
        <v>15.340909090909092</v>
      </c>
      <c r="DK169" s="48">
        <f t="shared" si="1428"/>
        <v>0</v>
      </c>
      <c r="DM169" s="107" t="str">
        <f t="shared" si="1201"/>
        <v>-</v>
      </c>
      <c r="DN169" s="141" t="str">
        <f t="shared" si="1508"/>
        <v>-</v>
      </c>
      <c r="DO169" s="107">
        <f t="shared" si="1430"/>
        <v>5.8956403450916062</v>
      </c>
      <c r="DP169" s="133">
        <f>IF(SeilBeregnet=0,DP133,(SeilBeregnet^0.5/(Depl^0.3333))^DP$3*DP$7)</f>
        <v>4.0002267773991642</v>
      </c>
      <c r="DQ169" s="133">
        <f>IF(SeilBeregnet=0,DQ133,(SeilBeregnet^0.5/Lwl)^DQ$3*DQ$7)</f>
        <v>0</v>
      </c>
      <c r="DR169" s="133">
        <f>IF(SeilBeregnet=0,DR133,(0.1*Loa/Depl^0.3333)^DR$3*DR$7)</f>
        <v>0</v>
      </c>
      <c r="DS169" s="133">
        <f>IF(SeilBeregnet=0,DS133,((Loa)/Bredde)^DS$3*DS$7)</f>
        <v>1.8954135676924422</v>
      </c>
      <c r="DT169" s="107">
        <f>IF(SeilBeregnet=0,DT133,(Lwl)^DT$3)</f>
        <v>1.7223470599267343</v>
      </c>
      <c r="DU169" s="133">
        <f>IF(SeilBeregnet=0,DU133,(Dypg/Loa)^DU$3*5*DU$7)</f>
        <v>1.8995387394523999</v>
      </c>
      <c r="DW169" s="107" t="str">
        <f t="shared" si="1241"/>
        <v>-</v>
      </c>
      <c r="DX169" s="107" t="str">
        <f t="shared" si="1376"/>
        <v>-</v>
      </c>
      <c r="DZ169" s="107" t="str">
        <f t="shared" si="1377"/>
        <v>-</v>
      </c>
      <c r="EA169" s="122" t="str">
        <f t="shared" si="1509"/>
        <v>-</v>
      </c>
      <c r="EB169" s="107" t="str">
        <f t="shared" si="1432"/>
        <v>-</v>
      </c>
      <c r="EC169" s="122" t="str">
        <f t="shared" si="1510"/>
        <v>-</v>
      </c>
      <c r="ED169" s="107">
        <f>IF(SeilBeregnet=0,ED133,SeilBeregnet^0.5/Depl^0.33333)</f>
        <v>4.000015828052117</v>
      </c>
      <c r="EE169" s="107">
        <f>IF(SeilBeregnet=0,EE133,Lwl^0.3333)</f>
        <v>2.0644105728067443</v>
      </c>
      <c r="EF169" s="107">
        <f>IF(SeilBeregnet=0,EF133,((Loa+Lwl)/Bredde)^EF$3)</f>
        <v>1.6179011774099146</v>
      </c>
      <c r="EH169" s="107" t="str">
        <f t="shared" si="1434"/>
        <v>-</v>
      </c>
      <c r="EJ169" s="107">
        <f>IF(SeilBeregnet=0,EJ133,SeilBeregnet^0.5/Depl^0.33333)</f>
        <v>4.000015828052117</v>
      </c>
      <c r="EK169" s="107">
        <f>IF(SeilBeregnet=0,EK133,Lwl^EK$3)</f>
        <v>2.0645452646139271</v>
      </c>
      <c r="EL169" s="107">
        <f>IF(SeilBeregnet=0,EL133,((Loa+Lwl)/Bredde)^EL$3)</f>
        <v>1.8992178984985733</v>
      </c>
      <c r="EM169" s="107" t="str">
        <f t="shared" si="1435"/>
        <v>-</v>
      </c>
      <c r="EO169" s="107">
        <f>IF(SeilBeregnet=0,EO133,(EP169*EQ169)^EO$3)</f>
        <v>6.4716303178638146</v>
      </c>
      <c r="EP169" s="107">
        <f>IF(SeilBeregnet=0,EP133,SeilBeregnet^0.5/Depl^0.33333)</f>
        <v>4.000015828052117</v>
      </c>
      <c r="EQ169" s="107">
        <f>IF(SeilBeregnet=0,EQ133,((Loa+Lwl)/Bredde)^EQ$3)</f>
        <v>1.6179011774099146</v>
      </c>
      <c r="ER169" s="107">
        <f>IF(SeilBeregnet=0,ER133,Lwl^ER$3)</f>
        <v>1.7223470599267343</v>
      </c>
      <c r="ES169" s="107" t="str">
        <f t="shared" si="1212"/>
        <v>-</v>
      </c>
      <c r="EU169" s="107">
        <f>IF(SeilBeregnet=0,EU133,(EV:EV*EW:EW)^EU$3)</f>
        <v>2.0334708173047864</v>
      </c>
      <c r="EV169" s="107">
        <f>IF(SeilBeregnet=0,EV133,SeilBeregnet^0.5/Depl^0.33333)</f>
        <v>4.000015828052117</v>
      </c>
      <c r="EW169" s="107">
        <f>IF(SeilBeregnet=0,EW133,((Loa+Lwl)/Bredde/6)^EW$3)</f>
        <v>1.03374680065799</v>
      </c>
      <c r="EX169" s="107">
        <f>IF(SeilBeregnet=0,EX133,(Lwl*0.7+Loa*0.3)^EX$3)</f>
        <v>1.7354089054960848</v>
      </c>
      <c r="EY169" s="107" t="str">
        <f t="shared" si="1213"/>
        <v>-</v>
      </c>
      <c r="FA169" s="107">
        <f t="shared" si="1214"/>
        <v>2.0335244363033378</v>
      </c>
      <c r="FB169" s="107">
        <f>IF(SeilBeregnet=0,FB133,SeilBeregnet^0.5/Depl^0.3333)</f>
        <v>4.0002267773991642</v>
      </c>
      <c r="FC169" s="107">
        <f>IF(SeilBeregnet=0,FC133,((Loa+Lwl)/Bredde/6)^FC$3)</f>
        <v>1.03374680065799</v>
      </c>
      <c r="FD169" s="107">
        <f>IF(SeilBeregnet=0,FD133,(Lwl*0.7+Loa*0.3)^FD$3)</f>
        <v>1.7354089054960848</v>
      </c>
      <c r="FE169" s="107" t="str">
        <f t="shared" si="1215"/>
        <v>-</v>
      </c>
      <c r="FF169" s="141" t="str">
        <f t="shared" si="1511"/>
        <v>-</v>
      </c>
      <c r="FG169" s="107">
        <f t="shared" si="1217"/>
        <v>4.2747721331697113</v>
      </c>
      <c r="FH169" s="133">
        <f>IF(SeilBeregnet=0,FH133,(SeilBeregnet^0.5/(Depl^0.3333))^FH$3)</f>
        <v>4.0002267773991642</v>
      </c>
      <c r="FI169" s="133">
        <f>IF(SeilBeregnet=0,FI133,((Loa+Lwl)/Bredde/6)^FI$3)</f>
        <v>1.0686324478706302</v>
      </c>
      <c r="FJ169" s="107">
        <f>IF(SeilBeregnet=0,FJ133,(Lwl*0.07+Loa*0.03)^FJ$3)</f>
        <v>0.97589214366380161</v>
      </c>
      <c r="FK169" s="107" t="str">
        <f t="shared" si="1218"/>
        <v>-</v>
      </c>
      <c r="FL169" s="141" t="str">
        <f t="shared" si="1512"/>
        <v>-</v>
      </c>
      <c r="FM169" s="107">
        <f t="shared" si="1220"/>
        <v>6.2123214182202853</v>
      </c>
      <c r="FN169" s="133">
        <f>IF(SeilBeregnet=0,FN133,(SeilBeregnet^0.5/(Depl^0.3333))^FN$3)</f>
        <v>4.0002267773991642</v>
      </c>
      <c r="FO169" s="133">
        <f>IF(SeilBeregnet=0,FO133,(SeilBeregnet^0.5/Lwl*FO$7)^FO$3)</f>
        <v>0.81668107312867944</v>
      </c>
      <c r="FP169" s="133">
        <f>IF(SeilBeregnet=0,FP133,((Loa)/Bredde)^FP$3*FP$7)</f>
        <v>1.8954135676924422</v>
      </c>
      <c r="FQ169" s="107">
        <f>IF(SeilBeregnet=0,FQ133,(Lwl)^FQ$3)</f>
        <v>1.7223470599267343</v>
      </c>
      <c r="FR169" s="107" t="str">
        <f t="shared" si="1221"/>
        <v>-</v>
      </c>
      <c r="FS169" s="141" t="str">
        <f t="shared" si="1513"/>
        <v>-</v>
      </c>
      <c r="FT169" s="107">
        <f t="shared" si="1223"/>
        <v>7.5820841077289902</v>
      </c>
      <c r="FU169" s="133">
        <f>IF(SeilBeregnet=0,FU133,(SeilBeregnet^0.5/(Depl^0.3333))^FU$3)</f>
        <v>4.0002267773991642</v>
      </c>
      <c r="FV169" s="133">
        <f>IF(SeilBeregnet=0,FV133,(Loa/Bredde)^FV$3)</f>
        <v>1.8954135676924422</v>
      </c>
      <c r="FW169" s="107">
        <f>IF(SeilBeregnet=0,FW133,Lwl^FW$3)</f>
        <v>1.7223470599267343</v>
      </c>
      <c r="FX169" s="522">
        <v>1.38</v>
      </c>
      <c r="FY169" s="336">
        <v>1</v>
      </c>
      <c r="FZ169" s="62" t="str">
        <f t="shared" si="1452"/>
        <v>-</v>
      </c>
      <c r="GA169" s="62">
        <f t="shared" si="1378"/>
        <v>1.9364916731037085</v>
      </c>
      <c r="GB169" s="107" t="str">
        <f t="shared" si="798"/>
        <v>-</v>
      </c>
      <c r="GC169" s="441">
        <v>69</v>
      </c>
      <c r="GD169" s="57" t="s">
        <v>703</v>
      </c>
      <c r="GE169" s="436" t="s">
        <v>704</v>
      </c>
      <c r="GF169" s="496" t="s">
        <v>705</v>
      </c>
      <c r="GG169" s="57" t="s">
        <v>478</v>
      </c>
      <c r="GH169" s="57" t="s">
        <v>478</v>
      </c>
      <c r="GI169" s="57" t="s">
        <v>425</v>
      </c>
      <c r="GJ169" s="57" t="s">
        <v>478</v>
      </c>
      <c r="GL169" s="57" t="s">
        <v>478</v>
      </c>
      <c r="GM169" s="436" t="s">
        <v>478</v>
      </c>
      <c r="GN169" s="58" t="s">
        <v>478</v>
      </c>
      <c r="GO169" s="58" t="s">
        <v>478</v>
      </c>
      <c r="GP169" s="58" t="s">
        <v>478</v>
      </c>
      <c r="GQ169" s="58" t="s">
        <v>478</v>
      </c>
      <c r="GS169" s="57" t="s">
        <v>208</v>
      </c>
      <c r="GT169" s="57" t="s">
        <v>706</v>
      </c>
      <c r="GU169" s="57" t="s">
        <v>707</v>
      </c>
      <c r="GV169" s="632" t="s">
        <v>707</v>
      </c>
      <c r="GW169" s="57">
        <v>1929</v>
      </c>
      <c r="GX169" s="57" t="s">
        <v>431</v>
      </c>
      <c r="GY169" s="57" t="s">
        <v>438</v>
      </c>
      <c r="GZ169" s="57" t="s">
        <v>478</v>
      </c>
    </row>
    <row r="170" spans="1:208" ht="15.6" x14ac:dyDescent="0.3">
      <c r="A170" s="60" t="s">
        <v>940</v>
      </c>
      <c r="B170" s="218"/>
      <c r="C170" s="61" t="str">
        <f>C169</f>
        <v>Bermuda</v>
      </c>
      <c r="D170" s="61"/>
      <c r="E170" s="61"/>
      <c r="F170" s="61"/>
      <c r="G170" s="54"/>
      <c r="H170" s="204">
        <f>IF(StH=0,0,TBFavrundet)</f>
        <v>143</v>
      </c>
      <c r="I170" s="63">
        <f>COUNTA(O170:AG170)</f>
        <v>5</v>
      </c>
      <c r="J170" s="222">
        <f>SUM(O170:AG170)</f>
        <v>175</v>
      </c>
      <c r="K170" s="116">
        <f>Seilareal/Depl^0.667/K$7</f>
        <v>1.756868314259914</v>
      </c>
      <c r="L170" s="116">
        <f>Seilareal/Lwl/Lwl/L$7</f>
        <v>1.6993975838926174</v>
      </c>
      <c r="M170" s="92">
        <f>RiggF</f>
        <v>0.70485714285714285</v>
      </c>
      <c r="N170" s="242">
        <f>StHfaktor</f>
        <v>1.0707620420267241</v>
      </c>
      <c r="O170" s="165">
        <v>28</v>
      </c>
      <c r="P170" s="165"/>
      <c r="Q170" s="143"/>
      <c r="R170" s="165">
        <v>31</v>
      </c>
      <c r="S170" s="143"/>
      <c r="T170" s="143"/>
      <c r="U170" s="165">
        <v>28</v>
      </c>
      <c r="V170" s="559"/>
      <c r="W170" s="559"/>
      <c r="X170" s="143"/>
      <c r="Y170" s="143"/>
      <c r="Z170" s="143"/>
      <c r="AA170" s="143"/>
      <c r="AB170" s="143"/>
      <c r="AC170" s="143"/>
      <c r="AD170" s="143"/>
      <c r="AE170" s="165">
        <v>60</v>
      </c>
      <c r="AF170" s="143"/>
      <c r="AG170" s="552">
        <v>28</v>
      </c>
      <c r="AH170" s="557">
        <f t="shared" ref="AH170:AI170" si="1526">AH169</f>
        <v>21.599999999999998</v>
      </c>
      <c r="AI170" s="557">
        <f t="shared" si="1526"/>
        <v>21.599999999999998</v>
      </c>
      <c r="AJ170" s="337">
        <f t="shared" ref="AJ170" si="1527" xml:space="preserve"> AJ169</f>
        <v>0</v>
      </c>
      <c r="AK170" s="339"/>
      <c r="AL170" s="337">
        <f t="shared" ref="AL170" si="1528" xml:space="preserve"> AL169</f>
        <v>0</v>
      </c>
      <c r="AM170" s="339"/>
      <c r="AN170" s="267" t="str">
        <f t="shared" ref="AN170:AN171" si="1529" xml:space="preserve"> AN169</f>
        <v>Meter</v>
      </c>
      <c r="AO170" s="45">
        <f>VLOOKUP(AN170,Skrogform!$1:$1048576,3,FALSE)</f>
        <v>1</v>
      </c>
      <c r="AP170" s="64">
        <f t="shared" ref="AP170:BB170" si="1530">AP169</f>
        <v>18</v>
      </c>
      <c r="AQ170" s="64">
        <f t="shared" si="1530"/>
        <v>12.5</v>
      </c>
      <c r="AR170" s="64">
        <f t="shared" si="1530"/>
        <v>4.0999999999999996</v>
      </c>
      <c r="AS170" s="64">
        <f t="shared" si="1530"/>
        <v>2.7</v>
      </c>
      <c r="AT170" s="64">
        <f t="shared" ref="AT170" si="1531">AT169</f>
        <v>28</v>
      </c>
      <c r="AU170" s="64">
        <f t="shared" si="1530"/>
        <v>28</v>
      </c>
      <c r="AV170" s="64">
        <f t="shared" si="1530"/>
        <v>10</v>
      </c>
      <c r="AW170" s="64">
        <f t="shared" si="1530"/>
        <v>0</v>
      </c>
      <c r="AX170" s="256">
        <f>AX169</f>
        <v>0</v>
      </c>
      <c r="AY170" s="256">
        <f t="shared" si="1530"/>
        <v>0</v>
      </c>
      <c r="AZ170" s="256">
        <f t="shared" si="1530"/>
        <v>0</v>
      </c>
      <c r="BA170" s="256">
        <f t="shared" si="1530"/>
        <v>0</v>
      </c>
      <c r="BB170" s="256">
        <f t="shared" si="1530"/>
        <v>0</v>
      </c>
      <c r="BC170" s="256"/>
      <c r="BD170" s="66"/>
      <c r="BE170" s="66"/>
      <c r="BF170" s="261"/>
      <c r="BG170" s="66"/>
      <c r="BH170" s="175"/>
      <c r="BI170" s="66"/>
      <c r="BJ170" s="66"/>
      <c r="BK170" s="65" t="str">
        <f t="shared" ref="BK170:BM170" si="1532" xml:space="preserve"> BK169</f>
        <v>Fast</v>
      </c>
      <c r="BL170" s="267">
        <f t="shared" si="1532"/>
        <v>3</v>
      </c>
      <c r="BM170" s="267">
        <f t="shared" si="1532"/>
        <v>40</v>
      </c>
      <c r="BN170" s="45">
        <f t="shared" si="1197"/>
        <v>0.99161170113510466</v>
      </c>
      <c r="BO170" s="59"/>
      <c r="BP170" s="59"/>
      <c r="BR170" s="49">
        <f t="shared" ref="BR170:BX171" si="1533">IF(O170=0,0,O170*BR$9)</f>
        <v>1.4000000000000001</v>
      </c>
      <c r="BS170" s="49">
        <f t="shared" si="1533"/>
        <v>0</v>
      </c>
      <c r="BT170" s="49">
        <f t="shared" si="1533"/>
        <v>0</v>
      </c>
      <c r="BU170" s="49">
        <f t="shared" si="1533"/>
        <v>31</v>
      </c>
      <c r="BV170" s="49">
        <f t="shared" si="1533"/>
        <v>0</v>
      </c>
      <c r="BW170" s="49">
        <f t="shared" si="1533"/>
        <v>0</v>
      </c>
      <c r="BX170" s="49">
        <f t="shared" si="1533"/>
        <v>28</v>
      </c>
      <c r="BY170" s="549">
        <f>IF(COUNT(Q170:U170)&gt;1,MINA(Q170:U170)*BY$9,0)</f>
        <v>-14</v>
      </c>
      <c r="BZ170" s="85">
        <f t="shared" ref="BZ170:CD171" si="1534">IF(V170=0,0,V170*BZ$9)</f>
        <v>0</v>
      </c>
      <c r="CA170" s="85">
        <f t="shared" si="1534"/>
        <v>0</v>
      </c>
      <c r="CB170" s="85">
        <f t="shared" si="1534"/>
        <v>0</v>
      </c>
      <c r="CC170" s="85">
        <f t="shared" si="1534"/>
        <v>0</v>
      </c>
      <c r="CD170" s="85">
        <f t="shared" si="1534"/>
        <v>0</v>
      </c>
      <c r="CE170" s="85">
        <f>IF(AC170=0,0,AC170*CE$9)</f>
        <v>0</v>
      </c>
      <c r="CF170" s="85">
        <f>IF(AA170=0,0,AA170*CF$9)</f>
        <v>0</v>
      </c>
      <c r="CG170" s="85">
        <f>IF(AB170=0,0,AB170*CG$9)</f>
        <v>0</v>
      </c>
      <c r="CH170" s="85">
        <f t="shared" ref="CH170:CK171" si="1535">IF(AD170=0,0,AD170*CH$9)</f>
        <v>0</v>
      </c>
      <c r="CI170" s="85">
        <f t="shared" si="1535"/>
        <v>57</v>
      </c>
      <c r="CJ170" s="85">
        <f t="shared" si="1535"/>
        <v>0</v>
      </c>
      <c r="CK170" s="85">
        <f t="shared" si="1535"/>
        <v>19.949999999999996</v>
      </c>
      <c r="CL170" s="100">
        <f>SUM(BR170:CK170)</f>
        <v>123.35</v>
      </c>
      <c r="CM170" s="50"/>
      <c r="CN170" s="104">
        <f>J170</f>
        <v>175</v>
      </c>
      <c r="CO170" s="101">
        <f>CL170/CN170</f>
        <v>0.70485714285714285</v>
      </c>
      <c r="CP170" s="51">
        <f>Seilareal/Lwl/Lwl</f>
        <v>1.1200000000000001</v>
      </c>
      <c r="CQ170" s="116">
        <f>Seilareal/Depl^0.667/K$7</f>
        <v>1.756868314259914</v>
      </c>
      <c r="CR170" s="51">
        <f>Seilareal/Lwl/Lwl/SApRS1</f>
        <v>1.6993975838926174</v>
      </c>
      <c r="CS170" s="204"/>
      <c r="CT170" s="204">
        <f>(ROUND(TBF/CT$6,3)*CT$6)*CT$4</f>
        <v>143</v>
      </c>
      <c r="CU170" s="107">
        <f t="shared" si="83"/>
        <v>1.430811886513532</v>
      </c>
      <c r="CV170" s="62">
        <f t="shared" si="523"/>
        <v>3.9070248612231091</v>
      </c>
      <c r="CW170" s="62">
        <f t="shared" si="84"/>
        <v>1.928603690528967</v>
      </c>
      <c r="CX170" s="62">
        <f t="shared" si="524"/>
        <v>1.8803015465431969</v>
      </c>
      <c r="CY170" s="107">
        <f t="shared" si="85"/>
        <v>1.0707620420267241</v>
      </c>
      <c r="CZ170" s="168" t="str">
        <f t="shared" si="1450"/>
        <v>-</v>
      </c>
      <c r="DA170" s="159">
        <f>DA169</f>
        <v>0</v>
      </c>
      <c r="DB170" s="168">
        <f t="shared" si="1451"/>
        <v>1.2831578947368423</v>
      </c>
      <c r="DC170" s="159">
        <f>DC169</f>
        <v>1.38</v>
      </c>
      <c r="DD170" s="190" t="s">
        <v>134</v>
      </c>
      <c r="DE170" s="62" t="s">
        <v>102</v>
      </c>
      <c r="DF170" s="62" t="s">
        <v>102</v>
      </c>
      <c r="DG170" s="62" t="s">
        <v>102</v>
      </c>
      <c r="DH170" s="150" t="s">
        <v>102</v>
      </c>
      <c r="DI170" s="62">
        <f t="shared" si="1374"/>
        <v>2.2108070141955345</v>
      </c>
      <c r="DJ170" s="47">
        <f t="shared" si="1375"/>
        <v>15.340909090909092</v>
      </c>
      <c r="DK170" s="48">
        <f t="shared" si="1428"/>
        <v>0</v>
      </c>
      <c r="DM170" s="107">
        <f t="shared" ref="DM170:DM186" si="1536">IF(SeilBeregnet=0,"-",DM$7*(DO:DO+DM$6)*DT:DT*PropF+ErfaringsF+Dyp_F)</f>
        <v>1.3301468804190562</v>
      </c>
      <c r="DN170" s="141" t="str">
        <f t="shared" si="1508"/>
        <v>-</v>
      </c>
      <c r="DO170" s="107">
        <f t="shared" si="1430"/>
        <v>5.7531906897605438</v>
      </c>
      <c r="DP170" s="133">
        <f>IF(SeilBeregnet=0,DP169,(SeilBeregnet^0.5/(Depl^0.3333))^DP$3*DP$7)</f>
        <v>3.6578998024518086</v>
      </c>
      <c r="DQ170" s="133">
        <f>IF(SeilBeregnet=0,DQ169,(SeilBeregnet^0.5/Lwl)^DQ$3*DQ$7)</f>
        <v>0</v>
      </c>
      <c r="DR170" s="133">
        <f>IF(SeilBeregnet=0,DR169,(0.1*Loa/Depl^0.3333)^DR$3*DR$7)</f>
        <v>0</v>
      </c>
      <c r="DS170" s="133">
        <f>IF(SeilBeregnet=0,DS169,((Loa)/Bredde)^DS$3*DS$7)</f>
        <v>2.0952908873087348</v>
      </c>
      <c r="DT170" s="107">
        <f>IF(SeilBeregnet=0,DT169,(Lwl)^DT$3)</f>
        <v>1.8803015465431969</v>
      </c>
      <c r="DU170" s="133">
        <f>IF(SeilBeregnet=0,DU169,(Dypg/Loa)^DU$3*5*DU$7)</f>
        <v>1.9364916731037085</v>
      </c>
      <c r="DW170" s="107">
        <f t="shared" si="1241"/>
        <v>1.4308118865135317</v>
      </c>
      <c r="DX170" s="107">
        <f t="shared" si="1376"/>
        <v>1.3660987734026875</v>
      </c>
      <c r="DZ170" s="107">
        <f t="shared" si="1377"/>
        <v>1.3351749790055529</v>
      </c>
      <c r="EA170" s="122" t="str">
        <f t="shared" si="1509"/>
        <v>-</v>
      </c>
      <c r="EB170" s="107">
        <f t="shared" si="1432"/>
        <v>1.360543636442487</v>
      </c>
      <c r="EC170" s="122" t="str">
        <f t="shared" si="1510"/>
        <v>-</v>
      </c>
      <c r="ED170" s="107">
        <f>IF(SeilBeregnet=0,ED169,SeilBeregnet^0.5/Depl^0.33333)</f>
        <v>3.6575341546217279</v>
      </c>
      <c r="EE170" s="107">
        <f>IF(SeilBeregnet=0,EE169,Lwl^0.3333)</f>
        <v>2.3205990351333203</v>
      </c>
      <c r="EF170" s="107">
        <f>IF(SeilBeregnet=0,EF169,((Loa+Lwl)/Bredde)^EF$3)</f>
        <v>1.6515015881278676</v>
      </c>
      <c r="EH170" s="107">
        <f t="shared" si="1434"/>
        <v>1.3507940292332943</v>
      </c>
      <c r="EJ170" s="107">
        <f>IF(SeilBeregnet=0,EJ169,SeilBeregnet^0.5/Depl^0.33333)</f>
        <v>3.6575341546217279</v>
      </c>
      <c r="EK170" s="107">
        <f>IF(SeilBeregnet=0,EK169,Lwl^EK$3)</f>
        <v>2.3207748778988528</v>
      </c>
      <c r="EL170" s="107">
        <f>IF(SeilBeregnet=0,EL169,((Loa+Lwl)/Bredde)^EL$3)</f>
        <v>1.9519841055529688</v>
      </c>
      <c r="EM170" s="107">
        <f t="shared" si="1435"/>
        <v>1.3362191966974448</v>
      </c>
      <c r="EO170" s="107">
        <f>IF(SeilBeregnet=0,EO169,(EP170*EQ170)^EO$3)</f>
        <v>6.0404234649897015</v>
      </c>
      <c r="EP170" s="107">
        <f>IF(SeilBeregnet=0,EP169,SeilBeregnet^0.5/Depl^0.33333)</f>
        <v>3.6575341546217279</v>
      </c>
      <c r="EQ170" s="107">
        <f>IF(SeilBeregnet=0,EQ169,((Loa+Lwl)/Bredde)^EQ$3)</f>
        <v>1.6515015881278676</v>
      </c>
      <c r="ER170" s="107">
        <f>IF(SeilBeregnet=0,ER169,Lwl^ER$3)</f>
        <v>1.8803015465431969</v>
      </c>
      <c r="ES170" s="107">
        <f t="shared" ref="ES170:ES186" si="1537">IF(SeilBeregnet=0,"-",ES$7*(ES$4*EU:EU+ES$6)*EX:EX*PropF+ErfaringsF+Dyp_F)</f>
        <v>1.3552839346031123</v>
      </c>
      <c r="EU170" s="107">
        <f>IF(SeilBeregnet=0,EU169,(EV:EV*EW:EW)^EU$3)</f>
        <v>1.964557690596676</v>
      </c>
      <c r="EV170" s="107">
        <f>IF(SeilBeregnet=0,EV169,SeilBeregnet^0.5/Depl^0.33333)</f>
        <v>3.6575341546217279</v>
      </c>
      <c r="EW170" s="107">
        <f>IF(SeilBeregnet=0,EW169,((Loa+Lwl)/Bredde/6)^EW$3)</f>
        <v>1.0552155513860686</v>
      </c>
      <c r="EX170" s="107">
        <f>IF(SeilBeregnet=0,EX169,(Lwl*0.7+Loa*0.3)^EX$3)</f>
        <v>1.9394969901396613</v>
      </c>
      <c r="EY170" s="107">
        <f t="shared" ref="EY170:EY186" si="1538">IF(SeilBeregnet=0,"-",EY$7*(FA:FA+EY$6)*FD:FD*PropF+ErfaringsF+Dyp_F)</f>
        <v>1.2705198850945725</v>
      </c>
      <c r="FA170" s="107">
        <f t="shared" ref="FA170:FA186" si="1539">(FB:FB*FC:FC)^FA$3</f>
        <v>1.9646558876707076</v>
      </c>
      <c r="FB170" s="107">
        <f>IF(SeilBeregnet=0,FB169,SeilBeregnet^0.5/Depl^0.3333)</f>
        <v>3.6578998024518086</v>
      </c>
      <c r="FC170" s="107">
        <f>IF(SeilBeregnet=0,FC169,((Loa+Lwl)/Bredde/6)^FC$3)</f>
        <v>1.0552155513860686</v>
      </c>
      <c r="FD170" s="107">
        <f>IF(SeilBeregnet=0,FD169,(Lwl*0.7+Loa*0.3)^FD$3)</f>
        <v>1.9394969901396613</v>
      </c>
      <c r="FE170" s="107">
        <f t="shared" ref="FE170:FE186" si="1540">IF(SeilBeregnet=0,"-",FE$7*(FG:FG+FE$6)*FJ:FJ*PropF+ErfaringsF+Dyp_F)</f>
        <v>1.3792823171647199</v>
      </c>
      <c r="FF170" s="141" t="str">
        <f t="shared" si="1511"/>
        <v>-</v>
      </c>
      <c r="FG170" s="107">
        <f t="shared" ref="FG170:FG186" si="1541">(FH:FH*FI:FI)^FG$3</f>
        <v>4.0729977595147426</v>
      </c>
      <c r="FH170" s="133">
        <f>IF(SeilBeregnet=0,FH169,(SeilBeregnet^0.5/(Depl^0.3333))^FH$3)</f>
        <v>3.6578998024518086</v>
      </c>
      <c r="FI170" s="133">
        <f>IF(SeilBeregnet=0,FI169,((Loa+Lwl)/Bredde/6)^FI$3)</f>
        <v>1.1134798598870048</v>
      </c>
      <c r="FJ170" s="107">
        <f>IF(SeilBeregnet=0,FJ169,(Lwl*0.07+Loa*0.03)^FJ$3)</f>
        <v>1.0906593076378306</v>
      </c>
      <c r="FK170" s="107">
        <f t="shared" ref="FK170:FK186" si="1542">IF(SeilBeregnet=0,"-",FK$7*(FM:FM+FK$6)*FQ:FQ*PropF+ErfaringsF+Dyp_F)</f>
        <v>1.3627128664048895</v>
      </c>
      <c r="FL170" s="141" t="str">
        <f t="shared" si="1512"/>
        <v>-</v>
      </c>
      <c r="FM170" s="107">
        <f t="shared" ref="FM170:FM186" si="1543">(FN:FN+FO:FO+FP:FP)^FM$3+FM$7</f>
        <v>6.1416950510329009</v>
      </c>
      <c r="FN170" s="133">
        <f>IF(SeilBeregnet=0,FN169,(SeilBeregnet^0.5/(Depl^0.3333))^FN$3)</f>
        <v>3.6578998024518086</v>
      </c>
      <c r="FO170" s="133">
        <f>IF(SeilBeregnet=0,FO169,(SeilBeregnet^0.5/Lwl*FO$7)^FO$3)</f>
        <v>0.88850436127235755</v>
      </c>
      <c r="FP170" s="133">
        <f>IF(SeilBeregnet=0,FP169,((Loa)/Bredde)^FP$3*FP$7)</f>
        <v>2.0952908873087348</v>
      </c>
      <c r="FQ170" s="107">
        <f>IF(SeilBeregnet=0,FQ169,(Lwl)^FQ$3)</f>
        <v>1.8803015465431969</v>
      </c>
      <c r="FR170" s="107">
        <f t="shared" ref="FR170:FR186" si="1544">IF(SeilBeregnet=0,"-",FR$7*(FT:FT+FR$6)*FW:FW*PropF+ErfaringsF+Dyp_F)</f>
        <v>1.3919069024592399</v>
      </c>
      <c r="FS170" s="141" t="str">
        <f t="shared" si="1513"/>
        <v>-</v>
      </c>
      <c r="FT170" s="107">
        <f t="shared" ref="FT170:FT186" si="1545">(FU:FU*FV:FV)^FT$3</f>
        <v>7.6643641227656953</v>
      </c>
      <c r="FU170" s="133">
        <f>IF(SeilBeregnet=0,FU169,(SeilBeregnet^0.5/(Depl^0.3333))^FU$3)</f>
        <v>3.6578998024518086</v>
      </c>
      <c r="FV170" s="133">
        <f>IF(SeilBeregnet=0,FV169,(Loa/Bredde)^FV$3)</f>
        <v>2.0952908873087348</v>
      </c>
      <c r="FW170" s="107">
        <f>IF(SeilBeregnet=0,FW169,Lwl^FW$3)</f>
        <v>1.8803015465431969</v>
      </c>
      <c r="FY170" s="336">
        <v>1</v>
      </c>
      <c r="FZ170" s="62">
        <f t="shared" si="1452"/>
        <v>1.3522822430781636</v>
      </c>
      <c r="GA170" s="62">
        <f t="shared" si="1378"/>
        <v>1.9364916731037085</v>
      </c>
      <c r="GB170" s="107">
        <f t="shared" si="798"/>
        <v>1.2846992457856659</v>
      </c>
      <c r="GC170" s="440"/>
      <c r="GD170" s="17"/>
      <c r="GE170" s="442"/>
      <c r="GF170" s="462"/>
      <c r="GG170" s="17"/>
      <c r="GH170" s="17"/>
      <c r="GI170" s="17"/>
      <c r="GJ170" s="17"/>
      <c r="GL170" s="17"/>
      <c r="GM170" s="442"/>
      <c r="GN170" s="8"/>
      <c r="GO170" s="8"/>
      <c r="GP170" s="8"/>
      <c r="GQ170" s="8"/>
      <c r="GS170" s="17"/>
      <c r="GT170" s="17"/>
      <c r="GU170" s="17"/>
      <c r="GV170" s="629"/>
      <c r="GW170" s="17"/>
      <c r="GX170" s="17"/>
      <c r="GY170" s="17"/>
      <c r="GZ170" s="17"/>
    </row>
    <row r="171" spans="1:208" ht="15.6" x14ac:dyDescent="0.3">
      <c r="A171" s="60" t="s">
        <v>718</v>
      </c>
      <c r="B171" s="218"/>
      <c r="C171" s="61" t="str">
        <f t="shared" ref="C171" si="1546">C170</f>
        <v>Bermuda</v>
      </c>
      <c r="D171" s="61"/>
      <c r="E171" s="61"/>
      <c r="F171" s="61"/>
      <c r="G171" s="54"/>
      <c r="H171" s="204">
        <f>IF(StH=0,0,TBFavrundet)</f>
        <v>142.49999999999997</v>
      </c>
      <c r="I171" s="63">
        <f>COUNTA(O171:AG171)</f>
        <v>4</v>
      </c>
      <c r="J171" s="222">
        <f>SUM(O171:AG171)</f>
        <v>147</v>
      </c>
      <c r="K171" s="116">
        <f>Seilareal/Depl^0.667/K$7</f>
        <v>1.4757693839783279</v>
      </c>
      <c r="L171" s="116">
        <f>Seilareal/Lwl/Lwl/L$7</f>
        <v>1.4274939704697984</v>
      </c>
      <c r="M171" s="92">
        <f>RiggF</f>
        <v>0.82959183673469383</v>
      </c>
      <c r="N171" s="242">
        <f>StHfaktor</f>
        <v>1.0707620420267241</v>
      </c>
      <c r="O171" s="143"/>
      <c r="P171" s="143"/>
      <c r="Q171" s="143"/>
      <c r="R171" s="165">
        <v>31</v>
      </c>
      <c r="S171" s="143"/>
      <c r="T171" s="143"/>
      <c r="U171" s="165">
        <v>28</v>
      </c>
      <c r="V171" s="559"/>
      <c r="W171" s="559"/>
      <c r="X171" s="143"/>
      <c r="Y171" s="143"/>
      <c r="Z171" s="143"/>
      <c r="AA171" s="143"/>
      <c r="AB171" s="143"/>
      <c r="AC171" s="143"/>
      <c r="AD171" s="143"/>
      <c r="AE171" s="165">
        <v>60</v>
      </c>
      <c r="AF171" s="143"/>
      <c r="AG171" s="552">
        <v>28</v>
      </c>
      <c r="AH171" s="557">
        <f t="shared" ref="AH171:AI171" si="1547">AH170</f>
        <v>21.599999999999998</v>
      </c>
      <c r="AI171" s="557">
        <f t="shared" si="1547"/>
        <v>21.599999999999998</v>
      </c>
      <c r="AJ171" s="337">
        <f t="shared" ref="AJ171" si="1548" xml:space="preserve"> AJ170</f>
        <v>0</v>
      </c>
      <c r="AK171" s="339"/>
      <c r="AL171" s="337">
        <f t="shared" ref="AL171" si="1549" xml:space="preserve"> AL170</f>
        <v>0</v>
      </c>
      <c r="AM171" s="339"/>
      <c r="AN171" s="267" t="str">
        <f t="shared" si="1529"/>
        <v>Meter</v>
      </c>
      <c r="AO171" s="45">
        <f>VLOOKUP(AN171,Skrogform!$1:$1048576,3,FALSE)</f>
        <v>1</v>
      </c>
      <c r="AP171" s="64">
        <f t="shared" ref="AP171:BB171" si="1550">AP170</f>
        <v>18</v>
      </c>
      <c r="AQ171" s="64">
        <f t="shared" si="1550"/>
        <v>12.5</v>
      </c>
      <c r="AR171" s="64">
        <f t="shared" si="1550"/>
        <v>4.0999999999999996</v>
      </c>
      <c r="AS171" s="64">
        <f t="shared" si="1550"/>
        <v>2.7</v>
      </c>
      <c r="AT171" s="64">
        <f t="shared" ref="AT171" si="1551">AT170</f>
        <v>28</v>
      </c>
      <c r="AU171" s="64">
        <f t="shared" si="1550"/>
        <v>28</v>
      </c>
      <c r="AV171" s="64">
        <f t="shared" si="1550"/>
        <v>10</v>
      </c>
      <c r="AW171" s="64">
        <f t="shared" si="1550"/>
        <v>0</v>
      </c>
      <c r="AX171" s="256">
        <f>AX170</f>
        <v>0</v>
      </c>
      <c r="AY171" s="256">
        <f t="shared" si="1550"/>
        <v>0</v>
      </c>
      <c r="AZ171" s="256">
        <f t="shared" si="1550"/>
        <v>0</v>
      </c>
      <c r="BA171" s="256">
        <f t="shared" si="1550"/>
        <v>0</v>
      </c>
      <c r="BB171" s="256">
        <f t="shared" si="1550"/>
        <v>0</v>
      </c>
      <c r="BC171" s="256"/>
      <c r="BD171" s="66"/>
      <c r="BE171" s="66"/>
      <c r="BF171" s="261"/>
      <c r="BG171" s="66"/>
      <c r="BH171" s="175"/>
      <c r="BI171" s="66"/>
      <c r="BJ171" s="66"/>
      <c r="BK171" s="65" t="str">
        <f t="shared" ref="BK171:BM171" si="1552" xml:space="preserve"> BK170</f>
        <v>Fast</v>
      </c>
      <c r="BL171" s="267">
        <f t="shared" si="1552"/>
        <v>3</v>
      </c>
      <c r="BM171" s="267">
        <f t="shared" si="1552"/>
        <v>40</v>
      </c>
      <c r="BN171" s="45">
        <f t="shared" si="1197"/>
        <v>0.99161170113510466</v>
      </c>
      <c r="BO171" s="59"/>
      <c r="BP171" s="59"/>
      <c r="BR171" s="49">
        <f t="shared" si="1533"/>
        <v>0</v>
      </c>
      <c r="BS171" s="49">
        <f t="shared" si="1533"/>
        <v>0</v>
      </c>
      <c r="BT171" s="49">
        <f t="shared" si="1533"/>
        <v>0</v>
      </c>
      <c r="BU171" s="49">
        <f t="shared" si="1533"/>
        <v>31</v>
      </c>
      <c r="BV171" s="49">
        <f t="shared" si="1533"/>
        <v>0</v>
      </c>
      <c r="BW171" s="49">
        <f t="shared" si="1533"/>
        <v>0</v>
      </c>
      <c r="BX171" s="49">
        <f t="shared" si="1533"/>
        <v>28</v>
      </c>
      <c r="BY171" s="549">
        <f>IF(COUNT(Q171:U171)&gt;1,MINA(Q171:U171)*BY$9,0)</f>
        <v>-14</v>
      </c>
      <c r="BZ171" s="85">
        <f t="shared" si="1534"/>
        <v>0</v>
      </c>
      <c r="CA171" s="85">
        <f t="shared" si="1534"/>
        <v>0</v>
      </c>
      <c r="CB171" s="85">
        <f t="shared" si="1534"/>
        <v>0</v>
      </c>
      <c r="CC171" s="85">
        <f t="shared" si="1534"/>
        <v>0</v>
      </c>
      <c r="CD171" s="85">
        <f t="shared" si="1534"/>
        <v>0</v>
      </c>
      <c r="CE171" s="85">
        <f>IF(AC171=0,0,AC171*CE$9)</f>
        <v>0</v>
      </c>
      <c r="CF171" s="85">
        <f>IF(AA171=0,0,AA171*CF$9)</f>
        <v>0</v>
      </c>
      <c r="CG171" s="85">
        <f>IF(AB171=0,0,AB171*CG$9)</f>
        <v>0</v>
      </c>
      <c r="CH171" s="85">
        <f t="shared" si="1535"/>
        <v>0</v>
      </c>
      <c r="CI171" s="85">
        <f t="shared" si="1535"/>
        <v>57</v>
      </c>
      <c r="CJ171" s="85">
        <f t="shared" si="1535"/>
        <v>0</v>
      </c>
      <c r="CK171" s="85">
        <f t="shared" si="1535"/>
        <v>19.949999999999996</v>
      </c>
      <c r="CL171" s="100">
        <f>SUM(BR171:CK171)</f>
        <v>121.94999999999999</v>
      </c>
      <c r="CM171" s="50"/>
      <c r="CN171" s="104">
        <f>J171</f>
        <v>147</v>
      </c>
      <c r="CO171" s="101">
        <f>CL171/CN171</f>
        <v>0.82959183673469383</v>
      </c>
      <c r="CP171" s="51">
        <f>Seilareal/Lwl/Lwl</f>
        <v>0.94079999999999997</v>
      </c>
      <c r="CQ171" s="116">
        <f>Seilareal/Depl^0.667/K$7</f>
        <v>1.4757693839783279</v>
      </c>
      <c r="CR171" s="51">
        <f>Seilareal/Lwl/Lwl/SApRS1</f>
        <v>1.4274939704697984</v>
      </c>
      <c r="CS171" s="204"/>
      <c r="CT171" s="204">
        <f>(ROUND(TBF/CT$6,3)*CT$6)*CT$4</f>
        <v>142.49999999999997</v>
      </c>
      <c r="CU171" s="107">
        <f t="shared" si="83"/>
        <v>1.4253601164715481</v>
      </c>
      <c r="CV171" s="62">
        <f t="shared" si="523"/>
        <v>3.8847895798318497</v>
      </c>
      <c r="CW171" s="62">
        <f t="shared" si="84"/>
        <v>1.928603690528967</v>
      </c>
      <c r="CX171" s="62">
        <f t="shared" si="524"/>
        <v>1.8803015465431969</v>
      </c>
      <c r="CY171" s="107">
        <f t="shared" si="85"/>
        <v>1.0707620420267241</v>
      </c>
      <c r="CZ171" s="168" t="str">
        <f t="shared" si="1450"/>
        <v>-</v>
      </c>
      <c r="DA171" s="158"/>
      <c r="DB171" s="168" t="str">
        <f t="shared" si="1451"/>
        <v>-</v>
      </c>
      <c r="DC171" s="160"/>
      <c r="DD171" s="190" t="s">
        <v>134</v>
      </c>
      <c r="DE171" s="62" t="s">
        <v>102</v>
      </c>
      <c r="DF171" s="62" t="s">
        <v>102</v>
      </c>
      <c r="DG171" s="62" t="s">
        <v>102</v>
      </c>
      <c r="DH171" s="150" t="s">
        <v>102</v>
      </c>
      <c r="DI171" s="62">
        <f t="shared" si="1374"/>
        <v>2.2108070141955345</v>
      </c>
      <c r="DJ171" s="47">
        <f t="shared" si="1375"/>
        <v>15.340909090909092</v>
      </c>
      <c r="DK171" s="48">
        <f t="shared" si="1428"/>
        <v>0</v>
      </c>
      <c r="DM171" s="107">
        <f t="shared" si="1536"/>
        <v>1.3253338446251224</v>
      </c>
      <c r="DN171" s="141" t="str">
        <f t="shared" si="1508"/>
        <v>-</v>
      </c>
      <c r="DO171" s="107">
        <f t="shared" si="1430"/>
        <v>5.7323732047693969</v>
      </c>
      <c r="DP171" s="133">
        <f>IF(SeilBeregnet=0,DP170,(SeilBeregnet^0.5/(Depl^0.3333))^DP$3*DP$7)</f>
        <v>3.6370823174606621</v>
      </c>
      <c r="DQ171" s="133">
        <f>IF(SeilBeregnet=0,DQ170,(SeilBeregnet^0.5/Lwl)^DQ$3*DQ$7)</f>
        <v>0</v>
      </c>
      <c r="DR171" s="133">
        <f>IF(SeilBeregnet=0,DR170,(0.1*Loa/Depl^0.3333)^DR$3*DR$7)</f>
        <v>0</v>
      </c>
      <c r="DS171" s="133">
        <f>IF(SeilBeregnet=0,DS170,((Loa)/Bredde)^DS$3*DS$7)</f>
        <v>2.0952908873087348</v>
      </c>
      <c r="DT171" s="107">
        <f>IF(SeilBeregnet=0,DT170,(Lwl)^DT$3)</f>
        <v>1.8803015465431969</v>
      </c>
      <c r="DU171" s="133">
        <f>IF(SeilBeregnet=0,DU170,(Dypg/Loa)^DU$3*5*DU$7)</f>
        <v>1.9364916731037085</v>
      </c>
      <c r="DW171" s="107">
        <f t="shared" si="1241"/>
        <v>1.4253601164715481</v>
      </c>
      <c r="DX171" s="107">
        <f t="shared" si="1376"/>
        <v>1.3597142886824969</v>
      </c>
      <c r="DZ171" s="107">
        <f t="shared" si="1377"/>
        <v>1.3299298220784721</v>
      </c>
      <c r="EA171" s="122" t="str">
        <f t="shared" si="1509"/>
        <v>-</v>
      </c>
      <c r="EB171" s="107">
        <f t="shared" si="1432"/>
        <v>1.3543935033125822</v>
      </c>
      <c r="EC171" s="122" t="str">
        <f t="shared" si="1510"/>
        <v>-</v>
      </c>
      <c r="ED171" s="107">
        <f>IF(SeilBeregnet=0,ED170,SeilBeregnet^0.5/Depl^0.33333)</f>
        <v>3.6367187505700893</v>
      </c>
      <c r="EE171" s="107">
        <f>IF(SeilBeregnet=0,EE170,Lwl^0.3333)</f>
        <v>2.3205990351333203</v>
      </c>
      <c r="EF171" s="107">
        <f>IF(SeilBeregnet=0,EF170,((Loa+Lwl)/Bredde)^EF$3)</f>
        <v>1.6515015881278676</v>
      </c>
      <c r="EH171" s="107">
        <f t="shared" si="1434"/>
        <v>1.3451629148585962</v>
      </c>
      <c r="EJ171" s="107">
        <f>IF(SeilBeregnet=0,EJ170,SeilBeregnet^0.5/Depl^0.33333)</f>
        <v>3.6367187505700893</v>
      </c>
      <c r="EK171" s="107">
        <f>IF(SeilBeregnet=0,EK170,Lwl^EK$3)</f>
        <v>2.3207748778988528</v>
      </c>
      <c r="EL171" s="107">
        <f>IF(SeilBeregnet=0,EL170,((Loa+Lwl)/Bredde)^EL$3)</f>
        <v>1.9519841055529688</v>
      </c>
      <c r="EM171" s="107">
        <f t="shared" si="1435"/>
        <v>1.330506217725731</v>
      </c>
      <c r="EO171" s="107">
        <f>IF(SeilBeregnet=0,EO170,(EP171*EQ171)^EO$3)</f>
        <v>6.0060467921408973</v>
      </c>
      <c r="EP171" s="107">
        <f>IF(SeilBeregnet=0,EP170,SeilBeregnet^0.5/Depl^0.33333)</f>
        <v>3.6367187505700893</v>
      </c>
      <c r="EQ171" s="107">
        <f>IF(SeilBeregnet=0,EQ170,((Loa+Lwl)/Bredde)^EQ$3)</f>
        <v>1.6515015881278676</v>
      </c>
      <c r="ER171" s="107">
        <f>IF(SeilBeregnet=0,ER170,Lwl^ER$3)</f>
        <v>1.8803015465431969</v>
      </c>
      <c r="ES171" s="107">
        <f t="shared" si="1537"/>
        <v>1.3501034035736708</v>
      </c>
      <c r="EU171" s="107">
        <f>IF(SeilBeregnet=0,EU170,(EV:EV*EW:EW)^EU$3)</f>
        <v>1.9589594640060501</v>
      </c>
      <c r="EV171" s="107">
        <f>IF(SeilBeregnet=0,EV170,SeilBeregnet^0.5/Depl^0.33333)</f>
        <v>3.6367187505700893</v>
      </c>
      <c r="EW171" s="107">
        <f>IF(SeilBeregnet=0,EW170,((Loa+Lwl)/Bredde/6)^EW$3)</f>
        <v>1.0552155513860686</v>
      </c>
      <c r="EX171" s="107">
        <f>IF(SeilBeregnet=0,EX170,(Lwl*0.7+Loa*0.3)^EX$3)</f>
        <v>1.9394969901396613</v>
      </c>
      <c r="EY171" s="107">
        <f t="shared" si="1538"/>
        <v>1.2668993967583431</v>
      </c>
      <c r="FA171" s="107">
        <f t="shared" si="1539"/>
        <v>1.9590573812565504</v>
      </c>
      <c r="FB171" s="107">
        <f>IF(SeilBeregnet=0,FB170,SeilBeregnet^0.5/Depl^0.3333)</f>
        <v>3.6370823174606621</v>
      </c>
      <c r="FC171" s="107">
        <f>IF(SeilBeregnet=0,FC170,((Loa+Lwl)/Bredde/6)^FC$3)</f>
        <v>1.0552155513860686</v>
      </c>
      <c r="FD171" s="107">
        <f>IF(SeilBeregnet=0,FD170,(Lwl*0.7+Loa*0.3)^FD$3)</f>
        <v>1.9394969901396613</v>
      </c>
      <c r="FE171" s="107">
        <f t="shared" si="1540"/>
        <v>1.3740177742059445</v>
      </c>
      <c r="FF171" s="141" t="str">
        <f t="shared" si="1511"/>
        <v>-</v>
      </c>
      <c r="FG171" s="107">
        <f t="shared" si="1541"/>
        <v>4.0498179092436004</v>
      </c>
      <c r="FH171" s="133">
        <f>IF(SeilBeregnet=0,FH170,(SeilBeregnet^0.5/(Depl^0.3333))^FH$3)</f>
        <v>3.6370823174606621</v>
      </c>
      <c r="FI171" s="133">
        <f>IF(SeilBeregnet=0,FI170,((Loa+Lwl)/Bredde/6)^FI$3)</f>
        <v>1.1134798598870048</v>
      </c>
      <c r="FJ171" s="107">
        <f>IF(SeilBeregnet=0,FJ170,(Lwl*0.07+Loa*0.03)^FJ$3)</f>
        <v>1.0906593076378306</v>
      </c>
      <c r="FK171" s="107">
        <f t="shared" si="1542"/>
        <v>1.3569719581905457</v>
      </c>
      <c r="FL171" s="141" t="str">
        <f t="shared" si="1512"/>
        <v>-</v>
      </c>
      <c r="FM171" s="107">
        <f t="shared" si="1543"/>
        <v>6.1158209960960832</v>
      </c>
      <c r="FN171" s="133">
        <f>IF(SeilBeregnet=0,FN170,(SeilBeregnet^0.5/(Depl^0.3333))^FN$3)</f>
        <v>3.6370823174606621</v>
      </c>
      <c r="FO171" s="133">
        <f>IF(SeilBeregnet=0,FO170,(SeilBeregnet^0.5/Lwl*FO$7)^FO$3)</f>
        <v>0.88344779132668605</v>
      </c>
      <c r="FP171" s="133">
        <f>IF(SeilBeregnet=0,FP170,((Loa)/Bredde)^FP$3*FP$7)</f>
        <v>2.0952908873087348</v>
      </c>
      <c r="FQ171" s="107">
        <f>IF(SeilBeregnet=0,FQ170,(Lwl)^FQ$3)</f>
        <v>1.8803015465431969</v>
      </c>
      <c r="FR171" s="107">
        <f t="shared" si="1544"/>
        <v>1.3867018908260422</v>
      </c>
      <c r="FS171" s="141" t="str">
        <f t="shared" si="1513"/>
        <v>-</v>
      </c>
      <c r="FT171" s="107">
        <f t="shared" si="1545"/>
        <v>7.6207454361670601</v>
      </c>
      <c r="FU171" s="133">
        <f>IF(SeilBeregnet=0,FU170,(SeilBeregnet^0.5/(Depl^0.3333))^FU$3)</f>
        <v>3.6370823174606621</v>
      </c>
      <c r="FV171" s="133">
        <f>IF(SeilBeregnet=0,FV170,(Loa/Bredde)^FV$3)</f>
        <v>2.0952908873087348</v>
      </c>
      <c r="FW171" s="107">
        <f>IF(SeilBeregnet=0,FW170,Lwl^FW$3)</f>
        <v>1.8803015465431969</v>
      </c>
      <c r="FY171" s="336">
        <v>1</v>
      </c>
      <c r="FZ171" s="62">
        <f t="shared" si="1452"/>
        <v>1.3486215618512554</v>
      </c>
      <c r="GA171" s="62">
        <f t="shared" si="1378"/>
        <v>1.9364916731037085</v>
      </c>
      <c r="GB171" s="107">
        <f t="shared" si="798"/>
        <v>1.2822574891844203</v>
      </c>
      <c r="GC171" s="440"/>
      <c r="GD171" s="17"/>
      <c r="GE171" s="442"/>
      <c r="GF171" s="462"/>
      <c r="GG171" s="17"/>
      <c r="GH171" s="17"/>
      <c r="GI171" s="17"/>
      <c r="GJ171" s="17"/>
      <c r="GL171" s="17"/>
      <c r="GM171" s="442"/>
      <c r="GN171" s="8"/>
      <c r="GO171" s="8"/>
      <c r="GP171" s="8"/>
      <c r="GQ171" s="8"/>
      <c r="GS171" s="17"/>
      <c r="GT171" s="17"/>
      <c r="GU171" s="17"/>
      <c r="GV171" s="629"/>
      <c r="GW171" s="17"/>
      <c r="GX171" s="17"/>
      <c r="GY171" s="17"/>
      <c r="GZ171" s="17"/>
    </row>
    <row r="172" spans="1:208" ht="15.6" x14ac:dyDescent="0.3">
      <c r="A172" s="52" t="s">
        <v>693</v>
      </c>
      <c r="B172" s="218">
        <f t="shared" si="10"/>
        <v>45.931758530183721</v>
      </c>
      <c r="C172" s="53" t="s">
        <v>38</v>
      </c>
      <c r="D172" s="53"/>
      <c r="E172" s="53"/>
      <c r="F172" s="53"/>
      <c r="G172" s="54"/>
      <c r="H172" s="112">
        <f>J173</f>
        <v>0</v>
      </c>
      <c r="I172" s="601">
        <f>H173/100</f>
        <v>0</v>
      </c>
      <c r="J172" s="651">
        <f>IF(DC173=0,"-",DC173)</f>
        <v>1.4</v>
      </c>
      <c r="K172" s="123" t="str">
        <f>A172</f>
        <v>Nanna</v>
      </c>
      <c r="L172" s="116"/>
      <c r="M172" s="116"/>
      <c r="N172" s="92"/>
      <c r="O172" s="165"/>
      <c r="P172" s="165"/>
      <c r="Q172" s="165"/>
      <c r="R172" s="165"/>
      <c r="S172" s="165"/>
      <c r="T172" s="165"/>
      <c r="U172" s="165"/>
      <c r="V172" s="559"/>
      <c r="W172" s="559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552"/>
      <c r="AH172" s="244"/>
      <c r="AI172" s="244"/>
      <c r="AJ172" s="554"/>
      <c r="AK172" s="339"/>
      <c r="AL172" s="268"/>
      <c r="AM172" s="339"/>
      <c r="AN172" s="268" t="s">
        <v>214</v>
      </c>
      <c r="AO172" s="45">
        <f>VLOOKUP(AN172,Skrogform!$1:$1048576,3,FALSE)</f>
        <v>1</v>
      </c>
      <c r="AP172" s="55">
        <v>14</v>
      </c>
      <c r="AQ172" s="171">
        <f>AP172*0.7</f>
        <v>9.7999999999999989</v>
      </c>
      <c r="AR172" s="55"/>
      <c r="AS172" s="55">
        <v>2.1</v>
      </c>
      <c r="AT172" s="637">
        <f>AU172</f>
        <v>11</v>
      </c>
      <c r="AU172" s="55">
        <v>11</v>
      </c>
      <c r="AV172" s="55">
        <v>5</v>
      </c>
      <c r="AW172" s="55"/>
      <c r="AX172" s="253"/>
      <c r="AY172" s="253"/>
      <c r="AZ172" s="254">
        <f>AY172*7</f>
        <v>0</v>
      </c>
      <c r="BA172" s="253"/>
      <c r="BB172" s="253"/>
      <c r="BC172" s="244">
        <f>Depl+Diesel/1000*0.84+Vann/1000</f>
        <v>11</v>
      </c>
      <c r="BD172" s="95">
        <f>Bredde/(Loa+Lwl)*2</f>
        <v>0</v>
      </c>
      <c r="BE172" s="95">
        <f>(Kjøl+Ballast)/Depl</f>
        <v>0.45454545454545453</v>
      </c>
      <c r="BF172" s="260" t="e">
        <f>BF$7*((Depl-Kjøl-Ballast-VektMotor/1000-VektAnnet/1000)/Lwl/Lwl/Bredde)</f>
        <v>#DIV/0!</v>
      </c>
      <c r="BG172" s="95">
        <f>BG$7*(Depl/Loa/Lwl/Lwl)</f>
        <v>0.60204192152079505</v>
      </c>
      <c r="BH172" s="174" t="e">
        <f>BH$7*(Depl/Loa/Lwl/Bredde)</f>
        <v>#DIV/0!</v>
      </c>
      <c r="BI172" s="95">
        <f>BI$7*Bredde/(Loa+Lwl)*2</f>
        <v>0</v>
      </c>
      <c r="BJ172" s="95">
        <f>BJ$7*(Dypg/Lwl)</f>
        <v>1.172049689440994</v>
      </c>
      <c r="BK172" s="56"/>
      <c r="BL172" s="268"/>
      <c r="BM172" s="268"/>
      <c r="BN172" s="45">
        <f t="shared" si="1197"/>
        <v>1</v>
      </c>
      <c r="BO172" s="59"/>
      <c r="BP172" s="59"/>
      <c r="BR172" s="209"/>
      <c r="BS172" s="209"/>
      <c r="BT172" s="209" t="str">
        <f>$A172</f>
        <v>Nanna</v>
      </c>
      <c r="BU172" s="10"/>
      <c r="BV172" s="10"/>
      <c r="BW172" s="10"/>
      <c r="BX172" s="10"/>
      <c r="BY172" s="549"/>
      <c r="BZ172" s="10"/>
      <c r="CA172" s="10"/>
      <c r="CB172" s="209" t="str">
        <f>$A172</f>
        <v>Nanna</v>
      </c>
      <c r="CC172" s="10"/>
      <c r="CD172" s="10"/>
      <c r="CE172" s="10"/>
      <c r="CF172" s="10"/>
      <c r="CG172" s="10"/>
      <c r="CH172" s="10"/>
      <c r="CI172" s="10"/>
      <c r="CJ172" s="10"/>
      <c r="CK172" s="10"/>
      <c r="CL172" s="209"/>
      <c r="CM172" s="10"/>
      <c r="CN172" s="209" t="str">
        <f>$A172</f>
        <v>Nanna</v>
      </c>
      <c r="CO172" s="207"/>
      <c r="CP172" s="207"/>
      <c r="CQ172" s="116"/>
      <c r="CR172" s="207"/>
      <c r="CS172" s="203"/>
      <c r="CT172" s="203" t="s">
        <v>23</v>
      </c>
      <c r="CU172" s="107" t="str">
        <f t="shared" si="83"/>
        <v>-</v>
      </c>
      <c r="CV172" s="62" t="str">
        <f t="shared" si="523"/>
        <v>-</v>
      </c>
      <c r="CW172" s="62" t="str">
        <f t="shared" si="84"/>
        <v>-</v>
      </c>
      <c r="CX172" s="62" t="str">
        <f t="shared" si="524"/>
        <v>-</v>
      </c>
      <c r="CY172" s="107" t="str">
        <f t="shared" si="85"/>
        <v>-</v>
      </c>
      <c r="CZ172" s="168" t="str">
        <f t="shared" si="1450"/>
        <v>-</v>
      </c>
      <c r="DA172" s="158"/>
      <c r="DB172" s="168" t="str">
        <f t="shared" si="1451"/>
        <v>-</v>
      </c>
      <c r="DC172" s="160">
        <v>1.4</v>
      </c>
      <c r="DD172" s="190" t="s">
        <v>134</v>
      </c>
      <c r="DE172" s="29" t="s">
        <v>23</v>
      </c>
      <c r="DF172" s="29" t="s">
        <v>23</v>
      </c>
      <c r="DG172" s="29" t="s">
        <v>23</v>
      </c>
      <c r="DH172" s="149">
        <v>2022</v>
      </c>
      <c r="DI172" s="62" t="str">
        <f t="shared" si="1374"/>
        <v>-</v>
      </c>
      <c r="DJ172" s="47">
        <f t="shared" si="1375"/>
        <v>19.444444444444446</v>
      </c>
      <c r="DK172" s="48">
        <f t="shared" si="1428"/>
        <v>0</v>
      </c>
      <c r="DM172" s="107" t="str">
        <f t="shared" si="1536"/>
        <v>-</v>
      </c>
      <c r="DN172" s="141" t="str">
        <f t="shared" ref="DN172:DN183" si="1553">IF($DY172=0,"-",(DM172-$DW172)*100)</f>
        <v>-</v>
      </c>
      <c r="DO172" s="107">
        <f t="shared" si="1430"/>
        <v>5.0801976869371241</v>
      </c>
      <c r="DP172" s="133">
        <f>IF(SeilBeregnet=0,DP83,(SeilBeregnet^0.5/(Depl^0.3333))^DP$3*DP$7)</f>
        <v>3.2155947302606869</v>
      </c>
      <c r="DQ172" s="133">
        <f>IF(SeilBeregnet=0,DQ83,(SeilBeregnet^0.5/Lwl)^DQ$3*DQ$7)</f>
        <v>0</v>
      </c>
      <c r="DR172" s="133">
        <f>IF(SeilBeregnet=0,DR83,(0.1*Loa/Depl^0.3333)^DR$3*DR$7)</f>
        <v>0</v>
      </c>
      <c r="DS172" s="133">
        <f>IF(SeilBeregnet=0,DS83,((Loa)/Bredde)^DS$3*DS$7)</f>
        <v>1.8646029566764373</v>
      </c>
      <c r="DT172" s="107">
        <f>IF(SeilBeregnet=0,DT83,(Lwl)^DT$3)</f>
        <v>1.8859172433475835</v>
      </c>
      <c r="DU172" s="133">
        <f>IF(SeilBeregnet=0,DU83,(Dypg/Loa)^DU$3*5*DU$7)</f>
        <v>2.0446520502738266</v>
      </c>
      <c r="DW172" s="107" t="str">
        <f t="shared" si="1241"/>
        <v>-</v>
      </c>
      <c r="DX172" s="107" t="str">
        <f t="shared" si="1376"/>
        <v>-</v>
      </c>
      <c r="DZ172" s="107" t="str">
        <f t="shared" si="1377"/>
        <v>-</v>
      </c>
      <c r="EA172" s="122" t="str">
        <f t="shared" ref="EA172:EA183" si="1554">IF($DY172=0,"-",DZ172-$DW172)</f>
        <v>-</v>
      </c>
      <c r="EB172" s="107" t="str">
        <f t="shared" si="1432"/>
        <v>-</v>
      </c>
      <c r="EC172" s="122" t="str">
        <f t="shared" ref="EC172:EC183" si="1555">IF($DY172=0,"-",EB172-$DW172)</f>
        <v>-</v>
      </c>
      <c r="ED172" s="107">
        <f>IF(SeilBeregnet=0,ED83,SeilBeregnet^0.5/Depl^0.33333)</f>
        <v>3.2152768037087123</v>
      </c>
      <c r="EE172" s="107">
        <f>IF(SeilBeregnet=0,EE83,Lwl^0.3333)</f>
        <v>2.3298436208665341</v>
      </c>
      <c r="EF172" s="107">
        <f>IF(SeilBeregnet=0,EF83,((Loa+Lwl)/Bredde)^EF$3)</f>
        <v>1.5916961163398649</v>
      </c>
      <c r="EH172" s="107" t="str">
        <f t="shared" si="1434"/>
        <v>-</v>
      </c>
      <c r="EJ172" s="107">
        <f>IF(SeilBeregnet=0,EJ83,SeilBeregnet^0.5/Depl^0.33333)</f>
        <v>3.2152768037087123</v>
      </c>
      <c r="EK172" s="107">
        <f>IF(SeilBeregnet=0,EK83,Lwl^EK$3)</f>
        <v>2.3300209979525235</v>
      </c>
      <c r="EL172" s="107">
        <f>IF(SeilBeregnet=0,EL83,((Loa+Lwl)/Bredde)^EL$3)</f>
        <v>1.8583176886572534</v>
      </c>
      <c r="EM172" s="107" t="str">
        <f t="shared" si="1435"/>
        <v>-</v>
      </c>
      <c r="EO172" s="107">
        <f>IF(SeilBeregnet=0,EO83,(EP172*EQ172)^EO$3)</f>
        <v>5.1177436014208109</v>
      </c>
      <c r="EP172" s="107">
        <f>IF(SeilBeregnet=0,EP83,SeilBeregnet^0.5/Depl^0.33333)</f>
        <v>3.2152768037087123</v>
      </c>
      <c r="EQ172" s="107">
        <f>IF(SeilBeregnet=0,EQ83,((Loa+Lwl)/Bredde)^EQ$3)</f>
        <v>1.5916961163398649</v>
      </c>
      <c r="ER172" s="107">
        <f>IF(SeilBeregnet=0,ER83,Lwl^ER$3)</f>
        <v>1.8859172433475835</v>
      </c>
      <c r="ES172" s="107" t="str">
        <f t="shared" si="1537"/>
        <v>-</v>
      </c>
      <c r="EU172" s="107">
        <f>IF(SeilBeregnet=0,EU83,(EV:EV*EW:EW)^EU$3)</f>
        <v>1.8082994728275268</v>
      </c>
      <c r="EV172" s="107">
        <f>IF(SeilBeregnet=0,EV83,SeilBeregnet^0.5/Depl^0.33333)</f>
        <v>3.2152768037087123</v>
      </c>
      <c r="EW172" s="107">
        <f>IF(SeilBeregnet=0,EW83,((Loa+Lwl)/Bredde/6)^EW$3)</f>
        <v>1.0170032575909294</v>
      </c>
      <c r="EX172" s="107">
        <f>IF(SeilBeregnet=0,EX83,(Lwl*0.7+Loa*0.3)^EX$3)</f>
        <v>1.9111244003334622</v>
      </c>
      <c r="EY172" s="107" t="str">
        <f t="shared" si="1538"/>
        <v>-</v>
      </c>
      <c r="FA172" s="107">
        <f t="shared" si="1539"/>
        <v>1.8083888729383799</v>
      </c>
      <c r="FB172" s="107">
        <f>IF(SeilBeregnet=0,FB83,SeilBeregnet^0.5/Depl^0.3333)</f>
        <v>3.2155947302606869</v>
      </c>
      <c r="FC172" s="107">
        <f>IF(SeilBeregnet=0,FC83,((Loa+Lwl)/Bredde/6)^FC$3)</f>
        <v>1.0170032575909294</v>
      </c>
      <c r="FD172" s="107">
        <f>IF(SeilBeregnet=0,FD83,(Lwl*0.7+Loa*0.3)^FD$3)</f>
        <v>1.9111244003334622</v>
      </c>
      <c r="FE172" s="107" t="str">
        <f t="shared" si="1540"/>
        <v>-</v>
      </c>
      <c r="FF172" s="141" t="str">
        <f t="shared" ref="FF172:FF183" si="1556">IF($DY172=0,"-",(FE172-$DW172)*100)</f>
        <v>-</v>
      </c>
      <c r="FG172" s="107">
        <f t="shared" si="1541"/>
        <v>3.3258755643383067</v>
      </c>
      <c r="FH172" s="133">
        <f>IF(SeilBeregnet=0,FH83,(SeilBeregnet^0.5/(Depl^0.3333))^FH$3)</f>
        <v>3.2155947302606869</v>
      </c>
      <c r="FI172" s="133">
        <f>IF(SeilBeregnet=0,FI83,((Loa+Lwl)/Bredde/6)^FI$3)</f>
        <v>1.0342956259505622</v>
      </c>
      <c r="FJ172" s="107">
        <f>IF(SeilBeregnet=0,FJ83,(Lwl*0.07+Loa*0.03)^FJ$3)</f>
        <v>1.0747042278871302</v>
      </c>
      <c r="FK172" s="107" t="str">
        <f t="shared" si="1542"/>
        <v>-</v>
      </c>
      <c r="FL172" s="141" t="str">
        <f t="shared" ref="FL172:FL183" si="1557">IF($DY172=0,"-",(FK172-$DW172)*100)</f>
        <v>-</v>
      </c>
      <c r="FM172" s="107">
        <f t="shared" si="1543"/>
        <v>5.3427055479197323</v>
      </c>
      <c r="FN172" s="133">
        <f>IF(SeilBeregnet=0,FN83,(SeilBeregnet^0.5/(Depl^0.3333))^FN$3)</f>
        <v>3.2155947302606869</v>
      </c>
      <c r="FO172" s="133">
        <f>IF(SeilBeregnet=0,FO83,(SeilBeregnet^0.5/Lwl*FO$7)^FO$3)</f>
        <v>0.76250786098260837</v>
      </c>
      <c r="FP172" s="133">
        <f>IF(SeilBeregnet=0,FP83,((Loa)/Bredde)^FP$3*FP$7)</f>
        <v>1.8646029566764373</v>
      </c>
      <c r="FQ172" s="107">
        <f>IF(SeilBeregnet=0,FQ83,(Lwl)^FQ$3)</f>
        <v>1.8859172433475835</v>
      </c>
      <c r="FR172" s="107" t="str">
        <f t="shared" si="1544"/>
        <v>-</v>
      </c>
      <c r="FS172" s="141" t="str">
        <f t="shared" ref="FS172:FS183" si="1558">IF($DY172=0,"-",(FR172-$DW172)*100)</f>
        <v>-</v>
      </c>
      <c r="FT172" s="107">
        <f t="shared" si="1545"/>
        <v>5.9958074415172478</v>
      </c>
      <c r="FU172" s="133">
        <f>IF(SeilBeregnet=0,FU83,(SeilBeregnet^0.5/(Depl^0.3333))^FU$3)</f>
        <v>3.2155947302606869</v>
      </c>
      <c r="FV172" s="133">
        <f>IF(SeilBeregnet=0,FV83,(Loa/Bredde)^FV$3)</f>
        <v>1.8646029566764373</v>
      </c>
      <c r="FW172" s="107">
        <f>IF(SeilBeregnet=0,FW83,Lwl^FW$3)</f>
        <v>1.8859172433475835</v>
      </c>
      <c r="FX172" s="522">
        <v>1.4</v>
      </c>
      <c r="FY172" s="336">
        <v>1</v>
      </c>
      <c r="FZ172" s="62" t="str">
        <f t="shared" si="1452"/>
        <v>-</v>
      </c>
      <c r="GA172" s="62">
        <f t="shared" si="1378"/>
        <v>1.9364916731037085</v>
      </c>
      <c r="GB172" s="107" t="str">
        <f t="shared" si="798"/>
        <v>-</v>
      </c>
      <c r="GC172" s="441" t="s">
        <v>708</v>
      </c>
      <c r="GD172" s="57" t="s">
        <v>528</v>
      </c>
      <c r="GE172" s="436" t="s">
        <v>531</v>
      </c>
      <c r="GF172" s="464" t="s">
        <v>532</v>
      </c>
      <c r="GG172" s="57" t="s">
        <v>529</v>
      </c>
      <c r="GH172" s="57" t="s">
        <v>530</v>
      </c>
      <c r="GI172" s="57" t="s">
        <v>416</v>
      </c>
      <c r="GJ172" s="57" t="s">
        <v>478</v>
      </c>
      <c r="GL172" s="57" t="s">
        <v>478</v>
      </c>
      <c r="GM172" s="436" t="s">
        <v>478</v>
      </c>
      <c r="GN172" s="58" t="s">
        <v>478</v>
      </c>
      <c r="GO172" s="58" t="s">
        <v>478</v>
      </c>
      <c r="GP172" s="58" t="s">
        <v>478</v>
      </c>
      <c r="GQ172" s="58" t="s">
        <v>478</v>
      </c>
      <c r="GS172" s="57" t="s">
        <v>208</v>
      </c>
      <c r="GT172" s="57" t="s">
        <v>709</v>
      </c>
      <c r="GU172" s="57" t="s">
        <v>710</v>
      </c>
      <c r="GV172" s="632" t="s">
        <v>711</v>
      </c>
      <c r="GW172" s="57">
        <v>1939</v>
      </c>
      <c r="GX172" s="57" t="s">
        <v>431</v>
      </c>
      <c r="GY172" s="57" t="s">
        <v>712</v>
      </c>
      <c r="GZ172" s="57" t="s">
        <v>478</v>
      </c>
    </row>
    <row r="173" spans="1:208" ht="15.6" x14ac:dyDescent="0.3">
      <c r="A173" s="60" t="s">
        <v>33</v>
      </c>
      <c r="B173" s="218"/>
      <c r="C173" s="61" t="str">
        <f>C172</f>
        <v>Bermuda</v>
      </c>
      <c r="D173" s="61"/>
      <c r="E173" s="61"/>
      <c r="F173" s="61"/>
      <c r="G173" s="54"/>
      <c r="H173" s="204">
        <f>IF(StH=0,0,TBFavrundet)</f>
        <v>0</v>
      </c>
      <c r="I173" s="63">
        <f>COUNTA(O173:AG173)</f>
        <v>0</v>
      </c>
      <c r="J173" s="222">
        <f>SUM(O173:AG173)</f>
        <v>0</v>
      </c>
      <c r="K173" s="116">
        <f>Seilareal/Depl^0.667/K$7</f>
        <v>0</v>
      </c>
      <c r="L173" s="116">
        <f>Seilareal/Lwl/Lwl/L$7</f>
        <v>0</v>
      </c>
      <c r="M173" s="92" t="e">
        <f>RiggF</f>
        <v>#DIV/0!</v>
      </c>
      <c r="N173" s="242" t="str">
        <f>StHfaktor</f>
        <v>-</v>
      </c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551"/>
      <c r="AH173" s="557">
        <f t="shared" ref="AH173:AI173" si="1559">AH172</f>
        <v>0</v>
      </c>
      <c r="AI173" s="557">
        <f t="shared" si="1559"/>
        <v>0</v>
      </c>
      <c r="AJ173" s="337">
        <f t="shared" ref="AJ173:AL174" si="1560" xml:space="preserve"> AJ172</f>
        <v>0</v>
      </c>
      <c r="AK173" s="339"/>
      <c r="AL173" s="337">
        <f t="shared" si="1560"/>
        <v>0</v>
      </c>
      <c r="AM173" s="339"/>
      <c r="AN173" s="267" t="str">
        <f t="shared" ref="AN173:AN174" si="1561" xml:space="preserve"> AN172</f>
        <v>Meter</v>
      </c>
      <c r="AO173" s="45">
        <f>VLOOKUP(AN173,Skrogform!$1:$1048576,3,FALSE)</f>
        <v>1</v>
      </c>
      <c r="AP173" s="64">
        <f t="shared" ref="AP173:AZ173" si="1562">AP172</f>
        <v>14</v>
      </c>
      <c r="AQ173" s="64">
        <f t="shared" si="1562"/>
        <v>9.7999999999999989</v>
      </c>
      <c r="AR173" s="64">
        <f t="shared" si="1562"/>
        <v>0</v>
      </c>
      <c r="AS173" s="64">
        <f t="shared" si="1562"/>
        <v>2.1</v>
      </c>
      <c r="AT173" s="64">
        <f t="shared" ref="AT173" si="1563">AT172</f>
        <v>11</v>
      </c>
      <c r="AU173" s="64">
        <f t="shared" si="1562"/>
        <v>11</v>
      </c>
      <c r="AV173" s="64">
        <f t="shared" si="1562"/>
        <v>5</v>
      </c>
      <c r="AW173" s="64">
        <f t="shared" si="1562"/>
        <v>0</v>
      </c>
      <c r="AX173" s="256">
        <f>AX172</f>
        <v>0</v>
      </c>
      <c r="AY173" s="256">
        <f t="shared" si="1562"/>
        <v>0</v>
      </c>
      <c r="AZ173" s="256">
        <f t="shared" si="1562"/>
        <v>0</v>
      </c>
      <c r="BA173" s="256">
        <f t="shared" ref="BA173:BB173" si="1564">BA172</f>
        <v>0</v>
      </c>
      <c r="BB173" s="256">
        <f t="shared" si="1564"/>
        <v>0</v>
      </c>
      <c r="BC173" s="256"/>
      <c r="BD173" s="66"/>
      <c r="BE173" s="66"/>
      <c r="BF173" s="261"/>
      <c r="BG173" s="66"/>
      <c r="BH173" s="175"/>
      <c r="BI173" s="66"/>
      <c r="BJ173" s="66"/>
      <c r="BK173" s="65">
        <f t="shared" ref="BK173:BM173" si="1565" xml:space="preserve"> BK172</f>
        <v>0</v>
      </c>
      <c r="BL173" s="267">
        <f t="shared" si="1565"/>
        <v>0</v>
      </c>
      <c r="BM173" s="267">
        <f t="shared" si="1565"/>
        <v>0</v>
      </c>
      <c r="BN173" s="45">
        <f t="shared" si="1197"/>
        <v>1</v>
      </c>
      <c r="BO173" s="59"/>
      <c r="BP173" s="59"/>
      <c r="BR173" s="49">
        <f t="shared" ref="BR173:BX174" si="1566">IF(O173=0,0,O173*BR$9)</f>
        <v>0</v>
      </c>
      <c r="BS173" s="49">
        <f t="shared" si="1566"/>
        <v>0</v>
      </c>
      <c r="BT173" s="49">
        <f t="shared" si="1566"/>
        <v>0</v>
      </c>
      <c r="BU173" s="49">
        <f t="shared" si="1566"/>
        <v>0</v>
      </c>
      <c r="BV173" s="49">
        <f t="shared" si="1566"/>
        <v>0</v>
      </c>
      <c r="BW173" s="49">
        <f t="shared" si="1566"/>
        <v>0</v>
      </c>
      <c r="BX173" s="49">
        <f t="shared" si="1566"/>
        <v>0</v>
      </c>
      <c r="BY173" s="549">
        <f>IF(COUNT(Q173:U173)&gt;1,MINA(Q173:U173)*BY$9,0)</f>
        <v>0</v>
      </c>
      <c r="BZ173" s="85">
        <f t="shared" ref="BZ173:CD174" si="1567">IF(V173=0,0,V173*BZ$9)</f>
        <v>0</v>
      </c>
      <c r="CA173" s="85">
        <f t="shared" si="1567"/>
        <v>0</v>
      </c>
      <c r="CB173" s="85">
        <f t="shared" si="1567"/>
        <v>0</v>
      </c>
      <c r="CC173" s="85">
        <f t="shared" si="1567"/>
        <v>0</v>
      </c>
      <c r="CD173" s="85">
        <f t="shared" si="1567"/>
        <v>0</v>
      </c>
      <c r="CE173" s="85">
        <f>IF(AC173=0,0,AC173*CE$9)</f>
        <v>0</v>
      </c>
      <c r="CF173" s="85">
        <f>IF(AA173=0,0,AA173*CF$9)</f>
        <v>0</v>
      </c>
      <c r="CG173" s="85">
        <f>IF(AB173=0,0,AB173*CG$9)</f>
        <v>0</v>
      </c>
      <c r="CH173" s="85">
        <f t="shared" ref="CH173:CK174" si="1568">IF(AD173=0,0,AD173*CH$9)</f>
        <v>0</v>
      </c>
      <c r="CI173" s="85">
        <f t="shared" si="1568"/>
        <v>0</v>
      </c>
      <c r="CJ173" s="85">
        <f t="shared" si="1568"/>
        <v>0</v>
      </c>
      <c r="CK173" s="85">
        <f t="shared" si="1568"/>
        <v>0</v>
      </c>
      <c r="CL173" s="100">
        <f>SUM(BR173:CK173)</f>
        <v>0</v>
      </c>
      <c r="CM173" s="50"/>
      <c r="CN173" s="104">
        <f>J173</f>
        <v>0</v>
      </c>
      <c r="CO173" s="101" t="e">
        <f>CL173/CN173</f>
        <v>#DIV/0!</v>
      </c>
      <c r="CP173" s="51">
        <f>Seilareal/Lwl/Lwl</f>
        <v>0</v>
      </c>
      <c r="CQ173" s="116">
        <f>Seilareal/Depl^0.667/K$7</f>
        <v>0</v>
      </c>
      <c r="CR173" s="51">
        <f>Seilareal/Lwl/Lwl/SApRS1</f>
        <v>0</v>
      </c>
      <c r="CS173" s="204"/>
      <c r="CT173" s="204" t="e">
        <f>(ROUND(TBF/CT$6,3)*CT$6)*CT$4</f>
        <v>#VALUE!</v>
      </c>
      <c r="CU173" s="107" t="str">
        <f t="shared" si="83"/>
        <v>-</v>
      </c>
      <c r="CV173" s="62" t="str">
        <f t="shared" si="523"/>
        <v>-</v>
      </c>
      <c r="CW173" s="62" t="str">
        <f t="shared" si="84"/>
        <v>-</v>
      </c>
      <c r="CX173" s="62" t="str">
        <f t="shared" si="524"/>
        <v>-</v>
      </c>
      <c r="CY173" s="107" t="str">
        <f t="shared" si="85"/>
        <v>-</v>
      </c>
      <c r="CZ173" s="168" t="str">
        <f t="shared" si="1450"/>
        <v>-</v>
      </c>
      <c r="DA173" s="159"/>
      <c r="DB173" s="168" t="e">
        <f t="shared" si="1451"/>
        <v>#VALUE!</v>
      </c>
      <c r="DC173" s="159">
        <f>DC172</f>
        <v>1.4</v>
      </c>
      <c r="DD173" s="190" t="s">
        <v>134</v>
      </c>
      <c r="DE173" s="62" t="s">
        <v>102</v>
      </c>
      <c r="DF173" s="62" t="s">
        <v>102</v>
      </c>
      <c r="DG173" s="62" t="s">
        <v>102</v>
      </c>
      <c r="DH173" s="150" t="s">
        <v>102</v>
      </c>
      <c r="DI173" s="62" t="str">
        <f t="shared" si="1374"/>
        <v>-</v>
      </c>
      <c r="DJ173" s="47">
        <f t="shared" si="1375"/>
        <v>19.444444444444446</v>
      </c>
      <c r="DK173" s="48">
        <f t="shared" si="1428"/>
        <v>0</v>
      </c>
      <c r="DM173" s="107" t="str">
        <f t="shared" si="1536"/>
        <v>-</v>
      </c>
      <c r="DN173" s="141" t="str">
        <f t="shared" si="1553"/>
        <v>-</v>
      </c>
      <c r="DO173" s="107">
        <f t="shared" si="1430"/>
        <v>5.0801976869371241</v>
      </c>
      <c r="DP173" s="133">
        <f>IF(SeilBeregnet=0,DP172,(SeilBeregnet^0.5/(Depl^0.3333))^DP$3*DP$7)</f>
        <v>3.2155947302606869</v>
      </c>
      <c r="DQ173" s="133">
        <f>IF(SeilBeregnet=0,DQ172,(SeilBeregnet^0.5/Lwl)^DQ$3*DQ$7)</f>
        <v>0</v>
      </c>
      <c r="DR173" s="133">
        <f>IF(SeilBeregnet=0,DR172,(0.1*Loa/Depl^0.3333)^DR$3*DR$7)</f>
        <v>0</v>
      </c>
      <c r="DS173" s="133">
        <f>IF(SeilBeregnet=0,DS172,((Loa)/Bredde)^DS$3*DS$7)</f>
        <v>1.8646029566764373</v>
      </c>
      <c r="DT173" s="107">
        <f>IF(SeilBeregnet=0,DT172,(Lwl)^DT$3)</f>
        <v>1.8859172433475835</v>
      </c>
      <c r="DU173" s="133">
        <f>IF(SeilBeregnet=0,DU172,(Dypg/Loa)^DU$3*5*DU$7)</f>
        <v>2.0446520502738266</v>
      </c>
      <c r="DW173" s="107" t="str">
        <f t="shared" si="1241"/>
        <v>-</v>
      </c>
      <c r="DX173" s="107" t="str">
        <f t="shared" si="1376"/>
        <v>-</v>
      </c>
      <c r="DZ173" s="107" t="str">
        <f t="shared" si="1377"/>
        <v>-</v>
      </c>
      <c r="EA173" s="122" t="str">
        <f t="shared" si="1554"/>
        <v>-</v>
      </c>
      <c r="EB173" s="107" t="str">
        <f t="shared" si="1432"/>
        <v>-</v>
      </c>
      <c r="EC173" s="122" t="str">
        <f t="shared" si="1555"/>
        <v>-</v>
      </c>
      <c r="ED173" s="107">
        <f>IF(SeilBeregnet=0,ED172,SeilBeregnet^0.5/Depl^0.33333)</f>
        <v>3.2152768037087123</v>
      </c>
      <c r="EE173" s="107">
        <f>IF(SeilBeregnet=0,EE172,Lwl^0.3333)</f>
        <v>2.3298436208665341</v>
      </c>
      <c r="EF173" s="107">
        <f>IF(SeilBeregnet=0,EF172,((Loa+Lwl)/Bredde)^EF$3)</f>
        <v>1.5916961163398649</v>
      </c>
      <c r="EH173" s="107" t="str">
        <f t="shared" si="1434"/>
        <v>-</v>
      </c>
      <c r="EJ173" s="107">
        <f>IF(SeilBeregnet=0,EJ172,SeilBeregnet^0.5/Depl^0.33333)</f>
        <v>3.2152768037087123</v>
      </c>
      <c r="EK173" s="107">
        <f>IF(SeilBeregnet=0,EK172,Lwl^EK$3)</f>
        <v>2.3300209979525235</v>
      </c>
      <c r="EL173" s="107">
        <f>IF(SeilBeregnet=0,EL172,((Loa+Lwl)/Bredde)^EL$3)</f>
        <v>1.8583176886572534</v>
      </c>
      <c r="EM173" s="107" t="str">
        <f t="shared" si="1435"/>
        <v>-</v>
      </c>
      <c r="EO173" s="107">
        <f>IF(SeilBeregnet=0,EO172,(EP173*EQ173)^EO$3)</f>
        <v>5.1177436014208109</v>
      </c>
      <c r="EP173" s="107">
        <f>IF(SeilBeregnet=0,EP172,SeilBeregnet^0.5/Depl^0.33333)</f>
        <v>3.2152768037087123</v>
      </c>
      <c r="EQ173" s="107">
        <f>IF(SeilBeregnet=0,EQ172,((Loa+Lwl)/Bredde)^EQ$3)</f>
        <v>1.5916961163398649</v>
      </c>
      <c r="ER173" s="107">
        <f>IF(SeilBeregnet=0,ER172,Lwl^ER$3)</f>
        <v>1.8859172433475835</v>
      </c>
      <c r="ES173" s="107" t="str">
        <f t="shared" si="1537"/>
        <v>-</v>
      </c>
      <c r="EU173" s="107">
        <f>IF(SeilBeregnet=0,EU172,(EV:EV*EW:EW)^EU$3)</f>
        <v>1.8082994728275268</v>
      </c>
      <c r="EV173" s="107">
        <f>IF(SeilBeregnet=0,EV172,SeilBeregnet^0.5/Depl^0.33333)</f>
        <v>3.2152768037087123</v>
      </c>
      <c r="EW173" s="107">
        <f>IF(SeilBeregnet=0,EW172,((Loa+Lwl)/Bredde/6)^EW$3)</f>
        <v>1.0170032575909294</v>
      </c>
      <c r="EX173" s="107">
        <f>IF(SeilBeregnet=0,EX172,(Lwl*0.7+Loa*0.3)^EX$3)</f>
        <v>1.9111244003334622</v>
      </c>
      <c r="EY173" s="107" t="str">
        <f t="shared" si="1538"/>
        <v>-</v>
      </c>
      <c r="FA173" s="107">
        <f t="shared" si="1539"/>
        <v>1.8083888729383799</v>
      </c>
      <c r="FB173" s="107">
        <f>IF(SeilBeregnet=0,FB172,SeilBeregnet^0.5/Depl^0.3333)</f>
        <v>3.2155947302606869</v>
      </c>
      <c r="FC173" s="107">
        <f>IF(SeilBeregnet=0,FC172,((Loa+Lwl)/Bredde/6)^FC$3)</f>
        <v>1.0170032575909294</v>
      </c>
      <c r="FD173" s="107">
        <f>IF(SeilBeregnet=0,FD172,(Lwl*0.7+Loa*0.3)^FD$3)</f>
        <v>1.9111244003334622</v>
      </c>
      <c r="FE173" s="107" t="str">
        <f t="shared" si="1540"/>
        <v>-</v>
      </c>
      <c r="FF173" s="141" t="str">
        <f t="shared" si="1556"/>
        <v>-</v>
      </c>
      <c r="FG173" s="107">
        <f t="shared" si="1541"/>
        <v>3.3258755643383067</v>
      </c>
      <c r="FH173" s="133">
        <f>IF(SeilBeregnet=0,FH172,(SeilBeregnet^0.5/(Depl^0.3333))^FH$3)</f>
        <v>3.2155947302606869</v>
      </c>
      <c r="FI173" s="133">
        <f>IF(SeilBeregnet=0,FI172,((Loa+Lwl)/Bredde/6)^FI$3)</f>
        <v>1.0342956259505622</v>
      </c>
      <c r="FJ173" s="107">
        <f>IF(SeilBeregnet=0,FJ172,(Lwl*0.07+Loa*0.03)^FJ$3)</f>
        <v>1.0747042278871302</v>
      </c>
      <c r="FK173" s="107" t="str">
        <f t="shared" si="1542"/>
        <v>-</v>
      </c>
      <c r="FL173" s="141" t="str">
        <f t="shared" si="1557"/>
        <v>-</v>
      </c>
      <c r="FM173" s="107">
        <f t="shared" si="1543"/>
        <v>5.3427055479197323</v>
      </c>
      <c r="FN173" s="133">
        <f>IF(SeilBeregnet=0,FN172,(SeilBeregnet^0.5/(Depl^0.3333))^FN$3)</f>
        <v>3.2155947302606869</v>
      </c>
      <c r="FO173" s="133">
        <f>IF(SeilBeregnet=0,FO172,(SeilBeregnet^0.5/Lwl*FO$7)^FO$3)</f>
        <v>0.76250786098260837</v>
      </c>
      <c r="FP173" s="133">
        <f>IF(SeilBeregnet=0,FP172,((Loa)/Bredde)^FP$3*FP$7)</f>
        <v>1.8646029566764373</v>
      </c>
      <c r="FQ173" s="107">
        <f>IF(SeilBeregnet=0,FQ172,(Lwl)^FQ$3)</f>
        <v>1.8859172433475835</v>
      </c>
      <c r="FR173" s="107" t="str">
        <f t="shared" si="1544"/>
        <v>-</v>
      </c>
      <c r="FS173" s="141" t="str">
        <f t="shared" si="1558"/>
        <v>-</v>
      </c>
      <c r="FT173" s="107">
        <f t="shared" si="1545"/>
        <v>5.9958074415172478</v>
      </c>
      <c r="FU173" s="133">
        <f>IF(SeilBeregnet=0,FU172,(SeilBeregnet^0.5/(Depl^0.3333))^FU$3)</f>
        <v>3.2155947302606869</v>
      </c>
      <c r="FV173" s="133">
        <f>IF(SeilBeregnet=0,FV172,(Loa/Bredde)^FV$3)</f>
        <v>1.8646029566764373</v>
      </c>
      <c r="FW173" s="107">
        <f>IF(SeilBeregnet=0,FW172,Lwl^FW$3)</f>
        <v>1.8859172433475835</v>
      </c>
      <c r="FY173" s="336">
        <v>1</v>
      </c>
      <c r="FZ173" s="62" t="str">
        <f t="shared" si="1452"/>
        <v>-</v>
      </c>
      <c r="GA173" s="62">
        <f t="shared" si="1378"/>
        <v>1.9364916731037085</v>
      </c>
      <c r="GB173" s="107" t="str">
        <f t="shared" si="798"/>
        <v>-</v>
      </c>
      <c r="GC173" s="440"/>
      <c r="GD173" s="17"/>
      <c r="GE173" s="442"/>
      <c r="GF173" s="462"/>
      <c r="GG173" s="17"/>
      <c r="GH173" s="17"/>
      <c r="GI173" s="17"/>
      <c r="GJ173" s="17"/>
      <c r="GL173" s="17"/>
      <c r="GM173" s="442"/>
      <c r="GN173" s="8"/>
      <c r="GO173" s="8"/>
      <c r="GP173" s="8"/>
      <c r="GQ173" s="8"/>
      <c r="GS173" s="17"/>
      <c r="GT173" s="17"/>
      <c r="GU173" s="17"/>
      <c r="GV173" s="629"/>
      <c r="GW173" s="17"/>
      <c r="GX173" s="17"/>
      <c r="GY173" s="17"/>
      <c r="GZ173" s="17"/>
    </row>
    <row r="174" spans="1:208" ht="15.6" x14ac:dyDescent="0.3">
      <c r="A174" s="60"/>
      <c r="B174" s="218"/>
      <c r="C174" s="61" t="str">
        <f t="shared" ref="C174" si="1569">C173</f>
        <v>Bermuda</v>
      </c>
      <c r="D174" s="61"/>
      <c r="E174" s="61"/>
      <c r="F174" s="61"/>
      <c r="G174" s="54"/>
      <c r="H174" s="204">
        <f>IF(StH=0,0,TBFavrundet)</f>
        <v>0</v>
      </c>
      <c r="I174" s="63">
        <f>COUNTA(O174:AG174)</f>
        <v>0</v>
      </c>
      <c r="J174" s="222">
        <f>SUM(O174:AG174)</f>
        <v>0</v>
      </c>
      <c r="K174" s="116">
        <f>Seilareal/Depl^0.667/K$7</f>
        <v>0</v>
      </c>
      <c r="L174" s="116">
        <f>Seilareal/Lwl/Lwl/L$7</f>
        <v>0</v>
      </c>
      <c r="M174" s="92" t="e">
        <f>RiggF</f>
        <v>#DIV/0!</v>
      </c>
      <c r="N174" s="242" t="str">
        <f>StHfaktor</f>
        <v>-</v>
      </c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551"/>
      <c r="AH174" s="557">
        <f t="shared" ref="AH174:AI174" si="1570">AH173</f>
        <v>0</v>
      </c>
      <c r="AI174" s="557">
        <f t="shared" si="1570"/>
        <v>0</v>
      </c>
      <c r="AJ174" s="337">
        <f t="shared" si="1560"/>
        <v>0</v>
      </c>
      <c r="AK174" s="339"/>
      <c r="AL174" s="337">
        <f t="shared" si="1560"/>
        <v>0</v>
      </c>
      <c r="AM174" s="339"/>
      <c r="AN174" s="267" t="str">
        <f t="shared" si="1561"/>
        <v>Meter</v>
      </c>
      <c r="AO174" s="45">
        <f>VLOOKUP(AN174,Skrogform!$1:$1048576,3,FALSE)</f>
        <v>1</v>
      </c>
      <c r="AP174" s="64">
        <f t="shared" ref="AP174:AZ174" si="1571">AP173</f>
        <v>14</v>
      </c>
      <c r="AQ174" s="64">
        <f t="shared" si="1571"/>
        <v>9.7999999999999989</v>
      </c>
      <c r="AR174" s="64">
        <f t="shared" si="1571"/>
        <v>0</v>
      </c>
      <c r="AS174" s="64">
        <f t="shared" si="1571"/>
        <v>2.1</v>
      </c>
      <c r="AT174" s="64">
        <f t="shared" ref="AT174" si="1572">AT173</f>
        <v>11</v>
      </c>
      <c r="AU174" s="64">
        <f t="shared" si="1571"/>
        <v>11</v>
      </c>
      <c r="AV174" s="64">
        <f t="shared" si="1571"/>
        <v>5</v>
      </c>
      <c r="AW174" s="64">
        <f t="shared" si="1571"/>
        <v>0</v>
      </c>
      <c r="AX174" s="256">
        <f>AX173</f>
        <v>0</v>
      </c>
      <c r="AY174" s="256">
        <f t="shared" si="1571"/>
        <v>0</v>
      </c>
      <c r="AZ174" s="256">
        <f t="shared" si="1571"/>
        <v>0</v>
      </c>
      <c r="BA174" s="256">
        <f t="shared" ref="BA174:BB174" si="1573">BA173</f>
        <v>0</v>
      </c>
      <c r="BB174" s="256">
        <f t="shared" si="1573"/>
        <v>0</v>
      </c>
      <c r="BC174" s="256"/>
      <c r="BD174" s="66"/>
      <c r="BE174" s="66"/>
      <c r="BF174" s="261"/>
      <c r="BG174" s="66"/>
      <c r="BH174" s="175"/>
      <c r="BI174" s="66"/>
      <c r="BJ174" s="66"/>
      <c r="BK174" s="65">
        <f t="shared" ref="BK174:BM174" si="1574" xml:space="preserve"> BK173</f>
        <v>0</v>
      </c>
      <c r="BL174" s="267">
        <f t="shared" si="1574"/>
        <v>0</v>
      </c>
      <c r="BM174" s="267">
        <f t="shared" si="1574"/>
        <v>0</v>
      </c>
      <c r="BN174" s="45">
        <f t="shared" si="1197"/>
        <v>1</v>
      </c>
      <c r="BO174" s="59"/>
      <c r="BP174" s="59"/>
      <c r="BR174" s="49">
        <f t="shared" si="1566"/>
        <v>0</v>
      </c>
      <c r="BS174" s="49">
        <f t="shared" si="1566"/>
        <v>0</v>
      </c>
      <c r="BT174" s="49">
        <f t="shared" si="1566"/>
        <v>0</v>
      </c>
      <c r="BU174" s="49">
        <f t="shared" si="1566"/>
        <v>0</v>
      </c>
      <c r="BV174" s="49">
        <f t="shared" si="1566"/>
        <v>0</v>
      </c>
      <c r="BW174" s="49">
        <f t="shared" si="1566"/>
        <v>0</v>
      </c>
      <c r="BX174" s="49">
        <f t="shared" si="1566"/>
        <v>0</v>
      </c>
      <c r="BY174" s="549">
        <f>IF(COUNT(Q174:U174)&gt;1,MINA(Q174:U174)*BY$9,0)</f>
        <v>0</v>
      </c>
      <c r="BZ174" s="85">
        <f t="shared" si="1567"/>
        <v>0</v>
      </c>
      <c r="CA174" s="85">
        <f t="shared" si="1567"/>
        <v>0</v>
      </c>
      <c r="CB174" s="85">
        <f t="shared" si="1567"/>
        <v>0</v>
      </c>
      <c r="CC174" s="85">
        <f t="shared" si="1567"/>
        <v>0</v>
      </c>
      <c r="CD174" s="85">
        <f t="shared" si="1567"/>
        <v>0</v>
      </c>
      <c r="CE174" s="85">
        <f>IF(AC174=0,0,AC174*CE$9)</f>
        <v>0</v>
      </c>
      <c r="CF174" s="85">
        <f>IF(AA174=0,0,AA174*CF$9)</f>
        <v>0</v>
      </c>
      <c r="CG174" s="85">
        <f>IF(AB174=0,0,AB174*CG$9)</f>
        <v>0</v>
      </c>
      <c r="CH174" s="85">
        <f t="shared" si="1568"/>
        <v>0</v>
      </c>
      <c r="CI174" s="85">
        <f t="shared" si="1568"/>
        <v>0</v>
      </c>
      <c r="CJ174" s="85">
        <f t="shared" si="1568"/>
        <v>0</v>
      </c>
      <c r="CK174" s="85">
        <f t="shared" si="1568"/>
        <v>0</v>
      </c>
      <c r="CL174" s="100">
        <f>SUM(BR174:CK174)</f>
        <v>0</v>
      </c>
      <c r="CM174" s="50"/>
      <c r="CN174" s="104">
        <f>J174</f>
        <v>0</v>
      </c>
      <c r="CO174" s="101" t="e">
        <f>CL174/CN174</f>
        <v>#DIV/0!</v>
      </c>
      <c r="CP174" s="51">
        <f>Seilareal/Lwl/Lwl</f>
        <v>0</v>
      </c>
      <c r="CQ174" s="116">
        <f>Seilareal/Depl^0.667/K$7</f>
        <v>0</v>
      </c>
      <c r="CR174" s="51">
        <f>Seilareal/Lwl/Lwl/SApRS1</f>
        <v>0</v>
      </c>
      <c r="CS174" s="204"/>
      <c r="CT174" s="204" t="e">
        <f>(ROUND(TBF/CT$6,3)*CT$6)*CT$4</f>
        <v>#VALUE!</v>
      </c>
      <c r="CU174" s="107" t="str">
        <f t="shared" si="83"/>
        <v>-</v>
      </c>
      <c r="CV174" s="62" t="str">
        <f t="shared" si="523"/>
        <v>-</v>
      </c>
      <c r="CW174" s="62" t="str">
        <f t="shared" si="84"/>
        <v>-</v>
      </c>
      <c r="CX174" s="62" t="str">
        <f t="shared" si="524"/>
        <v>-</v>
      </c>
      <c r="CY174" s="107" t="str">
        <f t="shared" si="85"/>
        <v>-</v>
      </c>
      <c r="CZ174" s="168" t="str">
        <f t="shared" si="1450"/>
        <v>-</v>
      </c>
      <c r="DA174" s="158"/>
      <c r="DB174" s="168" t="str">
        <f t="shared" si="1451"/>
        <v>-</v>
      </c>
      <c r="DC174" s="160"/>
      <c r="DD174" s="190" t="s">
        <v>134</v>
      </c>
      <c r="DE174" s="62" t="s">
        <v>102</v>
      </c>
      <c r="DF174" s="62" t="s">
        <v>102</v>
      </c>
      <c r="DG174" s="62" t="s">
        <v>102</v>
      </c>
      <c r="DH174" s="150" t="s">
        <v>102</v>
      </c>
      <c r="DI174" s="62" t="str">
        <f t="shared" si="1374"/>
        <v>-</v>
      </c>
      <c r="DJ174" s="47">
        <f t="shared" si="1375"/>
        <v>19.444444444444446</v>
      </c>
      <c r="DK174" s="48">
        <f t="shared" si="1428"/>
        <v>0</v>
      </c>
      <c r="DM174" s="107" t="str">
        <f t="shared" si="1536"/>
        <v>-</v>
      </c>
      <c r="DN174" s="141" t="str">
        <f t="shared" si="1553"/>
        <v>-</v>
      </c>
      <c r="DO174" s="107">
        <f t="shared" si="1430"/>
        <v>5.0801976869371241</v>
      </c>
      <c r="DP174" s="133">
        <f>IF(SeilBeregnet=0,DP173,(SeilBeregnet^0.5/(Depl^0.3333))^DP$3*DP$7)</f>
        <v>3.2155947302606869</v>
      </c>
      <c r="DQ174" s="133">
        <f>IF(SeilBeregnet=0,DQ173,(SeilBeregnet^0.5/Lwl)^DQ$3*DQ$7)</f>
        <v>0</v>
      </c>
      <c r="DR174" s="133">
        <f>IF(SeilBeregnet=0,DR173,(0.1*Loa/Depl^0.3333)^DR$3*DR$7)</f>
        <v>0</v>
      </c>
      <c r="DS174" s="133">
        <f>IF(SeilBeregnet=0,DS173,((Loa)/Bredde)^DS$3*DS$7)</f>
        <v>1.8646029566764373</v>
      </c>
      <c r="DT174" s="107">
        <f>IF(SeilBeregnet=0,DT173,(Lwl)^DT$3)</f>
        <v>1.8859172433475835</v>
      </c>
      <c r="DU174" s="133">
        <f>IF(SeilBeregnet=0,DU173,(Dypg/Loa)^DU$3*5*DU$7)</f>
        <v>2.0446520502738266</v>
      </c>
      <c r="DW174" s="107" t="str">
        <f t="shared" si="1241"/>
        <v>-</v>
      </c>
      <c r="DX174" s="107" t="str">
        <f t="shared" si="1376"/>
        <v>-</v>
      </c>
      <c r="DZ174" s="107" t="str">
        <f t="shared" si="1377"/>
        <v>-</v>
      </c>
      <c r="EA174" s="122" t="str">
        <f t="shared" si="1554"/>
        <v>-</v>
      </c>
      <c r="EB174" s="107" t="str">
        <f t="shared" si="1432"/>
        <v>-</v>
      </c>
      <c r="EC174" s="122" t="str">
        <f t="shared" si="1555"/>
        <v>-</v>
      </c>
      <c r="ED174" s="107">
        <f>IF(SeilBeregnet=0,ED173,SeilBeregnet^0.5/Depl^0.33333)</f>
        <v>3.2152768037087123</v>
      </c>
      <c r="EE174" s="107">
        <f>IF(SeilBeregnet=0,EE173,Lwl^0.3333)</f>
        <v>2.3298436208665341</v>
      </c>
      <c r="EF174" s="107">
        <f>IF(SeilBeregnet=0,EF173,((Loa+Lwl)/Bredde)^EF$3)</f>
        <v>1.5916961163398649</v>
      </c>
      <c r="EH174" s="107" t="str">
        <f t="shared" si="1434"/>
        <v>-</v>
      </c>
      <c r="EJ174" s="107">
        <f>IF(SeilBeregnet=0,EJ173,SeilBeregnet^0.5/Depl^0.33333)</f>
        <v>3.2152768037087123</v>
      </c>
      <c r="EK174" s="107">
        <f>IF(SeilBeregnet=0,EK173,Lwl^EK$3)</f>
        <v>2.3300209979525235</v>
      </c>
      <c r="EL174" s="107">
        <f>IF(SeilBeregnet=0,EL173,((Loa+Lwl)/Bredde)^EL$3)</f>
        <v>1.8583176886572534</v>
      </c>
      <c r="EM174" s="107" t="str">
        <f t="shared" si="1435"/>
        <v>-</v>
      </c>
      <c r="EO174" s="107">
        <f>IF(SeilBeregnet=0,EO173,(EP174*EQ174)^EO$3)</f>
        <v>5.1177436014208109</v>
      </c>
      <c r="EP174" s="107">
        <f>IF(SeilBeregnet=0,EP173,SeilBeregnet^0.5/Depl^0.33333)</f>
        <v>3.2152768037087123</v>
      </c>
      <c r="EQ174" s="107">
        <f>IF(SeilBeregnet=0,EQ173,((Loa+Lwl)/Bredde)^EQ$3)</f>
        <v>1.5916961163398649</v>
      </c>
      <c r="ER174" s="107">
        <f>IF(SeilBeregnet=0,ER173,Lwl^ER$3)</f>
        <v>1.8859172433475835</v>
      </c>
      <c r="ES174" s="107" t="str">
        <f t="shared" si="1537"/>
        <v>-</v>
      </c>
      <c r="EU174" s="107">
        <f>IF(SeilBeregnet=0,EU173,(EV:EV*EW:EW)^EU$3)</f>
        <v>1.8082994728275268</v>
      </c>
      <c r="EV174" s="107">
        <f>IF(SeilBeregnet=0,EV173,SeilBeregnet^0.5/Depl^0.33333)</f>
        <v>3.2152768037087123</v>
      </c>
      <c r="EW174" s="107">
        <f>IF(SeilBeregnet=0,EW173,((Loa+Lwl)/Bredde/6)^EW$3)</f>
        <v>1.0170032575909294</v>
      </c>
      <c r="EX174" s="107">
        <f>IF(SeilBeregnet=0,EX173,(Lwl*0.7+Loa*0.3)^EX$3)</f>
        <v>1.9111244003334622</v>
      </c>
      <c r="EY174" s="107" t="str">
        <f t="shared" si="1538"/>
        <v>-</v>
      </c>
      <c r="FA174" s="107">
        <f t="shared" si="1539"/>
        <v>1.8083888729383799</v>
      </c>
      <c r="FB174" s="107">
        <f>IF(SeilBeregnet=0,FB173,SeilBeregnet^0.5/Depl^0.3333)</f>
        <v>3.2155947302606869</v>
      </c>
      <c r="FC174" s="107">
        <f>IF(SeilBeregnet=0,FC173,((Loa+Lwl)/Bredde/6)^FC$3)</f>
        <v>1.0170032575909294</v>
      </c>
      <c r="FD174" s="107">
        <f>IF(SeilBeregnet=0,FD173,(Lwl*0.7+Loa*0.3)^FD$3)</f>
        <v>1.9111244003334622</v>
      </c>
      <c r="FE174" s="107" t="str">
        <f t="shared" si="1540"/>
        <v>-</v>
      </c>
      <c r="FF174" s="141" t="str">
        <f t="shared" si="1556"/>
        <v>-</v>
      </c>
      <c r="FG174" s="107">
        <f t="shared" si="1541"/>
        <v>3.3258755643383067</v>
      </c>
      <c r="FH174" s="133">
        <f>IF(SeilBeregnet=0,FH173,(SeilBeregnet^0.5/(Depl^0.3333))^FH$3)</f>
        <v>3.2155947302606869</v>
      </c>
      <c r="FI174" s="133">
        <f>IF(SeilBeregnet=0,FI173,((Loa+Lwl)/Bredde/6)^FI$3)</f>
        <v>1.0342956259505622</v>
      </c>
      <c r="FJ174" s="107">
        <f>IF(SeilBeregnet=0,FJ173,(Lwl*0.07+Loa*0.03)^FJ$3)</f>
        <v>1.0747042278871302</v>
      </c>
      <c r="FK174" s="107" t="str">
        <f t="shared" si="1542"/>
        <v>-</v>
      </c>
      <c r="FL174" s="141" t="str">
        <f t="shared" si="1557"/>
        <v>-</v>
      </c>
      <c r="FM174" s="107">
        <f t="shared" si="1543"/>
        <v>5.3427055479197323</v>
      </c>
      <c r="FN174" s="133">
        <f>IF(SeilBeregnet=0,FN173,(SeilBeregnet^0.5/(Depl^0.3333))^FN$3)</f>
        <v>3.2155947302606869</v>
      </c>
      <c r="FO174" s="133">
        <f>IF(SeilBeregnet=0,FO173,(SeilBeregnet^0.5/Lwl*FO$7)^FO$3)</f>
        <v>0.76250786098260837</v>
      </c>
      <c r="FP174" s="133">
        <f>IF(SeilBeregnet=0,FP173,((Loa)/Bredde)^FP$3*FP$7)</f>
        <v>1.8646029566764373</v>
      </c>
      <c r="FQ174" s="107">
        <f>IF(SeilBeregnet=0,FQ173,(Lwl)^FQ$3)</f>
        <v>1.8859172433475835</v>
      </c>
      <c r="FR174" s="107" t="str">
        <f t="shared" si="1544"/>
        <v>-</v>
      </c>
      <c r="FS174" s="141" t="str">
        <f t="shared" si="1558"/>
        <v>-</v>
      </c>
      <c r="FT174" s="107">
        <f t="shared" si="1545"/>
        <v>5.9958074415172478</v>
      </c>
      <c r="FU174" s="133">
        <f>IF(SeilBeregnet=0,FU173,(SeilBeregnet^0.5/(Depl^0.3333))^FU$3)</f>
        <v>3.2155947302606869</v>
      </c>
      <c r="FV174" s="133">
        <f>IF(SeilBeregnet=0,FV173,(Loa/Bredde)^FV$3)</f>
        <v>1.8646029566764373</v>
      </c>
      <c r="FW174" s="107">
        <f>IF(SeilBeregnet=0,FW173,Lwl^FW$3)</f>
        <v>1.8859172433475835</v>
      </c>
      <c r="FY174" s="336">
        <v>1</v>
      </c>
      <c r="FZ174" s="62" t="str">
        <f t="shared" si="1452"/>
        <v>-</v>
      </c>
      <c r="GA174" s="62">
        <f t="shared" si="1378"/>
        <v>1.9364916731037085</v>
      </c>
      <c r="GB174" s="107" t="str">
        <f t="shared" si="798"/>
        <v>-</v>
      </c>
      <c r="GC174" s="440"/>
      <c r="GD174" s="17"/>
      <c r="GE174" s="442"/>
      <c r="GF174" s="462"/>
      <c r="GG174" s="17"/>
      <c r="GH174" s="17"/>
      <c r="GI174" s="17"/>
      <c r="GJ174" s="17"/>
      <c r="GL174" s="17"/>
      <c r="GM174" s="442"/>
      <c r="GN174" s="8"/>
      <c r="GO174" s="8"/>
      <c r="GP174" s="8"/>
      <c r="GQ174" s="8"/>
      <c r="GS174" s="17"/>
      <c r="GT174" s="17"/>
      <c r="GU174" s="17"/>
      <c r="GV174" s="629"/>
      <c r="GW174" s="17"/>
      <c r="GX174" s="17"/>
      <c r="GY174" s="17"/>
      <c r="GZ174" s="17"/>
    </row>
    <row r="175" spans="1:208" ht="15.6" x14ac:dyDescent="0.3">
      <c r="A175" s="52" t="s">
        <v>263</v>
      </c>
      <c r="B175" s="218">
        <f t="shared" si="10"/>
        <v>52.001312335958005</v>
      </c>
      <c r="C175" s="53" t="s">
        <v>38</v>
      </c>
      <c r="D175" s="53"/>
      <c r="E175" s="53"/>
      <c r="F175" s="53"/>
      <c r="G175" s="54"/>
      <c r="H175" s="112">
        <f>J176</f>
        <v>0</v>
      </c>
      <c r="I175" s="601">
        <f>H176/100</f>
        <v>0</v>
      </c>
      <c r="J175" s="651">
        <f>IF(DC176=0,"-",DC176)</f>
        <v>1.37</v>
      </c>
      <c r="K175" s="123" t="str">
        <f>A175</f>
        <v>Solgang IV</v>
      </c>
      <c r="L175" s="116"/>
      <c r="M175" s="116"/>
      <c r="N175" s="92"/>
      <c r="O175" s="165"/>
      <c r="P175" s="165"/>
      <c r="Q175" s="165"/>
      <c r="R175" s="165"/>
      <c r="S175" s="165"/>
      <c r="T175" s="165"/>
      <c r="U175" s="165"/>
      <c r="V175" s="559"/>
      <c r="W175" s="559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552"/>
      <c r="AH175" s="244"/>
      <c r="AI175" s="244"/>
      <c r="AJ175" s="554"/>
      <c r="AK175" s="339"/>
      <c r="AL175" s="268"/>
      <c r="AM175" s="339"/>
      <c r="AN175" s="268" t="s">
        <v>214</v>
      </c>
      <c r="AO175" s="45">
        <f>VLOOKUP(AN175,Skrogform!$1:$1048576,3,FALSE)</f>
        <v>1</v>
      </c>
      <c r="AP175" s="55">
        <v>15.85</v>
      </c>
      <c r="AQ175" s="55"/>
      <c r="AR175" s="55"/>
      <c r="AS175" s="55"/>
      <c r="AT175" s="637">
        <f>AU175</f>
        <v>19</v>
      </c>
      <c r="AU175" s="55">
        <v>19</v>
      </c>
      <c r="AV175" s="55"/>
      <c r="AW175" s="55"/>
      <c r="AX175" s="253"/>
      <c r="AY175" s="253"/>
      <c r="AZ175" s="254">
        <f>AY175*7</f>
        <v>0</v>
      </c>
      <c r="BA175" s="253"/>
      <c r="BB175" s="253"/>
      <c r="BC175" s="244">
        <f>Depl+Diesel/1000*0.84+Vann/1000</f>
        <v>19</v>
      </c>
      <c r="BD175" s="95">
        <f>Bredde/(Loa+Lwl)*2</f>
        <v>0</v>
      </c>
      <c r="BE175" s="95">
        <f>(Kjøl+Ballast)/Depl</f>
        <v>0</v>
      </c>
      <c r="BF175" s="260" t="e">
        <f>BF$7*((Depl-Kjøl-Ballast-VektMotor/1000-VektAnnet/1000)/Lwl/Lwl/Bredde)</f>
        <v>#DIV/0!</v>
      </c>
      <c r="BG175" s="95" t="e">
        <f>BG$7*(Depl/Loa/Lwl/Lwl)</f>
        <v>#DIV/0!</v>
      </c>
      <c r="BH175" s="174" t="e">
        <f>BH$7*(Depl/Loa/Lwl/Bredde)</f>
        <v>#DIV/0!</v>
      </c>
      <c r="BI175" s="95">
        <f>BI$7*Bredde/(Loa+Lwl)*2</f>
        <v>0</v>
      </c>
      <c r="BJ175" s="95" t="e">
        <f>BJ$7*(Dypg/Lwl)</f>
        <v>#DIV/0!</v>
      </c>
      <c r="BK175" s="56"/>
      <c r="BL175" s="268"/>
      <c r="BM175" s="268"/>
      <c r="BN175" s="45">
        <f t="shared" si="1197"/>
        <v>1</v>
      </c>
      <c r="BO175" s="59"/>
      <c r="BP175" s="59"/>
      <c r="BR175" s="209"/>
      <c r="BS175" s="209"/>
      <c r="BT175" s="209" t="str">
        <f>$A175</f>
        <v>Solgang IV</v>
      </c>
      <c r="BU175" s="10"/>
      <c r="BV175" s="10"/>
      <c r="BW175" s="10"/>
      <c r="BX175" s="10"/>
      <c r="BY175" s="549"/>
      <c r="BZ175" s="10"/>
      <c r="CA175" s="10"/>
      <c r="CB175" s="209" t="str">
        <f>$A175</f>
        <v>Solgang IV</v>
      </c>
      <c r="CC175" s="10"/>
      <c r="CD175" s="10"/>
      <c r="CE175" s="10"/>
      <c r="CF175" s="10"/>
      <c r="CG175" s="10"/>
      <c r="CH175" s="10"/>
      <c r="CI175" s="10"/>
      <c r="CJ175" s="10"/>
      <c r="CK175" s="10"/>
      <c r="CL175" s="209"/>
      <c r="CM175" s="10"/>
      <c r="CN175" s="209" t="str">
        <f>$A175</f>
        <v>Solgang IV</v>
      </c>
      <c r="CO175" s="207"/>
      <c r="CP175" s="207"/>
      <c r="CQ175" s="116"/>
      <c r="CR175" s="207"/>
      <c r="CS175" s="203"/>
      <c r="CT175" s="203" t="s">
        <v>23</v>
      </c>
      <c r="CU175" s="107" t="str">
        <f t="shared" si="83"/>
        <v>-</v>
      </c>
      <c r="CV175" s="62" t="str">
        <f t="shared" si="523"/>
        <v>-</v>
      </c>
      <c r="CW175" s="62" t="str">
        <f t="shared" si="84"/>
        <v>-</v>
      </c>
      <c r="CX175" s="62" t="str">
        <f t="shared" si="524"/>
        <v>-</v>
      </c>
      <c r="CY175" s="107" t="str">
        <f t="shared" si="85"/>
        <v>-</v>
      </c>
      <c r="CZ175" s="168" t="str">
        <f t="shared" si="1450"/>
        <v>-</v>
      </c>
      <c r="DA175" s="158"/>
      <c r="DB175" s="168" t="str">
        <f t="shared" si="1451"/>
        <v>-</v>
      </c>
      <c r="DC175" s="160">
        <v>1.37</v>
      </c>
      <c r="DD175" s="190" t="s">
        <v>134</v>
      </c>
      <c r="DE175" s="29" t="s">
        <v>23</v>
      </c>
      <c r="DF175" s="29" t="s">
        <v>23</v>
      </c>
      <c r="DG175" s="29" t="s">
        <v>23</v>
      </c>
      <c r="DH175" s="149">
        <v>2022</v>
      </c>
      <c r="DI175" s="62" t="str">
        <f t="shared" si="1374"/>
        <v>-</v>
      </c>
      <c r="DJ175" s="47">
        <f t="shared" si="1375"/>
        <v>0</v>
      </c>
      <c r="DK175" s="48">
        <f t="shared" si="1428"/>
        <v>0</v>
      </c>
      <c r="DM175" s="107" t="str">
        <f t="shared" si="1536"/>
        <v>-</v>
      </c>
      <c r="DN175" s="141" t="str">
        <f t="shared" si="1553"/>
        <v>-</v>
      </c>
      <c r="DO175" s="107">
        <f t="shared" si="1430"/>
        <v>4.8251732779443195</v>
      </c>
      <c r="DP175" s="133">
        <f>IF(SeilBeregnet=0,DP80,(SeilBeregnet^0.5/(Depl^0.3333))^DP$3*DP$7)</f>
        <v>3.0481266446670419</v>
      </c>
      <c r="DQ175" s="133">
        <f>IF(SeilBeregnet=0,DQ80,(SeilBeregnet^0.5/Lwl)^DQ$3*DQ$7)</f>
        <v>0</v>
      </c>
      <c r="DR175" s="133">
        <f>IF(SeilBeregnet=0,DR80,(0.1*Loa/Depl^0.3333)^DR$3*DR$7)</f>
        <v>0</v>
      </c>
      <c r="DS175" s="133">
        <f>IF(SeilBeregnet=0,DS80,((Loa)/Bredde)^DS$3*DS$7)</f>
        <v>1.7770466332772772</v>
      </c>
      <c r="DT175" s="107">
        <f>IF(SeilBeregnet=0,DT80,(Lwl)^DT$3)</f>
        <v>1.8334522799337654</v>
      </c>
      <c r="DU175" s="133">
        <f>IF(SeilBeregnet=0,DU80,(Dypg/Loa)^DU$3*5*DU$7)</f>
        <v>2.0916500663351889</v>
      </c>
      <c r="DW175" s="107" t="str">
        <f t="shared" si="1241"/>
        <v>-</v>
      </c>
      <c r="DX175" s="107" t="str">
        <f t="shared" si="1376"/>
        <v>-</v>
      </c>
      <c r="DZ175" s="107" t="str">
        <f t="shared" si="1377"/>
        <v>-</v>
      </c>
      <c r="EA175" s="122" t="str">
        <f t="shared" si="1554"/>
        <v>-</v>
      </c>
      <c r="EB175" s="107" t="str">
        <f t="shared" si="1432"/>
        <v>-</v>
      </c>
      <c r="EC175" s="122" t="str">
        <f t="shared" si="1555"/>
        <v>-</v>
      </c>
      <c r="ED175" s="107">
        <f>IF(SeilBeregnet=0,ED80,SeilBeregnet^0.5/Depl^0.33333)</f>
        <v>3.0478790203266728</v>
      </c>
      <c r="EE175" s="107">
        <f>IF(SeilBeregnet=0,EE80,Lwl^0.3333)</f>
        <v>2.2438356573015867</v>
      </c>
      <c r="EF175" s="107">
        <f>IF(SeilBeregnet=0,EF80,((Loa+Lwl)/Bredde)^EF$3)</f>
        <v>1.5735954135403782</v>
      </c>
      <c r="EH175" s="107" t="str">
        <f t="shared" si="1434"/>
        <v>-</v>
      </c>
      <c r="EJ175" s="107">
        <f>IF(SeilBeregnet=0,EJ80,SeilBeregnet^0.5/Depl^0.33333)</f>
        <v>3.0478790203266728</v>
      </c>
      <c r="EK175" s="107">
        <f>IF(SeilBeregnet=0,EK80,Lwl^EK$3)</f>
        <v>2.2439988890031217</v>
      </c>
      <c r="EL175" s="107">
        <f>IF(SeilBeregnet=0,EL80,((Loa+Lwl)/Bredde)^EL$3)</f>
        <v>1.830197069920783</v>
      </c>
      <c r="EM175" s="107" t="str">
        <f t="shared" si="1435"/>
        <v>-</v>
      </c>
      <c r="EO175" s="107">
        <f>IF(SeilBeregnet=0,EO80,(EP175*EQ175)^EO$3)</f>
        <v>4.7961284474119932</v>
      </c>
      <c r="EP175" s="107">
        <f>IF(SeilBeregnet=0,EP80,SeilBeregnet^0.5/Depl^0.33333)</f>
        <v>3.0478790203266728</v>
      </c>
      <c r="EQ175" s="107">
        <f>IF(SeilBeregnet=0,EQ80,((Loa+Lwl)/Bredde)^EQ$3)</f>
        <v>1.5735954135403782</v>
      </c>
      <c r="ER175" s="107">
        <f>IF(SeilBeregnet=0,ER80,Lwl^ER$3)</f>
        <v>1.8334522799337654</v>
      </c>
      <c r="ES175" s="107" t="str">
        <f t="shared" si="1537"/>
        <v>-</v>
      </c>
      <c r="EU175" s="107">
        <f>IF(SeilBeregnet=0,EU80,(EV:EV*EW:EW)^EU$3)</f>
        <v>1.7505579677786378</v>
      </c>
      <c r="EV175" s="107">
        <f>IF(SeilBeregnet=0,EV80,SeilBeregnet^0.5/Depl^0.33333)</f>
        <v>3.0478790203266728</v>
      </c>
      <c r="EW175" s="107">
        <f>IF(SeilBeregnet=0,EW80,((Loa+Lwl)/Bredde/6)^EW$3)</f>
        <v>1.0054379383551861</v>
      </c>
      <c r="EX175" s="107">
        <f>IF(SeilBeregnet=0,EX80,(Lwl*0.7+Loa*0.3)^EX$3)</f>
        <v>1.8419118031918562</v>
      </c>
      <c r="EY175" s="107" t="str">
        <f t="shared" si="1538"/>
        <v>-</v>
      </c>
      <c r="FA175" s="107">
        <f t="shared" si="1539"/>
        <v>1.7506290782057579</v>
      </c>
      <c r="FB175" s="107">
        <f>IF(SeilBeregnet=0,FB80,SeilBeregnet^0.5/Depl^0.3333)</f>
        <v>3.0481266446670419</v>
      </c>
      <c r="FC175" s="107">
        <f>IF(SeilBeregnet=0,FC80,((Loa+Lwl)/Bredde/6)^FC$3)</f>
        <v>1.0054379383551861</v>
      </c>
      <c r="FD175" s="107">
        <f>IF(SeilBeregnet=0,FD80,(Lwl*0.7+Loa*0.3)^FD$3)</f>
        <v>1.8419118031918562</v>
      </c>
      <c r="FE175" s="107" t="str">
        <f t="shared" si="1540"/>
        <v>-</v>
      </c>
      <c r="FF175" s="141" t="str">
        <f t="shared" si="1556"/>
        <v>-</v>
      </c>
      <c r="FG175" s="107">
        <f t="shared" si="1541"/>
        <v>3.0813678309340684</v>
      </c>
      <c r="FH175" s="133">
        <f>IF(SeilBeregnet=0,FH80,(SeilBeregnet^0.5/(Depl^0.3333))^FH$3)</f>
        <v>3.0481266446670419</v>
      </c>
      <c r="FI175" s="133">
        <f>IF(SeilBeregnet=0,FI80,((Loa+Lwl)/Bredde/6)^FI$3)</f>
        <v>1.0109054478839272</v>
      </c>
      <c r="FJ175" s="107">
        <f>IF(SeilBeregnet=0,FJ80,(Lwl*0.07+Loa*0.03)^FJ$3)</f>
        <v>1.0357831242906539</v>
      </c>
      <c r="FK175" s="107" t="str">
        <f t="shared" si="1542"/>
        <v>-</v>
      </c>
      <c r="FL175" s="141" t="str">
        <f t="shared" si="1557"/>
        <v>-</v>
      </c>
      <c r="FM175" s="107">
        <f t="shared" si="1543"/>
        <v>4.9903633831820589</v>
      </c>
      <c r="FN175" s="133">
        <f>IF(SeilBeregnet=0,FN80,(SeilBeregnet^0.5/(Depl^0.3333))^FN$3)</f>
        <v>3.0481266446670419</v>
      </c>
      <c r="FO175" s="133">
        <f>IF(SeilBeregnet=0,FO80,(SeilBeregnet^0.5/Lwl*FO$7)^FO$3)</f>
        <v>0.66519010523773925</v>
      </c>
      <c r="FP175" s="133">
        <f>IF(SeilBeregnet=0,FP80,((Loa)/Bredde)^FP$3*FP$7)</f>
        <v>1.7770466332772772</v>
      </c>
      <c r="FQ175" s="107">
        <f>IF(SeilBeregnet=0,FQ80,(Lwl)^FQ$3)</f>
        <v>1.8334522799337654</v>
      </c>
      <c r="FR175" s="107" t="str">
        <f t="shared" si="1544"/>
        <v>-</v>
      </c>
      <c r="FS175" s="141" t="str">
        <f t="shared" si="1558"/>
        <v>-</v>
      </c>
      <c r="FT175" s="107">
        <f t="shared" si="1545"/>
        <v>5.4166631917083299</v>
      </c>
      <c r="FU175" s="133">
        <f>IF(SeilBeregnet=0,FU80,(SeilBeregnet^0.5/(Depl^0.3333))^FU$3)</f>
        <v>3.0481266446670419</v>
      </c>
      <c r="FV175" s="133">
        <f>IF(SeilBeregnet=0,FV80,(Loa/Bredde)^FV$3)</f>
        <v>1.7770466332772772</v>
      </c>
      <c r="FW175" s="107">
        <f>IF(SeilBeregnet=0,FW80,Lwl^FW$3)</f>
        <v>1.8334522799337654</v>
      </c>
      <c r="FX175" s="522">
        <v>1.37</v>
      </c>
      <c r="FY175" s="336">
        <v>1</v>
      </c>
      <c r="FZ175" s="62" t="str">
        <f t="shared" si="1452"/>
        <v>-</v>
      </c>
      <c r="GA175" s="62">
        <f t="shared" si="1378"/>
        <v>2</v>
      </c>
      <c r="GB175" s="107" t="str">
        <f t="shared" si="798"/>
        <v>-</v>
      </c>
      <c r="GC175" s="441" t="s">
        <v>697</v>
      </c>
      <c r="GD175" s="57" t="s">
        <v>80</v>
      </c>
      <c r="GE175" s="436" t="s">
        <v>694</v>
      </c>
      <c r="GF175" s="464" t="s">
        <v>533</v>
      </c>
      <c r="GG175" s="57" t="s">
        <v>698</v>
      </c>
      <c r="GH175" s="57" t="s">
        <v>699</v>
      </c>
      <c r="GI175" s="57" t="s">
        <v>416</v>
      </c>
      <c r="GJ175" s="57" t="s">
        <v>474</v>
      </c>
      <c r="GL175" s="57" t="s">
        <v>700</v>
      </c>
      <c r="GM175" s="436" t="s">
        <v>478</v>
      </c>
      <c r="GN175" s="58" t="s">
        <v>478</v>
      </c>
      <c r="GO175" s="58" t="s">
        <v>478</v>
      </c>
      <c r="GP175" s="58" t="s">
        <v>478</v>
      </c>
      <c r="GQ175" s="58" t="s">
        <v>478</v>
      </c>
      <c r="GS175" s="57" t="s">
        <v>208</v>
      </c>
      <c r="GT175" s="57" t="s">
        <v>701</v>
      </c>
      <c r="GU175" s="57"/>
      <c r="GV175" s="632"/>
      <c r="GW175" s="57"/>
      <c r="GX175" s="57" t="s">
        <v>431</v>
      </c>
      <c r="GY175" s="57" t="s">
        <v>438</v>
      </c>
      <c r="GZ175" s="57" t="s">
        <v>478</v>
      </c>
    </row>
    <row r="176" spans="1:208" ht="15.6" x14ac:dyDescent="0.3">
      <c r="A176" s="60" t="s">
        <v>33</v>
      </c>
      <c r="B176" s="218"/>
      <c r="C176" s="61" t="str">
        <f>C175</f>
        <v>Bermuda</v>
      </c>
      <c r="D176" s="61"/>
      <c r="E176" s="61"/>
      <c r="F176" s="61"/>
      <c r="G176" s="54"/>
      <c r="H176" s="204">
        <f>IF(StH=0,0,TBFavrundet)</f>
        <v>0</v>
      </c>
      <c r="I176" s="63">
        <f>COUNTA(O176:AG176)</f>
        <v>0</v>
      </c>
      <c r="J176" s="222">
        <f>SUM(O176:AG176)</f>
        <v>0</v>
      </c>
      <c r="K176" s="116">
        <f>Seilareal/Depl^0.667/K$7</f>
        <v>0</v>
      </c>
      <c r="L176" s="116" t="e">
        <f>Seilareal/Lwl/Lwl/L$7</f>
        <v>#DIV/0!</v>
      </c>
      <c r="M176" s="92" t="e">
        <f>RiggF</f>
        <v>#DIV/0!</v>
      </c>
      <c r="N176" s="242" t="str">
        <f>StHfaktor</f>
        <v>-</v>
      </c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551"/>
      <c r="AH176" s="557">
        <f t="shared" ref="AH176:AI176" si="1575">AH175</f>
        <v>0</v>
      </c>
      <c r="AI176" s="557">
        <f t="shared" si="1575"/>
        <v>0</v>
      </c>
      <c r="AJ176" s="337">
        <f t="shared" ref="AJ176:AL177" si="1576" xml:space="preserve"> AJ175</f>
        <v>0</v>
      </c>
      <c r="AK176" s="339"/>
      <c r="AL176" s="337">
        <f t="shared" si="1576"/>
        <v>0</v>
      </c>
      <c r="AM176" s="339"/>
      <c r="AN176" s="267" t="str">
        <f t="shared" ref="AN176:AN177" si="1577" xml:space="preserve"> AN175</f>
        <v>Meter</v>
      </c>
      <c r="AO176" s="45">
        <f>VLOOKUP(AN176,Skrogform!$1:$1048576,3,FALSE)</f>
        <v>1</v>
      </c>
      <c r="AP176" s="64">
        <f t="shared" ref="AP176:AZ176" si="1578">AP175</f>
        <v>15.85</v>
      </c>
      <c r="AQ176" s="64">
        <f t="shared" si="1578"/>
        <v>0</v>
      </c>
      <c r="AR176" s="64">
        <f t="shared" si="1578"/>
        <v>0</v>
      </c>
      <c r="AS176" s="64">
        <f t="shared" si="1578"/>
        <v>0</v>
      </c>
      <c r="AT176" s="64">
        <f t="shared" ref="AT176" si="1579">AT175</f>
        <v>19</v>
      </c>
      <c r="AU176" s="64">
        <f t="shared" si="1578"/>
        <v>19</v>
      </c>
      <c r="AV176" s="64">
        <f t="shared" si="1578"/>
        <v>0</v>
      </c>
      <c r="AW176" s="64">
        <f t="shared" si="1578"/>
        <v>0</v>
      </c>
      <c r="AX176" s="256">
        <f>AX175</f>
        <v>0</v>
      </c>
      <c r="AY176" s="256">
        <f t="shared" si="1578"/>
        <v>0</v>
      </c>
      <c r="AZ176" s="256">
        <f t="shared" si="1578"/>
        <v>0</v>
      </c>
      <c r="BA176" s="256">
        <f t="shared" ref="BA176:BB176" si="1580">BA175</f>
        <v>0</v>
      </c>
      <c r="BB176" s="256">
        <f t="shared" si="1580"/>
        <v>0</v>
      </c>
      <c r="BC176" s="256"/>
      <c r="BD176" s="66"/>
      <c r="BE176" s="66"/>
      <c r="BF176" s="261"/>
      <c r="BG176" s="66"/>
      <c r="BH176" s="175"/>
      <c r="BI176" s="66"/>
      <c r="BJ176" s="66"/>
      <c r="BK176" s="65">
        <f t="shared" ref="BK176:BM176" si="1581" xml:space="preserve"> BK175</f>
        <v>0</v>
      </c>
      <c r="BL176" s="267">
        <f t="shared" si="1581"/>
        <v>0</v>
      </c>
      <c r="BM176" s="267">
        <f t="shared" si="1581"/>
        <v>0</v>
      </c>
      <c r="BN176" s="45">
        <f t="shared" si="1197"/>
        <v>1</v>
      </c>
      <c r="BO176" s="59"/>
      <c r="BP176" s="59"/>
      <c r="BR176" s="49">
        <f t="shared" ref="BR176:BX177" si="1582">IF(O176=0,0,O176*BR$9)</f>
        <v>0</v>
      </c>
      <c r="BS176" s="49">
        <f t="shared" si="1582"/>
        <v>0</v>
      </c>
      <c r="BT176" s="49">
        <f t="shared" si="1582"/>
        <v>0</v>
      </c>
      <c r="BU176" s="49">
        <f t="shared" si="1582"/>
        <v>0</v>
      </c>
      <c r="BV176" s="49">
        <f t="shared" si="1582"/>
        <v>0</v>
      </c>
      <c r="BW176" s="49">
        <f t="shared" si="1582"/>
        <v>0</v>
      </c>
      <c r="BX176" s="49">
        <f t="shared" si="1582"/>
        <v>0</v>
      </c>
      <c r="BY176" s="549">
        <f>IF(COUNT(Q176:U176)&gt;1,MINA(Q176:U176)*BY$9,0)</f>
        <v>0</v>
      </c>
      <c r="BZ176" s="85">
        <f t="shared" ref="BZ176:CD177" si="1583">IF(V176=0,0,V176*BZ$9)</f>
        <v>0</v>
      </c>
      <c r="CA176" s="85">
        <f t="shared" si="1583"/>
        <v>0</v>
      </c>
      <c r="CB176" s="85">
        <f t="shared" si="1583"/>
        <v>0</v>
      </c>
      <c r="CC176" s="85">
        <f t="shared" si="1583"/>
        <v>0</v>
      </c>
      <c r="CD176" s="85">
        <f t="shared" si="1583"/>
        <v>0</v>
      </c>
      <c r="CE176" s="85">
        <f>IF(AC176=0,0,AC176*CE$9)</f>
        <v>0</v>
      </c>
      <c r="CF176" s="85">
        <f>IF(AA176=0,0,AA176*CF$9)</f>
        <v>0</v>
      </c>
      <c r="CG176" s="85">
        <f>IF(AB176=0,0,AB176*CG$9)</f>
        <v>0</v>
      </c>
      <c r="CH176" s="85">
        <f t="shared" ref="CH176:CK177" si="1584">IF(AD176=0,0,AD176*CH$9)</f>
        <v>0</v>
      </c>
      <c r="CI176" s="85">
        <f t="shared" si="1584"/>
        <v>0</v>
      </c>
      <c r="CJ176" s="85">
        <f t="shared" si="1584"/>
        <v>0</v>
      </c>
      <c r="CK176" s="85">
        <f t="shared" si="1584"/>
        <v>0</v>
      </c>
      <c r="CL176" s="100">
        <f>SUM(BR176:CK176)</f>
        <v>0</v>
      </c>
      <c r="CM176" s="50"/>
      <c r="CN176" s="104">
        <f>J176</f>
        <v>0</v>
      </c>
      <c r="CO176" s="101" t="e">
        <f>CL176/CN176</f>
        <v>#DIV/0!</v>
      </c>
      <c r="CP176" s="51" t="e">
        <f>Seilareal/Lwl/Lwl</f>
        <v>#DIV/0!</v>
      </c>
      <c r="CQ176" s="116">
        <f>Seilareal/Depl^0.667/K$7</f>
        <v>0</v>
      </c>
      <c r="CR176" s="51" t="e">
        <f>Seilareal/Lwl/Lwl/SApRS1</f>
        <v>#DIV/0!</v>
      </c>
      <c r="CS176" s="204"/>
      <c r="CT176" s="204" t="e">
        <f>(ROUND(TBF/CT$6,3)*CT$6)*CT$4</f>
        <v>#VALUE!</v>
      </c>
      <c r="CU176" s="107" t="str">
        <f t="shared" si="83"/>
        <v>-</v>
      </c>
      <c r="CV176" s="62" t="str">
        <f t="shared" si="523"/>
        <v>-</v>
      </c>
      <c r="CW176" s="62" t="str">
        <f t="shared" si="84"/>
        <v>-</v>
      </c>
      <c r="CX176" s="62" t="str">
        <f t="shared" si="524"/>
        <v>-</v>
      </c>
      <c r="CY176" s="107" t="str">
        <f t="shared" si="85"/>
        <v>-</v>
      </c>
      <c r="CZ176" s="168" t="str">
        <f t="shared" si="1450"/>
        <v>-</v>
      </c>
      <c r="DA176" s="159">
        <f>DA175</f>
        <v>0</v>
      </c>
      <c r="DB176" s="168">
        <f>DB$7*DC176</f>
        <v>1.2738596491228074</v>
      </c>
      <c r="DC176" s="159">
        <f>DC175</f>
        <v>1.37</v>
      </c>
      <c r="DD176" s="190" t="s">
        <v>134</v>
      </c>
      <c r="DE176" s="62" t="s">
        <v>102</v>
      </c>
      <c r="DF176" s="62" t="s">
        <v>102</v>
      </c>
      <c r="DG176" s="62" t="s">
        <v>102</v>
      </c>
      <c r="DH176" s="150" t="s">
        <v>102</v>
      </c>
      <c r="DI176" s="62" t="str">
        <f t="shared" si="1374"/>
        <v>-</v>
      </c>
      <c r="DJ176" s="47">
        <f t="shared" si="1375"/>
        <v>0</v>
      </c>
      <c r="DK176" s="48">
        <f t="shared" si="1428"/>
        <v>0</v>
      </c>
      <c r="DM176" s="107" t="str">
        <f t="shared" si="1536"/>
        <v>-</v>
      </c>
      <c r="DN176" s="141" t="str">
        <f t="shared" si="1553"/>
        <v>-</v>
      </c>
      <c r="DO176" s="107">
        <f t="shared" si="1430"/>
        <v>4.8251732779443195</v>
      </c>
      <c r="DP176" s="133">
        <f>IF(SeilBeregnet=0,DP175,(SeilBeregnet^0.5/(Depl^0.3333))^DP$3*DP$7)</f>
        <v>3.0481266446670419</v>
      </c>
      <c r="DQ176" s="133">
        <f>IF(SeilBeregnet=0,DQ175,(SeilBeregnet^0.5/Lwl)^DQ$3*DQ$7)</f>
        <v>0</v>
      </c>
      <c r="DR176" s="133">
        <f>IF(SeilBeregnet=0,DR175,(0.1*Loa/Depl^0.3333)^DR$3*DR$7)</f>
        <v>0</v>
      </c>
      <c r="DS176" s="133">
        <f>IF(SeilBeregnet=0,DS175,((Loa)/Bredde)^DS$3*DS$7)</f>
        <v>1.7770466332772772</v>
      </c>
      <c r="DT176" s="107">
        <f>IF(SeilBeregnet=0,DT175,(Lwl)^DT$3)</f>
        <v>1.8334522799337654</v>
      </c>
      <c r="DU176" s="133">
        <f>IF(SeilBeregnet=0,DU175,(Dypg/Loa)^DU$3*5*DU$7)</f>
        <v>2.0916500663351889</v>
      </c>
      <c r="DW176" s="107" t="str">
        <f t="shared" si="1241"/>
        <v>-</v>
      </c>
      <c r="DX176" s="107" t="str">
        <f t="shared" si="1376"/>
        <v>-</v>
      </c>
      <c r="DZ176" s="107" t="str">
        <f t="shared" si="1377"/>
        <v>-</v>
      </c>
      <c r="EA176" s="122" t="str">
        <f t="shared" si="1554"/>
        <v>-</v>
      </c>
      <c r="EB176" s="107" t="str">
        <f t="shared" si="1432"/>
        <v>-</v>
      </c>
      <c r="EC176" s="122" t="str">
        <f t="shared" si="1555"/>
        <v>-</v>
      </c>
      <c r="ED176" s="107">
        <f>IF(SeilBeregnet=0,ED175,SeilBeregnet^0.5/Depl^0.33333)</f>
        <v>3.0478790203266728</v>
      </c>
      <c r="EE176" s="107">
        <f>IF(SeilBeregnet=0,EE175,Lwl^0.3333)</f>
        <v>2.2438356573015867</v>
      </c>
      <c r="EF176" s="107">
        <f>IF(SeilBeregnet=0,EF175,((Loa+Lwl)/Bredde)^EF$3)</f>
        <v>1.5735954135403782</v>
      </c>
      <c r="EH176" s="107" t="str">
        <f t="shared" si="1434"/>
        <v>-</v>
      </c>
      <c r="EJ176" s="107">
        <f>IF(SeilBeregnet=0,EJ175,SeilBeregnet^0.5/Depl^0.33333)</f>
        <v>3.0478790203266728</v>
      </c>
      <c r="EK176" s="107">
        <f>IF(SeilBeregnet=0,EK175,Lwl^EK$3)</f>
        <v>2.2439988890031217</v>
      </c>
      <c r="EL176" s="107">
        <f>IF(SeilBeregnet=0,EL175,((Loa+Lwl)/Bredde)^EL$3)</f>
        <v>1.830197069920783</v>
      </c>
      <c r="EM176" s="107" t="str">
        <f t="shared" si="1435"/>
        <v>-</v>
      </c>
      <c r="EO176" s="107">
        <f>IF(SeilBeregnet=0,EO175,(EP176*EQ176)^EO$3)</f>
        <v>4.7961284474119932</v>
      </c>
      <c r="EP176" s="107">
        <f>IF(SeilBeregnet=0,EP175,SeilBeregnet^0.5/Depl^0.33333)</f>
        <v>3.0478790203266728</v>
      </c>
      <c r="EQ176" s="107">
        <f>IF(SeilBeregnet=0,EQ175,((Loa+Lwl)/Bredde)^EQ$3)</f>
        <v>1.5735954135403782</v>
      </c>
      <c r="ER176" s="107">
        <f>IF(SeilBeregnet=0,ER175,Lwl^ER$3)</f>
        <v>1.8334522799337654</v>
      </c>
      <c r="ES176" s="107" t="str">
        <f t="shared" si="1537"/>
        <v>-</v>
      </c>
      <c r="EU176" s="107">
        <f>IF(SeilBeregnet=0,EU175,(EV:EV*EW:EW)^EU$3)</f>
        <v>1.7505579677786378</v>
      </c>
      <c r="EV176" s="107">
        <f>IF(SeilBeregnet=0,EV175,SeilBeregnet^0.5/Depl^0.33333)</f>
        <v>3.0478790203266728</v>
      </c>
      <c r="EW176" s="107">
        <f>IF(SeilBeregnet=0,EW175,((Loa+Lwl)/Bredde/6)^EW$3)</f>
        <v>1.0054379383551861</v>
      </c>
      <c r="EX176" s="107">
        <f>IF(SeilBeregnet=0,EX175,(Lwl*0.7+Loa*0.3)^EX$3)</f>
        <v>1.8419118031918562</v>
      </c>
      <c r="EY176" s="107" t="str">
        <f t="shared" si="1538"/>
        <v>-</v>
      </c>
      <c r="FA176" s="107">
        <f t="shared" si="1539"/>
        <v>1.7506290782057579</v>
      </c>
      <c r="FB176" s="107">
        <f>IF(SeilBeregnet=0,FB175,SeilBeregnet^0.5/Depl^0.3333)</f>
        <v>3.0481266446670419</v>
      </c>
      <c r="FC176" s="107">
        <f>IF(SeilBeregnet=0,FC175,((Loa+Lwl)/Bredde/6)^FC$3)</f>
        <v>1.0054379383551861</v>
      </c>
      <c r="FD176" s="107">
        <f>IF(SeilBeregnet=0,FD175,(Lwl*0.7+Loa*0.3)^FD$3)</f>
        <v>1.8419118031918562</v>
      </c>
      <c r="FE176" s="107" t="str">
        <f t="shared" si="1540"/>
        <v>-</v>
      </c>
      <c r="FF176" s="141" t="str">
        <f t="shared" si="1556"/>
        <v>-</v>
      </c>
      <c r="FG176" s="107">
        <f t="shared" si="1541"/>
        <v>3.0813678309340684</v>
      </c>
      <c r="FH176" s="133">
        <f>IF(SeilBeregnet=0,FH175,(SeilBeregnet^0.5/(Depl^0.3333))^FH$3)</f>
        <v>3.0481266446670419</v>
      </c>
      <c r="FI176" s="133">
        <f>IF(SeilBeregnet=0,FI175,((Loa+Lwl)/Bredde/6)^FI$3)</f>
        <v>1.0109054478839272</v>
      </c>
      <c r="FJ176" s="107">
        <f>IF(SeilBeregnet=0,FJ175,(Lwl*0.07+Loa*0.03)^FJ$3)</f>
        <v>1.0357831242906539</v>
      </c>
      <c r="FK176" s="107" t="str">
        <f t="shared" si="1542"/>
        <v>-</v>
      </c>
      <c r="FL176" s="141" t="str">
        <f t="shared" si="1557"/>
        <v>-</v>
      </c>
      <c r="FM176" s="107">
        <f t="shared" si="1543"/>
        <v>4.9903633831820589</v>
      </c>
      <c r="FN176" s="133">
        <f>IF(SeilBeregnet=0,FN175,(SeilBeregnet^0.5/(Depl^0.3333))^FN$3)</f>
        <v>3.0481266446670419</v>
      </c>
      <c r="FO176" s="133">
        <f>IF(SeilBeregnet=0,FO175,(SeilBeregnet^0.5/Lwl*FO$7)^FO$3)</f>
        <v>0.66519010523773925</v>
      </c>
      <c r="FP176" s="133">
        <f>IF(SeilBeregnet=0,FP175,((Loa)/Bredde)^FP$3*FP$7)</f>
        <v>1.7770466332772772</v>
      </c>
      <c r="FQ176" s="107">
        <f>IF(SeilBeregnet=0,FQ175,(Lwl)^FQ$3)</f>
        <v>1.8334522799337654</v>
      </c>
      <c r="FR176" s="107" t="str">
        <f t="shared" si="1544"/>
        <v>-</v>
      </c>
      <c r="FS176" s="141" t="str">
        <f t="shared" si="1558"/>
        <v>-</v>
      </c>
      <c r="FT176" s="107">
        <f t="shared" si="1545"/>
        <v>5.4166631917083299</v>
      </c>
      <c r="FU176" s="133">
        <f>IF(SeilBeregnet=0,FU175,(SeilBeregnet^0.5/(Depl^0.3333))^FU$3)</f>
        <v>3.0481266446670419</v>
      </c>
      <c r="FV176" s="133">
        <f>IF(SeilBeregnet=0,FV175,(Loa/Bredde)^FV$3)</f>
        <v>1.7770466332772772</v>
      </c>
      <c r="FW176" s="107">
        <f>IF(SeilBeregnet=0,FW175,Lwl^FW$3)</f>
        <v>1.8334522799337654</v>
      </c>
      <c r="FY176" s="336">
        <v>1</v>
      </c>
      <c r="FZ176" s="62" t="str">
        <f t="shared" si="1452"/>
        <v>-</v>
      </c>
      <c r="GA176" s="62">
        <f t="shared" si="1378"/>
        <v>2</v>
      </c>
      <c r="GB176" s="107" t="str">
        <f t="shared" si="798"/>
        <v>-</v>
      </c>
      <c r="GC176" s="440"/>
      <c r="GD176" s="17"/>
      <c r="GE176" s="442"/>
      <c r="GF176" s="462"/>
      <c r="GG176" s="17"/>
      <c r="GH176" s="17"/>
      <c r="GI176" s="17"/>
      <c r="GJ176" s="17"/>
      <c r="GL176" s="17"/>
      <c r="GM176" s="442"/>
      <c r="GN176" s="8"/>
      <c r="GO176" s="8"/>
      <c r="GP176" s="8"/>
      <c r="GQ176" s="8"/>
      <c r="GS176" s="17"/>
      <c r="GT176" s="17"/>
      <c r="GU176" s="17"/>
      <c r="GV176" s="629"/>
      <c r="GW176" s="17"/>
      <c r="GX176" s="17"/>
      <c r="GY176" s="17"/>
      <c r="GZ176" s="17"/>
    </row>
    <row r="177" spans="1:208" ht="15.6" x14ac:dyDescent="0.3">
      <c r="A177" s="60"/>
      <c r="B177" s="218"/>
      <c r="C177" s="61" t="str">
        <f t="shared" ref="C177" si="1585">C176</f>
        <v>Bermuda</v>
      </c>
      <c r="D177" s="61"/>
      <c r="E177" s="61"/>
      <c r="F177" s="61"/>
      <c r="G177" s="54"/>
      <c r="H177" s="204">
        <f>IF(StH=0,0,TBFavrundet)</f>
        <v>0</v>
      </c>
      <c r="I177" s="63">
        <f>COUNTA(O177:AG177)</f>
        <v>0</v>
      </c>
      <c r="J177" s="222">
        <f>SUM(O177:AG177)</f>
        <v>0</v>
      </c>
      <c r="K177" s="116">
        <f>Seilareal/Depl^0.667/K$7</f>
        <v>0</v>
      </c>
      <c r="L177" s="116" t="e">
        <f>Seilareal/Lwl/Lwl/L$7</f>
        <v>#DIV/0!</v>
      </c>
      <c r="M177" s="92" t="e">
        <f>RiggF</f>
        <v>#DIV/0!</v>
      </c>
      <c r="N177" s="242" t="str">
        <f>StHfaktor</f>
        <v>-</v>
      </c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551"/>
      <c r="AH177" s="557">
        <f t="shared" ref="AH177:AI177" si="1586">AH176</f>
        <v>0</v>
      </c>
      <c r="AI177" s="557">
        <f t="shared" si="1586"/>
        <v>0</v>
      </c>
      <c r="AJ177" s="337">
        <f t="shared" si="1576"/>
        <v>0</v>
      </c>
      <c r="AK177" s="339"/>
      <c r="AL177" s="337">
        <f t="shared" si="1576"/>
        <v>0</v>
      </c>
      <c r="AM177" s="339"/>
      <c r="AN177" s="267" t="str">
        <f t="shared" si="1577"/>
        <v>Meter</v>
      </c>
      <c r="AO177" s="45">
        <f>VLOOKUP(AN177,Skrogform!$1:$1048576,3,FALSE)</f>
        <v>1</v>
      </c>
      <c r="AP177" s="64">
        <f t="shared" ref="AP177:AZ177" si="1587">AP176</f>
        <v>15.85</v>
      </c>
      <c r="AQ177" s="64">
        <f t="shared" si="1587"/>
        <v>0</v>
      </c>
      <c r="AR177" s="64">
        <f t="shared" si="1587"/>
        <v>0</v>
      </c>
      <c r="AS177" s="64">
        <f t="shared" si="1587"/>
        <v>0</v>
      </c>
      <c r="AT177" s="64">
        <f t="shared" ref="AT177" si="1588">AT176</f>
        <v>19</v>
      </c>
      <c r="AU177" s="64">
        <f t="shared" si="1587"/>
        <v>19</v>
      </c>
      <c r="AV177" s="64">
        <f t="shared" si="1587"/>
        <v>0</v>
      </c>
      <c r="AW177" s="64">
        <f t="shared" si="1587"/>
        <v>0</v>
      </c>
      <c r="AX177" s="256">
        <f>AX176</f>
        <v>0</v>
      </c>
      <c r="AY177" s="256">
        <f t="shared" si="1587"/>
        <v>0</v>
      </c>
      <c r="AZ177" s="256">
        <f t="shared" si="1587"/>
        <v>0</v>
      </c>
      <c r="BA177" s="256">
        <f t="shared" ref="BA177:BB177" si="1589">BA176</f>
        <v>0</v>
      </c>
      <c r="BB177" s="256">
        <f t="shared" si="1589"/>
        <v>0</v>
      </c>
      <c r="BC177" s="256"/>
      <c r="BD177" s="66"/>
      <c r="BE177" s="66"/>
      <c r="BF177" s="261"/>
      <c r="BG177" s="66"/>
      <c r="BH177" s="175"/>
      <c r="BI177" s="66"/>
      <c r="BJ177" s="66"/>
      <c r="BK177" s="65">
        <f t="shared" ref="BK177:BM177" si="1590" xml:space="preserve"> BK176</f>
        <v>0</v>
      </c>
      <c r="BL177" s="267">
        <f t="shared" si="1590"/>
        <v>0</v>
      </c>
      <c r="BM177" s="267">
        <f t="shared" si="1590"/>
        <v>0</v>
      </c>
      <c r="BN177" s="45">
        <f t="shared" si="1197"/>
        <v>1</v>
      </c>
      <c r="BO177" s="59"/>
      <c r="BP177" s="59"/>
      <c r="BR177" s="49">
        <f t="shared" si="1582"/>
        <v>0</v>
      </c>
      <c r="BS177" s="49">
        <f t="shared" si="1582"/>
        <v>0</v>
      </c>
      <c r="BT177" s="49">
        <f t="shared" si="1582"/>
        <v>0</v>
      </c>
      <c r="BU177" s="49">
        <f t="shared" si="1582"/>
        <v>0</v>
      </c>
      <c r="BV177" s="49">
        <f t="shared" si="1582"/>
        <v>0</v>
      </c>
      <c r="BW177" s="49">
        <f t="shared" si="1582"/>
        <v>0</v>
      </c>
      <c r="BX177" s="49">
        <f t="shared" si="1582"/>
        <v>0</v>
      </c>
      <c r="BY177" s="549">
        <f>IF(COUNT(Q177:U177)&gt;1,MINA(Q177:U177)*BY$9,0)</f>
        <v>0</v>
      </c>
      <c r="BZ177" s="85">
        <f t="shared" si="1583"/>
        <v>0</v>
      </c>
      <c r="CA177" s="85">
        <f t="shared" si="1583"/>
        <v>0</v>
      </c>
      <c r="CB177" s="85">
        <f t="shared" si="1583"/>
        <v>0</v>
      </c>
      <c r="CC177" s="85">
        <f t="shared" si="1583"/>
        <v>0</v>
      </c>
      <c r="CD177" s="85">
        <f t="shared" si="1583"/>
        <v>0</v>
      </c>
      <c r="CE177" s="85">
        <f>IF(AC177=0,0,AC177*CE$9)</f>
        <v>0</v>
      </c>
      <c r="CF177" s="85">
        <f>IF(AA177=0,0,AA177*CF$9)</f>
        <v>0</v>
      </c>
      <c r="CG177" s="85">
        <f>IF(AB177=0,0,AB177*CG$9)</f>
        <v>0</v>
      </c>
      <c r="CH177" s="85">
        <f t="shared" si="1584"/>
        <v>0</v>
      </c>
      <c r="CI177" s="85">
        <f t="shared" si="1584"/>
        <v>0</v>
      </c>
      <c r="CJ177" s="85">
        <f t="shared" si="1584"/>
        <v>0</v>
      </c>
      <c r="CK177" s="85">
        <f t="shared" si="1584"/>
        <v>0</v>
      </c>
      <c r="CL177" s="100">
        <f>SUM(BR177:CK177)</f>
        <v>0</v>
      </c>
      <c r="CM177" s="50"/>
      <c r="CN177" s="104">
        <f>J177</f>
        <v>0</v>
      </c>
      <c r="CO177" s="101" t="e">
        <f>CL177/CN177</f>
        <v>#DIV/0!</v>
      </c>
      <c r="CP177" s="51" t="e">
        <f>Seilareal/Lwl/Lwl</f>
        <v>#DIV/0!</v>
      </c>
      <c r="CQ177" s="116">
        <f>Seilareal/Depl^0.667/K$7</f>
        <v>0</v>
      </c>
      <c r="CR177" s="51" t="e">
        <f>Seilareal/Lwl/Lwl/SApRS1</f>
        <v>#DIV/0!</v>
      </c>
      <c r="CS177" s="204"/>
      <c r="CT177" s="204" t="e">
        <f>(ROUND(TBF/CT$6,3)*CT$6)*CT$4</f>
        <v>#VALUE!</v>
      </c>
      <c r="CU177" s="107" t="str">
        <f t="shared" si="83"/>
        <v>-</v>
      </c>
      <c r="CV177" s="62" t="str">
        <f t="shared" si="523"/>
        <v>-</v>
      </c>
      <c r="CW177" s="62" t="str">
        <f t="shared" si="84"/>
        <v>-</v>
      </c>
      <c r="CX177" s="62" t="str">
        <f t="shared" si="524"/>
        <v>-</v>
      </c>
      <c r="CY177" s="107" t="str">
        <f t="shared" si="85"/>
        <v>-</v>
      </c>
      <c r="CZ177" s="168" t="str">
        <f t="shared" si="1450"/>
        <v>-</v>
      </c>
      <c r="DA177" s="158"/>
      <c r="DB177" s="168" t="str">
        <f t="shared" si="1451"/>
        <v>-</v>
      </c>
      <c r="DC177" s="160"/>
      <c r="DD177" s="190" t="s">
        <v>134</v>
      </c>
      <c r="DE177" s="62" t="s">
        <v>102</v>
      </c>
      <c r="DF177" s="62" t="s">
        <v>102</v>
      </c>
      <c r="DG177" s="62" t="s">
        <v>102</v>
      </c>
      <c r="DH177" s="150" t="s">
        <v>102</v>
      </c>
      <c r="DI177" s="62" t="str">
        <f t="shared" si="1374"/>
        <v>-</v>
      </c>
      <c r="DJ177" s="47">
        <f t="shared" si="1375"/>
        <v>0</v>
      </c>
      <c r="DK177" s="48">
        <f t="shared" si="1428"/>
        <v>0</v>
      </c>
      <c r="DM177" s="107" t="str">
        <f t="shared" si="1536"/>
        <v>-</v>
      </c>
      <c r="DN177" s="141" t="str">
        <f t="shared" si="1553"/>
        <v>-</v>
      </c>
      <c r="DO177" s="107">
        <f t="shared" si="1430"/>
        <v>4.8251732779443195</v>
      </c>
      <c r="DP177" s="133">
        <f>IF(SeilBeregnet=0,DP176,(SeilBeregnet^0.5/(Depl^0.3333))^DP$3*DP$7)</f>
        <v>3.0481266446670419</v>
      </c>
      <c r="DQ177" s="133">
        <f>IF(SeilBeregnet=0,DQ176,(SeilBeregnet^0.5/Lwl)^DQ$3*DQ$7)</f>
        <v>0</v>
      </c>
      <c r="DR177" s="133">
        <f>IF(SeilBeregnet=0,DR176,(0.1*Loa/Depl^0.3333)^DR$3*DR$7)</f>
        <v>0</v>
      </c>
      <c r="DS177" s="133">
        <f>IF(SeilBeregnet=0,DS176,((Loa)/Bredde)^DS$3*DS$7)</f>
        <v>1.7770466332772772</v>
      </c>
      <c r="DT177" s="107">
        <f>IF(SeilBeregnet=0,DT176,(Lwl)^DT$3)</f>
        <v>1.8334522799337654</v>
      </c>
      <c r="DU177" s="133">
        <f>IF(SeilBeregnet=0,DU176,(Dypg/Loa)^DU$3*5*DU$7)</f>
        <v>2.0916500663351889</v>
      </c>
      <c r="DW177" s="107" t="str">
        <f t="shared" si="1241"/>
        <v>-</v>
      </c>
      <c r="DX177" s="107" t="str">
        <f t="shared" si="1376"/>
        <v>-</v>
      </c>
      <c r="DZ177" s="107" t="str">
        <f t="shared" si="1377"/>
        <v>-</v>
      </c>
      <c r="EA177" s="122" t="str">
        <f t="shared" si="1554"/>
        <v>-</v>
      </c>
      <c r="EB177" s="107" t="str">
        <f t="shared" si="1432"/>
        <v>-</v>
      </c>
      <c r="EC177" s="122" t="str">
        <f t="shared" si="1555"/>
        <v>-</v>
      </c>
      <c r="ED177" s="107">
        <f>IF(SeilBeregnet=0,ED176,SeilBeregnet^0.5/Depl^0.33333)</f>
        <v>3.0478790203266728</v>
      </c>
      <c r="EE177" s="107">
        <f>IF(SeilBeregnet=0,EE176,Lwl^0.3333)</f>
        <v>2.2438356573015867</v>
      </c>
      <c r="EF177" s="107">
        <f>IF(SeilBeregnet=0,EF176,((Loa+Lwl)/Bredde)^EF$3)</f>
        <v>1.5735954135403782</v>
      </c>
      <c r="EH177" s="107" t="str">
        <f t="shared" si="1434"/>
        <v>-</v>
      </c>
      <c r="EJ177" s="107">
        <f>IF(SeilBeregnet=0,EJ176,SeilBeregnet^0.5/Depl^0.33333)</f>
        <v>3.0478790203266728</v>
      </c>
      <c r="EK177" s="107">
        <f>IF(SeilBeregnet=0,EK176,Lwl^EK$3)</f>
        <v>2.2439988890031217</v>
      </c>
      <c r="EL177" s="107">
        <f>IF(SeilBeregnet=0,EL176,((Loa+Lwl)/Bredde)^EL$3)</f>
        <v>1.830197069920783</v>
      </c>
      <c r="EM177" s="107" t="str">
        <f t="shared" si="1435"/>
        <v>-</v>
      </c>
      <c r="EO177" s="107">
        <f>IF(SeilBeregnet=0,EO176,(EP177*EQ177)^EO$3)</f>
        <v>4.7961284474119932</v>
      </c>
      <c r="EP177" s="107">
        <f>IF(SeilBeregnet=0,EP176,SeilBeregnet^0.5/Depl^0.33333)</f>
        <v>3.0478790203266728</v>
      </c>
      <c r="EQ177" s="107">
        <f>IF(SeilBeregnet=0,EQ176,((Loa+Lwl)/Bredde)^EQ$3)</f>
        <v>1.5735954135403782</v>
      </c>
      <c r="ER177" s="107">
        <f>IF(SeilBeregnet=0,ER176,Lwl^ER$3)</f>
        <v>1.8334522799337654</v>
      </c>
      <c r="ES177" s="107" t="str">
        <f t="shared" si="1537"/>
        <v>-</v>
      </c>
      <c r="EU177" s="107">
        <f>IF(SeilBeregnet=0,EU176,(EV:EV*EW:EW)^EU$3)</f>
        <v>1.7505579677786378</v>
      </c>
      <c r="EV177" s="107">
        <f>IF(SeilBeregnet=0,EV176,SeilBeregnet^0.5/Depl^0.33333)</f>
        <v>3.0478790203266728</v>
      </c>
      <c r="EW177" s="107">
        <f>IF(SeilBeregnet=0,EW176,((Loa+Lwl)/Bredde/6)^EW$3)</f>
        <v>1.0054379383551861</v>
      </c>
      <c r="EX177" s="107">
        <f>IF(SeilBeregnet=0,EX176,(Lwl*0.7+Loa*0.3)^EX$3)</f>
        <v>1.8419118031918562</v>
      </c>
      <c r="EY177" s="107" t="str">
        <f t="shared" si="1538"/>
        <v>-</v>
      </c>
      <c r="FA177" s="107">
        <f t="shared" si="1539"/>
        <v>1.7506290782057579</v>
      </c>
      <c r="FB177" s="107">
        <f>IF(SeilBeregnet=0,FB176,SeilBeregnet^0.5/Depl^0.3333)</f>
        <v>3.0481266446670419</v>
      </c>
      <c r="FC177" s="107">
        <f>IF(SeilBeregnet=0,FC176,((Loa+Lwl)/Bredde/6)^FC$3)</f>
        <v>1.0054379383551861</v>
      </c>
      <c r="FD177" s="107">
        <f>IF(SeilBeregnet=0,FD176,(Lwl*0.7+Loa*0.3)^FD$3)</f>
        <v>1.8419118031918562</v>
      </c>
      <c r="FE177" s="107" t="str">
        <f t="shared" si="1540"/>
        <v>-</v>
      </c>
      <c r="FF177" s="141" t="str">
        <f t="shared" si="1556"/>
        <v>-</v>
      </c>
      <c r="FG177" s="107">
        <f t="shared" si="1541"/>
        <v>3.0813678309340684</v>
      </c>
      <c r="FH177" s="133">
        <f>IF(SeilBeregnet=0,FH176,(SeilBeregnet^0.5/(Depl^0.3333))^FH$3)</f>
        <v>3.0481266446670419</v>
      </c>
      <c r="FI177" s="133">
        <f>IF(SeilBeregnet=0,FI176,((Loa+Lwl)/Bredde/6)^FI$3)</f>
        <v>1.0109054478839272</v>
      </c>
      <c r="FJ177" s="107">
        <f>IF(SeilBeregnet=0,FJ176,(Lwl*0.07+Loa*0.03)^FJ$3)</f>
        <v>1.0357831242906539</v>
      </c>
      <c r="FK177" s="107" t="str">
        <f t="shared" si="1542"/>
        <v>-</v>
      </c>
      <c r="FL177" s="141" t="str">
        <f t="shared" si="1557"/>
        <v>-</v>
      </c>
      <c r="FM177" s="107">
        <f t="shared" si="1543"/>
        <v>4.9903633831820589</v>
      </c>
      <c r="FN177" s="133">
        <f>IF(SeilBeregnet=0,FN176,(SeilBeregnet^0.5/(Depl^0.3333))^FN$3)</f>
        <v>3.0481266446670419</v>
      </c>
      <c r="FO177" s="133">
        <f>IF(SeilBeregnet=0,FO176,(SeilBeregnet^0.5/Lwl*FO$7)^FO$3)</f>
        <v>0.66519010523773925</v>
      </c>
      <c r="FP177" s="133">
        <f>IF(SeilBeregnet=0,FP176,((Loa)/Bredde)^FP$3*FP$7)</f>
        <v>1.7770466332772772</v>
      </c>
      <c r="FQ177" s="107">
        <f>IF(SeilBeregnet=0,FQ176,(Lwl)^FQ$3)</f>
        <v>1.8334522799337654</v>
      </c>
      <c r="FR177" s="107" t="str">
        <f t="shared" si="1544"/>
        <v>-</v>
      </c>
      <c r="FS177" s="141" t="str">
        <f t="shared" si="1558"/>
        <v>-</v>
      </c>
      <c r="FT177" s="107">
        <f t="shared" si="1545"/>
        <v>5.4166631917083299</v>
      </c>
      <c r="FU177" s="133">
        <f>IF(SeilBeregnet=0,FU176,(SeilBeregnet^0.5/(Depl^0.3333))^FU$3)</f>
        <v>3.0481266446670419</v>
      </c>
      <c r="FV177" s="133">
        <f>IF(SeilBeregnet=0,FV176,(Loa/Bredde)^FV$3)</f>
        <v>1.7770466332772772</v>
      </c>
      <c r="FW177" s="107">
        <f>IF(SeilBeregnet=0,FW176,Lwl^FW$3)</f>
        <v>1.8334522799337654</v>
      </c>
      <c r="FY177" s="336">
        <v>1</v>
      </c>
      <c r="FZ177" s="62" t="str">
        <f t="shared" si="1452"/>
        <v>-</v>
      </c>
      <c r="GA177" s="62">
        <f t="shared" si="1378"/>
        <v>2</v>
      </c>
      <c r="GB177" s="107" t="str">
        <f t="shared" si="525"/>
        <v>-</v>
      </c>
      <c r="GC177" s="440"/>
      <c r="GD177" s="17"/>
      <c r="GE177" s="442"/>
      <c r="GF177" s="462"/>
      <c r="GG177" s="17"/>
      <c r="GH177" s="17"/>
      <c r="GI177" s="17"/>
      <c r="GJ177" s="17"/>
      <c r="GL177" s="17"/>
      <c r="GM177" s="442"/>
      <c r="GN177" s="8"/>
      <c r="GO177" s="8"/>
      <c r="GP177" s="8"/>
      <c r="GQ177" s="8"/>
      <c r="GS177" s="17"/>
      <c r="GT177" s="17"/>
      <c r="GU177" s="17"/>
      <c r="GV177" s="629"/>
      <c r="GW177" s="17"/>
      <c r="GX177" s="17"/>
      <c r="GY177" s="17"/>
      <c r="GZ177" s="17"/>
    </row>
    <row r="178" spans="1:208" ht="15.6" x14ac:dyDescent="0.3">
      <c r="A178" s="52" t="s">
        <v>952</v>
      </c>
      <c r="B178" s="218">
        <f t="shared" si="10"/>
        <v>26.246719160104984</v>
      </c>
      <c r="C178" s="53" t="s">
        <v>38</v>
      </c>
      <c r="D178" s="53"/>
      <c r="E178" s="53"/>
      <c r="F178" s="53"/>
      <c r="G178" s="54"/>
      <c r="H178" s="112">
        <f>J179</f>
        <v>19.5</v>
      </c>
      <c r="I178" s="601">
        <f>H179/100</f>
        <v>1.1749999999999998</v>
      </c>
      <c r="J178" s="651" t="str">
        <f>IF(DC179=0,"-",DC179)</f>
        <v>-</v>
      </c>
      <c r="K178" s="123" t="str">
        <f>A178</f>
        <v>Stren 2</v>
      </c>
      <c r="L178" s="116"/>
      <c r="M178" s="116"/>
      <c r="N178" s="92"/>
      <c r="O178" s="165"/>
      <c r="P178" s="165"/>
      <c r="Q178" s="165"/>
      <c r="R178" s="165"/>
      <c r="S178" s="165"/>
      <c r="T178" s="165"/>
      <c r="U178" s="165">
        <v>7.5</v>
      </c>
      <c r="V178" s="560"/>
      <c r="W178" s="560"/>
      <c r="X178" s="165"/>
      <c r="Y178" s="165"/>
      <c r="Z178" s="165"/>
      <c r="AA178" s="165"/>
      <c r="AB178" s="165"/>
      <c r="AC178" s="165"/>
      <c r="AD178" s="165"/>
      <c r="AE178" s="165">
        <v>12</v>
      </c>
      <c r="AF178" s="177">
        <f>BmStor-BmStor/6</f>
        <v>10</v>
      </c>
      <c r="AG178" s="552"/>
      <c r="AH178" s="241">
        <f>Loa*1.2</f>
        <v>9.6</v>
      </c>
      <c r="AI178" s="241">
        <f>Loa*1.2</f>
        <v>9.6</v>
      </c>
      <c r="AJ178" s="554"/>
      <c r="AK178" s="339"/>
      <c r="AL178" s="268"/>
      <c r="AM178" s="339"/>
      <c r="AN178" s="268" t="s">
        <v>214</v>
      </c>
      <c r="AO178" s="45">
        <f>VLOOKUP(AN178,Skrogform!$1:$1048576,3,FALSE)</f>
        <v>1</v>
      </c>
      <c r="AP178" s="55">
        <v>8</v>
      </c>
      <c r="AQ178" s="55">
        <v>6.6</v>
      </c>
      <c r="AR178" s="55">
        <v>1.7</v>
      </c>
      <c r="AS178" s="55">
        <v>1.3</v>
      </c>
      <c r="AT178" s="55"/>
      <c r="AU178" s="55">
        <v>2</v>
      </c>
      <c r="AV178" s="55">
        <v>1</v>
      </c>
      <c r="AW178" s="55"/>
      <c r="AX178" s="253"/>
      <c r="AY178" s="253"/>
      <c r="AZ178" s="254">
        <f>AY178*7</f>
        <v>0</v>
      </c>
      <c r="BA178" s="253"/>
      <c r="BB178" s="253"/>
      <c r="BC178" s="244">
        <f>Depl+Diesel/1000*0.84+Vann/1000</f>
        <v>2</v>
      </c>
      <c r="BD178" s="95">
        <f>Bredde/(Loa+Lwl)*2</f>
        <v>0.23287671232876711</v>
      </c>
      <c r="BE178" s="95">
        <f>(Kjøl+Ballast)/Depl</f>
        <v>0.5</v>
      </c>
      <c r="BF178" s="260">
        <f>BF$7*((Depl-Kjøl-Ballast-VektMotor/1000-VektAnnet/1000)/Lwl/Lwl/Bredde)</f>
        <v>0.50961573779755598</v>
      </c>
      <c r="BG178" s="95">
        <f>BG$7*(Depl/Loa/Lwl/Lwl)</f>
        <v>0.42234404269972453</v>
      </c>
      <c r="BH178" s="174">
        <f>BH$7*(Depl/Loa/Lwl/Bredde)</f>
        <v>0.60608522727272729</v>
      </c>
      <c r="BI178" s="95">
        <f>BI$7*Bredde/(Loa+Lwl)*2</f>
        <v>0.66432464280453674</v>
      </c>
      <c r="BJ178" s="95">
        <f>BJ$7*(Dypg/Lwl)</f>
        <v>1.0773386034255601</v>
      </c>
      <c r="BK178" s="56"/>
      <c r="BL178" s="268"/>
      <c r="BM178" s="268"/>
      <c r="BN178" s="45">
        <f t="shared" si="1197"/>
        <v>1</v>
      </c>
      <c r="BO178" s="59"/>
      <c r="BP178" s="59"/>
      <c r="BR178" s="209"/>
      <c r="BS178" s="209"/>
      <c r="BT178" s="209" t="str">
        <f>$A178</f>
        <v>Stren 2</v>
      </c>
      <c r="BU178" s="10"/>
      <c r="BV178" s="10"/>
      <c r="BW178" s="10"/>
      <c r="BX178" s="10"/>
      <c r="BY178" s="549"/>
      <c r="BZ178" s="10"/>
      <c r="CA178" s="10"/>
      <c r="CB178" s="209" t="str">
        <f>$A178</f>
        <v>Stren 2</v>
      </c>
      <c r="CC178" s="10"/>
      <c r="CD178" s="10"/>
      <c r="CE178" s="10"/>
      <c r="CF178" s="10"/>
      <c r="CG178" s="10"/>
      <c r="CH178" s="10"/>
      <c r="CI178" s="10"/>
      <c r="CJ178" s="10"/>
      <c r="CK178" s="10"/>
      <c r="CL178" s="209"/>
      <c r="CM178" s="10"/>
      <c r="CN178" s="209" t="str">
        <f>$A178</f>
        <v>Stren 2</v>
      </c>
      <c r="CO178" s="207"/>
      <c r="CP178" s="207"/>
      <c r="CQ178" s="116"/>
      <c r="CR178" s="207"/>
      <c r="CS178" s="203"/>
      <c r="CT178" s="203" t="s">
        <v>23</v>
      </c>
      <c r="CU178" s="107" t="str">
        <f t="shared" si="83"/>
        <v>-</v>
      </c>
      <c r="CV178" s="62" t="str">
        <f t="shared" si="523"/>
        <v>-</v>
      </c>
      <c r="CW178" s="62" t="str">
        <f t="shared" si="84"/>
        <v>-</v>
      </c>
      <c r="CX178" s="62" t="str">
        <f t="shared" si="524"/>
        <v>-</v>
      </c>
      <c r="CY178" s="107" t="str">
        <f t="shared" si="85"/>
        <v>-</v>
      </c>
      <c r="CZ178" s="168" t="str">
        <f t="shared" si="1450"/>
        <v>-</v>
      </c>
      <c r="DA178" s="158"/>
      <c r="DB178" s="168" t="str">
        <f t="shared" si="1451"/>
        <v>-</v>
      </c>
      <c r="DC178" s="160"/>
      <c r="DD178" s="190" t="s">
        <v>134</v>
      </c>
      <c r="DE178" s="29" t="s">
        <v>23</v>
      </c>
      <c r="DF178" s="29" t="s">
        <v>23</v>
      </c>
      <c r="DG178" s="29" t="s">
        <v>23</v>
      </c>
      <c r="DH178" s="149">
        <v>2022</v>
      </c>
      <c r="DI178" s="62" t="str">
        <f t="shared" si="1374"/>
        <v>-</v>
      </c>
      <c r="DJ178" s="47">
        <f t="shared" si="1375"/>
        <v>13.978494623655916</v>
      </c>
      <c r="DK178" s="48">
        <f t="shared" si="1428"/>
        <v>0</v>
      </c>
      <c r="DM178" s="107" t="str">
        <f t="shared" si="1536"/>
        <v>-</v>
      </c>
      <c r="DN178" s="141" t="str">
        <f t="shared" si="1553"/>
        <v>-</v>
      </c>
      <c r="DO178" s="107">
        <f t="shared" si="1430"/>
        <v>5.7757851773312208</v>
      </c>
      <c r="DP178" s="133">
        <f>IF(SeilBeregnet=0,DP139,(SeilBeregnet^0.5/(Depl^0.3333))^DP$3*DP$7)</f>
        <v>3.6672706923600278</v>
      </c>
      <c r="DQ178" s="133">
        <f>IF(SeilBeregnet=0,DQ139,(SeilBeregnet^0.5/Lwl)^DQ$3*DQ$7)</f>
        <v>0</v>
      </c>
      <c r="DR178" s="133">
        <f>IF(SeilBeregnet=0,DR139,(0.1*Loa/Depl^0.3333)^DR$3*DR$7)</f>
        <v>0</v>
      </c>
      <c r="DS178" s="133">
        <f>IF(SeilBeregnet=0,DS139,((Loa)/Bredde)^DS$3*DS$7)</f>
        <v>2.1085144849711925</v>
      </c>
      <c r="DT178" s="107">
        <f>IF(SeilBeregnet=0,DT139,(Lwl)^DT$3)</f>
        <v>1.6657993231786119</v>
      </c>
      <c r="DU178" s="133">
        <f>IF(SeilBeregnet=0,DU139,(Dypg/Loa)^DU$3*5*DU$7)</f>
        <v>1.8111391248905937</v>
      </c>
      <c r="DW178" s="107" t="str">
        <f t="shared" si="1241"/>
        <v>-</v>
      </c>
      <c r="DX178" s="107" t="str">
        <f t="shared" si="1376"/>
        <v>-</v>
      </c>
      <c r="DZ178" s="107" t="str">
        <f t="shared" si="1377"/>
        <v>-</v>
      </c>
      <c r="EA178" s="122" t="str">
        <f t="shared" si="1554"/>
        <v>-</v>
      </c>
      <c r="EB178" s="107" t="str">
        <f t="shared" si="1432"/>
        <v>-</v>
      </c>
      <c r="EC178" s="122" t="str">
        <f t="shared" si="1555"/>
        <v>-</v>
      </c>
      <c r="ED178" s="107">
        <f>IF(SeilBeregnet=0,ED139,SeilBeregnet^0.5/Depl^0.33333)</f>
        <v>3.6671328683223914</v>
      </c>
      <c r="EE178" s="107">
        <f>IF(SeilBeregnet=0,EE139,Lwl^0.3333)</f>
        <v>1.9745464681619453</v>
      </c>
      <c r="EF178" s="107">
        <f>IF(SeilBeregnet=0,EF139,((Loa+Lwl)/Bredde)^EF$3)</f>
        <v>1.6633149026591454</v>
      </c>
      <c r="EH178" s="107" t="str">
        <f t="shared" si="1434"/>
        <v>-</v>
      </c>
      <c r="EJ178" s="107">
        <f>IF(SeilBeregnet=0,EJ139,SeilBeregnet^0.5/Depl^0.33333)</f>
        <v>3.6671328683223914</v>
      </c>
      <c r="EK178" s="107">
        <f>IF(SeilBeregnet=0,EK139,Lwl^EK$3)</f>
        <v>1.9746673863959516</v>
      </c>
      <c r="EL178" s="107">
        <f>IF(SeilBeregnet=0,EL139,((Loa+Lwl)/Bredde)^EL$3)</f>
        <v>1.9706213102744272</v>
      </c>
      <c r="EM178" s="107" t="str">
        <f t="shared" si="1435"/>
        <v>-</v>
      </c>
      <c r="EO178" s="107">
        <f>IF(SeilBeregnet=0,EO139,(EP178*EQ178)^EO$3)</f>
        <v>6.0995967499118109</v>
      </c>
      <c r="EP178" s="107">
        <f>IF(SeilBeregnet=0,EP139,SeilBeregnet^0.5/Depl^0.33333)</f>
        <v>3.6671328683223914</v>
      </c>
      <c r="EQ178" s="107">
        <f>IF(SeilBeregnet=0,EQ139,((Loa+Lwl)/Bredde)^EQ$3)</f>
        <v>1.6633149026591454</v>
      </c>
      <c r="ER178" s="107">
        <f>IF(SeilBeregnet=0,ER139,Lwl^ER$3)</f>
        <v>1.6657993231786119</v>
      </c>
      <c r="ES178" s="107" t="str">
        <f t="shared" si="1537"/>
        <v>-</v>
      </c>
      <c r="EU178" s="107">
        <f>IF(SeilBeregnet=0,EU139,(EV:EV*EW:EW)^EU$3)</f>
        <v>1.9741568534539313</v>
      </c>
      <c r="EV178" s="107">
        <f>IF(SeilBeregnet=0,EV139,SeilBeregnet^0.5/Depl^0.33333)</f>
        <v>3.6671328683223914</v>
      </c>
      <c r="EW178" s="107">
        <f>IF(SeilBeregnet=0,EW139,((Loa+Lwl)/Bredde/6)^EW$3)</f>
        <v>1.0627635872441208</v>
      </c>
      <c r="EX178" s="107">
        <f>IF(SeilBeregnet=0,EX139,(Lwl*0.7+Loa*0.3)^EX$3)</f>
        <v>1.7120282622621421</v>
      </c>
      <c r="EY178" s="107" t="str">
        <f t="shared" si="1538"/>
        <v>-</v>
      </c>
      <c r="FA178" s="107">
        <f t="shared" si="1539"/>
        <v>1.9741939510614892</v>
      </c>
      <c r="FB178" s="107">
        <f>IF(SeilBeregnet=0,FB139,SeilBeregnet^0.5/Depl^0.3333)</f>
        <v>3.6672706923600278</v>
      </c>
      <c r="FC178" s="107">
        <f>IF(SeilBeregnet=0,FC139,((Loa+Lwl)/Bredde/6)^FC$3)</f>
        <v>1.0627635872441208</v>
      </c>
      <c r="FD178" s="107">
        <f>IF(SeilBeregnet=0,FD139,(Lwl*0.7+Loa*0.3)^FD$3)</f>
        <v>1.7120282622621421</v>
      </c>
      <c r="FE178" s="107" t="str">
        <f t="shared" si="1540"/>
        <v>-</v>
      </c>
      <c r="FF178" s="141" t="str">
        <f t="shared" si="1556"/>
        <v>-</v>
      </c>
      <c r="FG178" s="107">
        <f t="shared" si="1541"/>
        <v>4.1420591821149531</v>
      </c>
      <c r="FH178" s="133">
        <f>IF(SeilBeregnet=0,FH139,(SeilBeregnet^0.5/(Depl^0.3333))^FH$3)</f>
        <v>3.6672706923600278</v>
      </c>
      <c r="FI178" s="133">
        <f>IF(SeilBeregnet=0,FI139,((Loa+Lwl)/Bredde/6)^FI$3)</f>
        <v>1.1294664423719922</v>
      </c>
      <c r="FJ178" s="107">
        <f>IF(SeilBeregnet=0,FJ139,(Lwl*0.07+Loa*0.03)^FJ$3)</f>
        <v>0.96274424176382345</v>
      </c>
      <c r="FK178" s="107" t="str">
        <f t="shared" si="1542"/>
        <v>-</v>
      </c>
      <c r="FL178" s="141" t="str">
        <f t="shared" si="1557"/>
        <v>-</v>
      </c>
      <c r="FM178" s="107">
        <f t="shared" si="1543"/>
        <v>5.9988714582182361</v>
      </c>
      <c r="FN178" s="133">
        <f>IF(SeilBeregnet=0,FN139,(SeilBeregnet^0.5/(Depl^0.3333))^FN$3)</f>
        <v>3.6672706923600278</v>
      </c>
      <c r="FO178" s="133">
        <f>IF(SeilBeregnet=0,FO139,(SeilBeregnet^0.5/Lwl*FO$7)^FO$3)</f>
        <v>0.72308628088701576</v>
      </c>
      <c r="FP178" s="133">
        <f>IF(SeilBeregnet=0,FP139,((Loa)/Bredde)^FP$3*FP$7)</f>
        <v>2.1085144849711925</v>
      </c>
      <c r="FQ178" s="107">
        <f>IF(SeilBeregnet=0,FQ139,(Lwl)^FQ$3)</f>
        <v>1.6657993231786119</v>
      </c>
      <c r="FR178" s="107" t="str">
        <f t="shared" si="1544"/>
        <v>-</v>
      </c>
      <c r="FS178" s="141" t="str">
        <f t="shared" si="1558"/>
        <v>-</v>
      </c>
      <c r="FT178" s="107">
        <f t="shared" si="1545"/>
        <v>7.7324933751514529</v>
      </c>
      <c r="FU178" s="133">
        <f>IF(SeilBeregnet=0,FU139,(SeilBeregnet^0.5/(Depl^0.3333))^FU$3)</f>
        <v>3.6672706923600278</v>
      </c>
      <c r="FV178" s="133">
        <f>IF(SeilBeregnet=0,FV139,(Loa/Bredde)^FV$3)</f>
        <v>2.1085144849711925</v>
      </c>
      <c r="FW178" s="107">
        <f>IF(SeilBeregnet=0,FW139,Lwl^FW$3)</f>
        <v>1.6657993231786119</v>
      </c>
      <c r="FY178" s="336">
        <v>1</v>
      </c>
      <c r="FZ178" s="62" t="str">
        <f t="shared" si="1452"/>
        <v>-</v>
      </c>
      <c r="GA178" s="62">
        <f t="shared" si="1378"/>
        <v>2.0155644370746377</v>
      </c>
      <c r="GB178" s="107" t="str">
        <f t="shared" si="525"/>
        <v>-</v>
      </c>
      <c r="GC178" s="441" t="s">
        <v>953</v>
      </c>
      <c r="GD178" s="57"/>
      <c r="GE178" s="436"/>
      <c r="GF178" s="75"/>
      <c r="GG178" s="57"/>
      <c r="GH178" s="57" t="s">
        <v>958</v>
      </c>
      <c r="GI178" s="57" t="s">
        <v>416</v>
      </c>
      <c r="GJ178" s="57"/>
      <c r="GL178" s="57" t="s">
        <v>478</v>
      </c>
      <c r="GM178" s="436" t="s">
        <v>478</v>
      </c>
      <c r="GN178" s="58" t="s">
        <v>478</v>
      </c>
      <c r="GO178" s="58" t="s">
        <v>478</v>
      </c>
      <c r="GP178" s="58" t="s">
        <v>478</v>
      </c>
      <c r="GQ178" s="58" t="s">
        <v>478</v>
      </c>
      <c r="GS178" s="57" t="s">
        <v>208</v>
      </c>
      <c r="GT178" s="57" t="s">
        <v>954</v>
      </c>
      <c r="GU178" s="599" t="s">
        <v>956</v>
      </c>
      <c r="GV178" s="599" t="s">
        <v>957</v>
      </c>
      <c r="GW178" s="57">
        <v>1945</v>
      </c>
      <c r="GX178" s="57" t="s">
        <v>431</v>
      </c>
      <c r="GY178" s="57" t="s">
        <v>438</v>
      </c>
      <c r="GZ178" s="57" t="s">
        <v>955</v>
      </c>
    </row>
    <row r="179" spans="1:208" ht="15.6" x14ac:dyDescent="0.3">
      <c r="A179" s="60" t="s">
        <v>33</v>
      </c>
      <c r="B179" s="218"/>
      <c r="C179" s="61" t="str">
        <f>C178</f>
        <v>Bermuda</v>
      </c>
      <c r="D179" s="61"/>
      <c r="E179" s="61"/>
      <c r="F179" s="61"/>
      <c r="G179" s="54"/>
      <c r="H179" s="204">
        <f>IF(StH=0,0,TBFavrundet)</f>
        <v>117.49999999999999</v>
      </c>
      <c r="I179" s="63">
        <f>COUNTA(O179:AG179)</f>
        <v>2</v>
      </c>
      <c r="J179" s="222">
        <f>SUM(O179:AG179)</f>
        <v>19.5</v>
      </c>
      <c r="K179" s="116">
        <f>Seilareal/Depl^0.667/K$7</f>
        <v>1.1381596179622899</v>
      </c>
      <c r="L179" s="116">
        <f>Seilareal/Lwl/Lwl/L$7</f>
        <v>0.67924072063791396</v>
      </c>
      <c r="M179" s="92">
        <f>RiggF</f>
        <v>0.96923076923076912</v>
      </c>
      <c r="N179" s="242">
        <f>StHfaktor</f>
        <v>1.0479508450076391</v>
      </c>
      <c r="O179" s="143"/>
      <c r="P179" s="143"/>
      <c r="Q179" s="143"/>
      <c r="R179" s="143"/>
      <c r="S179" s="143"/>
      <c r="T179" s="143"/>
      <c r="U179" s="165">
        <v>7.5</v>
      </c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65">
        <v>12</v>
      </c>
      <c r="AF179" s="143"/>
      <c r="AG179" s="551"/>
      <c r="AH179" s="557">
        <f t="shared" ref="AH179:AI180" si="1591">AH178</f>
        <v>9.6</v>
      </c>
      <c r="AI179" s="557">
        <f t="shared" si="1591"/>
        <v>9.6</v>
      </c>
      <c r="AJ179" s="337">
        <f t="shared" ref="AJ179" si="1592" xml:space="preserve"> AJ178</f>
        <v>0</v>
      </c>
      <c r="AK179" s="339"/>
      <c r="AL179" s="337">
        <f t="shared" ref="AL179" si="1593" xml:space="preserve"> AL178</f>
        <v>0</v>
      </c>
      <c r="AM179" s="339"/>
      <c r="AN179" s="267" t="str">
        <f t="shared" ref="AN179:AN180" si="1594" xml:space="preserve"> AN178</f>
        <v>Meter</v>
      </c>
      <c r="AO179" s="45">
        <f>VLOOKUP(AN179,Skrogform!$1:$1048576,3,FALSE)</f>
        <v>1</v>
      </c>
      <c r="AP179" s="64">
        <f t="shared" ref="AP179:AW180" si="1595">AP178</f>
        <v>8</v>
      </c>
      <c r="AQ179" s="64">
        <f t="shared" si="1595"/>
        <v>6.6</v>
      </c>
      <c r="AR179" s="64">
        <f t="shared" si="1595"/>
        <v>1.7</v>
      </c>
      <c r="AS179" s="64">
        <f t="shared" si="1595"/>
        <v>1.3</v>
      </c>
      <c r="AT179" s="64">
        <f t="shared" si="1595"/>
        <v>0</v>
      </c>
      <c r="AU179" s="64">
        <f t="shared" si="1595"/>
        <v>2</v>
      </c>
      <c r="AV179" s="64">
        <f t="shared" si="1595"/>
        <v>1</v>
      </c>
      <c r="AW179" s="64">
        <f t="shared" si="1595"/>
        <v>0</v>
      </c>
      <c r="AX179" s="256">
        <f>AX178</f>
        <v>0</v>
      </c>
      <c r="AY179" s="256">
        <f t="shared" ref="AY179:BB179" si="1596">AY178</f>
        <v>0</v>
      </c>
      <c r="AZ179" s="256">
        <f t="shared" si="1596"/>
        <v>0</v>
      </c>
      <c r="BA179" s="256">
        <f t="shared" si="1596"/>
        <v>0</v>
      </c>
      <c r="BB179" s="256">
        <f t="shared" si="1596"/>
        <v>0</v>
      </c>
      <c r="BC179" s="256"/>
      <c r="BD179" s="66"/>
      <c r="BE179" s="66"/>
      <c r="BF179" s="261"/>
      <c r="BG179" s="66"/>
      <c r="BH179" s="175"/>
      <c r="BI179" s="66"/>
      <c r="BJ179" s="66"/>
      <c r="BK179" s="65">
        <f t="shared" ref="BK179:BM179" si="1597" xml:space="preserve"> BK178</f>
        <v>0</v>
      </c>
      <c r="BL179" s="267">
        <f t="shared" si="1597"/>
        <v>0</v>
      </c>
      <c r="BM179" s="267">
        <f t="shared" si="1597"/>
        <v>0</v>
      </c>
      <c r="BN179" s="45">
        <f t="shared" si="1197"/>
        <v>1</v>
      </c>
      <c r="BO179" s="59"/>
      <c r="BP179" s="59"/>
      <c r="BR179" s="49">
        <f t="shared" ref="BR179:BR180" si="1598">IF(O179=0,0,O179*BR$9)</f>
        <v>0</v>
      </c>
      <c r="BS179" s="49">
        <f t="shared" ref="BS179:BS180" si="1599">IF(P179=0,0,P179*BS$9)</f>
        <v>0</v>
      </c>
      <c r="BT179" s="49">
        <f t="shared" ref="BT179:BT180" si="1600">IF(Q179=0,0,Q179*BT$9)</f>
        <v>0</v>
      </c>
      <c r="BU179" s="49">
        <f t="shared" ref="BU179:BU180" si="1601">IF(R179=0,0,R179*BU$9)</f>
        <v>0</v>
      </c>
      <c r="BV179" s="49">
        <f t="shared" ref="BV179:BV180" si="1602">IF(S179=0,0,S179*BV$9)</f>
        <v>0</v>
      </c>
      <c r="BW179" s="49">
        <f t="shared" ref="BW179:BW180" si="1603">IF(T179=0,0,T179*BW$9)</f>
        <v>0</v>
      </c>
      <c r="BX179" s="49">
        <f t="shared" ref="BX179:BX180" si="1604">IF(U179=0,0,U179*BX$9)</f>
        <v>7.5</v>
      </c>
      <c r="BY179" s="549">
        <f>IF(COUNT(Q179:U179)&gt;1,MINA(Q179:U179)*BY$9,0)</f>
        <v>0</v>
      </c>
      <c r="BZ179" s="85">
        <f t="shared" ref="BZ179:BZ180" si="1605">IF(V179=0,0,V179*BZ$9)</f>
        <v>0</v>
      </c>
      <c r="CA179" s="85">
        <f t="shared" ref="CA179:CA180" si="1606">IF(W179=0,0,W179*CA$9)</f>
        <v>0</v>
      </c>
      <c r="CB179" s="85">
        <f t="shared" ref="CB179:CB180" si="1607">IF(X179=0,0,X179*CB$9)</f>
        <v>0</v>
      </c>
      <c r="CC179" s="85">
        <f t="shared" ref="CC179:CC180" si="1608">IF(Y179=0,0,Y179*CC$9)</f>
        <v>0</v>
      </c>
      <c r="CD179" s="85">
        <f t="shared" ref="CD179:CD180" si="1609">IF(Z179=0,0,Z179*CD$9)</f>
        <v>0</v>
      </c>
      <c r="CE179" s="85">
        <f>IF(AC179=0,0,AC179*CE$9)</f>
        <v>0</v>
      </c>
      <c r="CF179" s="85">
        <f t="shared" ref="CF179:CF180" si="1610">IF(AA179=0,0,AA179*CF$9)</f>
        <v>0</v>
      </c>
      <c r="CG179" s="85">
        <f t="shared" ref="CG179:CG180" si="1611">IF(AB179=0,0,AB179*CG$9)</f>
        <v>0</v>
      </c>
      <c r="CH179" s="85">
        <f t="shared" ref="CH179:CH180" si="1612">IF(AD179=0,0,AD179*CH$9)</f>
        <v>0</v>
      </c>
      <c r="CI179" s="85">
        <f t="shared" ref="CI179:CI180" si="1613">IF(AE179=0,0,AE179*CI$9)</f>
        <v>11.399999999999999</v>
      </c>
      <c r="CJ179" s="85">
        <f t="shared" ref="CJ179:CJ180" si="1614">IF(AF179=0,0,AF179*CJ$9)</f>
        <v>0</v>
      </c>
      <c r="CK179" s="85">
        <f t="shared" ref="CK179:CK180" si="1615">IF(AG179=0,0,AG179*CK$9)</f>
        <v>0</v>
      </c>
      <c r="CL179" s="100">
        <f>SUM(BR179:CK179)</f>
        <v>18.899999999999999</v>
      </c>
      <c r="CM179" s="50"/>
      <c r="CN179" s="104">
        <f>J179</f>
        <v>19.5</v>
      </c>
      <c r="CO179" s="101">
        <f>CL179/CN179</f>
        <v>0.96923076923076912</v>
      </c>
      <c r="CP179" s="51">
        <f>Seilareal/Lwl/Lwl</f>
        <v>0.44765840220385678</v>
      </c>
      <c r="CQ179" s="116">
        <f>Seilareal/Depl^0.667/K$7</f>
        <v>1.1381596179622899</v>
      </c>
      <c r="CR179" s="51">
        <f>Seilareal/Lwl/Lwl/SApRS1</f>
        <v>0.67924072063791396</v>
      </c>
      <c r="CS179" s="204"/>
      <c r="CT179" s="204">
        <f>(ROUND(TBF/CT$6,3)*CT$6)*CT$4</f>
        <v>117.49999999999999</v>
      </c>
      <c r="CU179" s="107">
        <f t="shared" si="83"/>
        <v>1.1750825234045814</v>
      </c>
      <c r="CV179" s="62">
        <f t="shared" si="523"/>
        <v>3.5029256596891667</v>
      </c>
      <c r="CW179" s="62">
        <f t="shared" si="84"/>
        <v>2.0722252886833572</v>
      </c>
      <c r="CX179" s="62">
        <f t="shared" si="524"/>
        <v>1.6028245430280339</v>
      </c>
      <c r="CY179" s="107">
        <f t="shared" si="85"/>
        <v>1.0479508450076391</v>
      </c>
      <c r="CZ179" s="168" t="str">
        <f t="shared" si="1450"/>
        <v>-</v>
      </c>
      <c r="DA179" s="159">
        <f>DA178</f>
        <v>0</v>
      </c>
      <c r="DB179" s="168" t="str">
        <f t="shared" si="1451"/>
        <v>-</v>
      </c>
      <c r="DC179" s="159">
        <f>DC178</f>
        <v>0</v>
      </c>
      <c r="DD179" s="190" t="s">
        <v>134</v>
      </c>
      <c r="DE179" s="62" t="s">
        <v>102</v>
      </c>
      <c r="DF179" s="62" t="s">
        <v>102</v>
      </c>
      <c r="DG179" s="62" t="s">
        <v>102</v>
      </c>
      <c r="DH179" s="150" t="s">
        <v>102</v>
      </c>
      <c r="DI179" s="62">
        <f t="shared" si="1374"/>
        <v>2.0839189979914363</v>
      </c>
      <c r="DJ179" s="47">
        <f t="shared" si="1375"/>
        <v>13.978494623655916</v>
      </c>
      <c r="DK179" s="48">
        <f t="shared" si="1428"/>
        <v>0</v>
      </c>
      <c r="DM179" s="107">
        <f t="shared" si="1536"/>
        <v>1.1169621186053547</v>
      </c>
      <c r="DN179" s="141" t="str">
        <f t="shared" si="1553"/>
        <v>-</v>
      </c>
      <c r="DO179" s="107">
        <f t="shared" si="1430"/>
        <v>5.6199283073077932</v>
      </c>
      <c r="DP179" s="133">
        <f>IF(SeilBeregnet=0,DP178,(SeilBeregnet^0.5/(Depl^0.3333))^DP$3*DP$7)</f>
        <v>3.4506237291212321</v>
      </c>
      <c r="DQ179" s="133">
        <f>IF(SeilBeregnet=0,DQ178,(SeilBeregnet^0.5/Lwl)^DQ$3*DQ$7)</f>
        <v>0</v>
      </c>
      <c r="DR179" s="133">
        <f>IF(SeilBeregnet=0,DR178,(0.1*Loa/Depl^0.3333)^DR$3*DR$7)</f>
        <v>0</v>
      </c>
      <c r="DS179" s="133">
        <f>IF(SeilBeregnet=0,DS178,((Loa)/Bredde)^DS$3*DS$7)</f>
        <v>2.1693045781865616</v>
      </c>
      <c r="DT179" s="107">
        <f>IF(SeilBeregnet=0,DT178,(Lwl)^DT$3)</f>
        <v>1.6028245430280339</v>
      </c>
      <c r="DU179" s="133">
        <f>IF(SeilBeregnet=0,DU178,(Dypg/Loa)^DU$3*5*DU$7)</f>
        <v>2.0155644370746377</v>
      </c>
      <c r="DW179" s="107">
        <f t="shared" si="1241"/>
        <v>1.1750825234045814</v>
      </c>
      <c r="DX179" s="107">
        <f t="shared" si="1376"/>
        <v>1.0258951946078543</v>
      </c>
      <c r="DZ179" s="107">
        <f t="shared" si="1377"/>
        <v>1.0915565542428138</v>
      </c>
      <c r="EA179" s="122" t="str">
        <f t="shared" si="1554"/>
        <v>-</v>
      </c>
      <c r="EB179" s="107">
        <f t="shared" si="1432"/>
        <v>1.1412715023928892</v>
      </c>
      <c r="EC179" s="122" t="str">
        <f t="shared" si="1555"/>
        <v>-</v>
      </c>
      <c r="ED179" s="107">
        <f>IF(SeilBeregnet=0,ED178,SeilBeregnet^0.5/Depl^0.33333)</f>
        <v>3.4505519761639949</v>
      </c>
      <c r="EE179" s="107">
        <f>IF(SeilBeregnet=0,EE178,Lwl^0.3333)</f>
        <v>1.8756594683209595</v>
      </c>
      <c r="EF179" s="107">
        <f>IF(SeilBeregnet=0,EF178,((Loa+Lwl)/Bredde)^EF$3)</f>
        <v>1.7118905068807717</v>
      </c>
      <c r="EH179" s="107">
        <f t="shared" si="1434"/>
        <v>1.1595057484689177</v>
      </c>
      <c r="EJ179" s="107">
        <f>IF(SeilBeregnet=0,EJ178,SeilBeregnet^0.5/Depl^0.33333)</f>
        <v>3.4505519761639949</v>
      </c>
      <c r="EK179" s="107">
        <f>IF(SeilBeregnet=0,EK178,Lwl^EK$3)</f>
        <v>1.8757656563283316</v>
      </c>
      <c r="EL179" s="107">
        <f>IF(SeilBeregnet=0,EL178,((Loa+Lwl)/Bredde)^EL$3)</f>
        <v>2.047718157792159</v>
      </c>
      <c r="EM179" s="107">
        <f t="shared" si="1435"/>
        <v>1.1296022736291949</v>
      </c>
      <c r="EO179" s="107">
        <f>IF(SeilBeregnet=0,EO178,(EP179*EQ179)^EO$3)</f>
        <v>5.9069671714938297</v>
      </c>
      <c r="EP179" s="107">
        <f>IF(SeilBeregnet=0,EP178,SeilBeregnet^0.5/Depl^0.33333)</f>
        <v>3.4505519761639949</v>
      </c>
      <c r="EQ179" s="107">
        <f>IF(SeilBeregnet=0,EQ178,((Loa+Lwl)/Bredde)^EQ$3)</f>
        <v>1.7118905068807717</v>
      </c>
      <c r="ER179" s="107">
        <f>IF(SeilBeregnet=0,ER178,Lwl^ER$3)</f>
        <v>1.6028245430280339</v>
      </c>
      <c r="ES179" s="107">
        <f t="shared" si="1537"/>
        <v>1.1299614851815758</v>
      </c>
      <c r="EU179" s="107">
        <f>IF(SeilBeregnet=0,EU178,(EV:EV*EW:EW)^EU$3)</f>
        <v>1.942734140646911</v>
      </c>
      <c r="EV179" s="107">
        <f>IF(SeilBeregnet=0,EV178,SeilBeregnet^0.5/Depl^0.33333)</f>
        <v>3.4505519761639949</v>
      </c>
      <c r="EW179" s="107">
        <f>IF(SeilBeregnet=0,EW178,((Loa+Lwl)/Bredde/6)^EW$3)</f>
        <v>1.0938006345961253</v>
      </c>
      <c r="EX179" s="107">
        <f>IF(SeilBeregnet=0,EX178,(Lwl*0.7+Loa*0.3)^EX$3)</f>
        <v>1.6277371593406456</v>
      </c>
      <c r="EY179" s="107">
        <f t="shared" si="1538"/>
        <v>1.0633258833929362</v>
      </c>
      <c r="FA179" s="107">
        <f t="shared" si="1539"/>
        <v>1.9427543397623004</v>
      </c>
      <c r="FB179" s="107">
        <f>IF(SeilBeregnet=0,FB178,SeilBeregnet^0.5/Depl^0.3333)</f>
        <v>3.4506237291212321</v>
      </c>
      <c r="FC179" s="107">
        <f>IF(SeilBeregnet=0,FC178,((Loa+Lwl)/Bredde/6)^FC$3)</f>
        <v>1.0938006345961253</v>
      </c>
      <c r="FD179" s="107">
        <f>IF(SeilBeregnet=0,FD178,(Lwl*0.7+Loa*0.3)^FD$3)</f>
        <v>1.6277371593406456</v>
      </c>
      <c r="FE179" s="107">
        <f t="shared" si="1540"/>
        <v>1.1780003156642251</v>
      </c>
      <c r="FF179" s="141" t="str">
        <f t="shared" si="1556"/>
        <v>-</v>
      </c>
      <c r="FG179" s="107">
        <f t="shared" si="1541"/>
        <v>4.1283256368514696</v>
      </c>
      <c r="FH179" s="133">
        <f>IF(SeilBeregnet=0,FH178,(SeilBeregnet^0.5/(Depl^0.3333))^FH$3)</f>
        <v>3.4506237291212321</v>
      </c>
      <c r="FI179" s="133">
        <f>IF(SeilBeregnet=0,FI178,((Loa+Lwl)/Bredde/6)^FI$3)</f>
        <v>1.1963998282428863</v>
      </c>
      <c r="FJ179" s="107">
        <f>IF(SeilBeregnet=0,FJ178,(Lwl*0.07+Loa*0.03)^FJ$3)</f>
        <v>0.91534387124519301</v>
      </c>
      <c r="FK179" s="107">
        <f t="shared" si="1542"/>
        <v>1.1021929442363103</v>
      </c>
      <c r="FL179" s="141" t="str">
        <f t="shared" si="1557"/>
        <v>-</v>
      </c>
      <c r="FM179" s="107">
        <f t="shared" si="1543"/>
        <v>5.7786272503164042</v>
      </c>
      <c r="FN179" s="133">
        <f>IF(SeilBeregnet=0,FN178,(SeilBeregnet^0.5/(Depl^0.3333))^FN$3)</f>
        <v>3.4506237291212321</v>
      </c>
      <c r="FO179" s="133">
        <f>IF(SeilBeregnet=0,FO178,(SeilBeregnet^0.5/Lwl*FO$7)^FO$3)</f>
        <v>0.65869894300861087</v>
      </c>
      <c r="FP179" s="133">
        <f>IF(SeilBeregnet=0,FP178,((Loa)/Bredde)^FP$3*FP$7)</f>
        <v>2.1693045781865616</v>
      </c>
      <c r="FQ179" s="107">
        <f>IF(SeilBeregnet=0,FQ178,(Lwl)^FQ$3)</f>
        <v>1.6028245430280339</v>
      </c>
      <c r="FR179" s="107">
        <f t="shared" si="1544"/>
        <v>1.1781867087165319</v>
      </c>
      <c r="FS179" s="141" t="str">
        <f t="shared" si="1558"/>
        <v>-</v>
      </c>
      <c r="FT179" s="107">
        <f t="shared" si="1545"/>
        <v>7.4854538531818751</v>
      </c>
      <c r="FU179" s="133">
        <f>IF(SeilBeregnet=0,FU178,(SeilBeregnet^0.5/(Depl^0.3333))^FU$3)</f>
        <v>3.4506237291212321</v>
      </c>
      <c r="FV179" s="133">
        <f>IF(SeilBeregnet=0,FV178,(Loa/Bredde)^FV$3)</f>
        <v>2.1693045781865616</v>
      </c>
      <c r="FW179" s="107">
        <f>IF(SeilBeregnet=0,FW178,Lwl^FW$3)</f>
        <v>1.6028245430280339</v>
      </c>
      <c r="FY179" s="336">
        <v>1</v>
      </c>
      <c r="FZ179" s="62">
        <f t="shared" si="1452"/>
        <v>1.1446505075803979</v>
      </c>
      <c r="GA179" s="62">
        <f t="shared" si="1378"/>
        <v>2.0155644370746377</v>
      </c>
      <c r="GB179" s="107">
        <f t="shared" si="525"/>
        <v>1.912428813758408</v>
      </c>
      <c r="GC179" s="440"/>
      <c r="GD179" s="17"/>
      <c r="GE179" s="442"/>
      <c r="GF179" s="462"/>
      <c r="GG179" s="17"/>
      <c r="GH179" s="17"/>
      <c r="GI179" s="17"/>
      <c r="GJ179" s="17"/>
      <c r="GL179" s="17"/>
      <c r="GM179" s="442"/>
      <c r="GN179" s="8"/>
      <c r="GO179" s="8"/>
      <c r="GP179" s="8"/>
      <c r="GQ179" s="8"/>
      <c r="GS179" s="17"/>
      <c r="GT179" s="17"/>
      <c r="GU179" s="17"/>
      <c r="GV179" s="629"/>
      <c r="GW179" s="17"/>
      <c r="GX179" s="17"/>
      <c r="GY179" s="17"/>
      <c r="GZ179" s="17"/>
    </row>
    <row r="180" spans="1:208" ht="15.6" x14ac:dyDescent="0.3">
      <c r="A180" s="60" t="s">
        <v>35</v>
      </c>
      <c r="B180" s="218"/>
      <c r="C180" s="61" t="str">
        <f t="shared" ref="C180" si="1616">C179</f>
        <v>Bermuda</v>
      </c>
      <c r="D180" s="61"/>
      <c r="E180" s="61"/>
      <c r="F180" s="61"/>
      <c r="G180" s="54"/>
      <c r="H180" s="204">
        <f>IF(StH=0,0,TBFavrundet)</f>
        <v>113.5</v>
      </c>
      <c r="I180" s="63">
        <f>COUNTA(O180:AG180)</f>
        <v>2</v>
      </c>
      <c r="J180" s="222">
        <f>SUM(O180:AG180)</f>
        <v>17.5</v>
      </c>
      <c r="K180" s="116">
        <f>Seilareal/Depl^0.667/K$7</f>
        <v>1.0214252981712857</v>
      </c>
      <c r="L180" s="116">
        <f>Seilareal/Lwl/Lwl/L$7</f>
        <v>0.60957500570069212</v>
      </c>
      <c r="M180" s="92">
        <f>RiggF</f>
        <v>0.96000000000000008</v>
      </c>
      <c r="N180" s="242">
        <f>StHfaktor</f>
        <v>1.0479508450076391</v>
      </c>
      <c r="O180" s="143"/>
      <c r="P180" s="143"/>
      <c r="Q180" s="143"/>
      <c r="R180" s="143"/>
      <c r="S180" s="143"/>
      <c r="T180" s="143"/>
      <c r="U180" s="165">
        <v>7.5</v>
      </c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65">
        <v>10</v>
      </c>
      <c r="AG180" s="551"/>
      <c r="AH180" s="557">
        <f t="shared" si="1591"/>
        <v>9.6</v>
      </c>
      <c r="AI180" s="557">
        <f t="shared" si="1591"/>
        <v>9.6</v>
      </c>
      <c r="AJ180" s="337">
        <f t="shared" ref="AJ180" si="1617" xml:space="preserve"> AJ179</f>
        <v>0</v>
      </c>
      <c r="AK180" s="339"/>
      <c r="AL180" s="337">
        <f t="shared" ref="AL180" si="1618" xml:space="preserve"> AL179</f>
        <v>0</v>
      </c>
      <c r="AM180" s="339"/>
      <c r="AN180" s="267" t="str">
        <f t="shared" si="1594"/>
        <v>Meter</v>
      </c>
      <c r="AO180" s="45">
        <f>VLOOKUP(AN180,Skrogform!$1:$1048576,3,FALSE)</f>
        <v>1</v>
      </c>
      <c r="AP180" s="64">
        <f t="shared" ref="AP180:AS180" si="1619">AP179</f>
        <v>8</v>
      </c>
      <c r="AQ180" s="64">
        <f t="shared" si="1619"/>
        <v>6.6</v>
      </c>
      <c r="AR180" s="64">
        <f t="shared" si="1619"/>
        <v>1.7</v>
      </c>
      <c r="AS180" s="64">
        <f t="shared" si="1619"/>
        <v>1.3</v>
      </c>
      <c r="AT180" s="64">
        <f t="shared" si="1595"/>
        <v>0</v>
      </c>
      <c r="AU180" s="64">
        <f t="shared" si="1595"/>
        <v>2</v>
      </c>
      <c r="AV180" s="64">
        <f t="shared" si="1595"/>
        <v>1</v>
      </c>
      <c r="AW180" s="64">
        <f t="shared" si="1595"/>
        <v>0</v>
      </c>
      <c r="AX180" s="256">
        <f>AX179</f>
        <v>0</v>
      </c>
      <c r="AY180" s="256">
        <f t="shared" ref="AY180:BB180" si="1620">AY179</f>
        <v>0</v>
      </c>
      <c r="AZ180" s="256">
        <f t="shared" si="1620"/>
        <v>0</v>
      </c>
      <c r="BA180" s="256">
        <f t="shared" si="1620"/>
        <v>0</v>
      </c>
      <c r="BB180" s="256">
        <f t="shared" si="1620"/>
        <v>0</v>
      </c>
      <c r="BC180" s="256"/>
      <c r="BD180" s="66"/>
      <c r="BE180" s="66"/>
      <c r="BF180" s="261"/>
      <c r="BG180" s="66"/>
      <c r="BH180" s="175"/>
      <c r="BI180" s="66"/>
      <c r="BJ180" s="66"/>
      <c r="BK180" s="65">
        <f t="shared" ref="BK180:BM180" si="1621" xml:space="preserve"> BK179</f>
        <v>0</v>
      </c>
      <c r="BL180" s="267">
        <f t="shared" si="1621"/>
        <v>0</v>
      </c>
      <c r="BM180" s="267">
        <f t="shared" si="1621"/>
        <v>0</v>
      </c>
      <c r="BN180" s="45">
        <f t="shared" si="1197"/>
        <v>1</v>
      </c>
      <c r="BO180" s="59"/>
      <c r="BP180" s="59"/>
      <c r="BR180" s="49">
        <f t="shared" si="1598"/>
        <v>0</v>
      </c>
      <c r="BS180" s="49">
        <f t="shared" si="1599"/>
        <v>0</v>
      </c>
      <c r="BT180" s="49">
        <f t="shared" si="1600"/>
        <v>0</v>
      </c>
      <c r="BU180" s="49">
        <f t="shared" si="1601"/>
        <v>0</v>
      </c>
      <c r="BV180" s="49">
        <f t="shared" si="1602"/>
        <v>0</v>
      </c>
      <c r="BW180" s="49">
        <f t="shared" si="1603"/>
        <v>0</v>
      </c>
      <c r="BX180" s="49">
        <f t="shared" si="1604"/>
        <v>7.5</v>
      </c>
      <c r="BY180" s="549">
        <f>IF(COUNT(Q180:U180)&gt;1,MINA(Q180:U180)*BY$9,0)</f>
        <v>0</v>
      </c>
      <c r="BZ180" s="85">
        <f t="shared" si="1605"/>
        <v>0</v>
      </c>
      <c r="CA180" s="85">
        <f t="shared" si="1606"/>
        <v>0</v>
      </c>
      <c r="CB180" s="85">
        <f t="shared" si="1607"/>
        <v>0</v>
      </c>
      <c r="CC180" s="85">
        <f t="shared" si="1608"/>
        <v>0</v>
      </c>
      <c r="CD180" s="85">
        <f t="shared" si="1609"/>
        <v>0</v>
      </c>
      <c r="CE180" s="85">
        <f>IF(AC180=0,0,AC180*CE$9)</f>
        <v>0</v>
      </c>
      <c r="CF180" s="85">
        <f t="shared" si="1610"/>
        <v>0</v>
      </c>
      <c r="CG180" s="85">
        <f t="shared" si="1611"/>
        <v>0</v>
      </c>
      <c r="CH180" s="85">
        <f t="shared" si="1612"/>
        <v>0</v>
      </c>
      <c r="CI180" s="85">
        <f t="shared" si="1613"/>
        <v>0</v>
      </c>
      <c r="CJ180" s="85">
        <f t="shared" si="1614"/>
        <v>9.3000000000000007</v>
      </c>
      <c r="CK180" s="85">
        <f t="shared" si="1615"/>
        <v>0</v>
      </c>
      <c r="CL180" s="100">
        <f>SUM(BR180:CK180)</f>
        <v>16.8</v>
      </c>
      <c r="CM180" s="50"/>
      <c r="CN180" s="104">
        <f>J180</f>
        <v>17.5</v>
      </c>
      <c r="CO180" s="101">
        <f>CL180/CN180</f>
        <v>0.96000000000000008</v>
      </c>
      <c r="CP180" s="51">
        <f>Seilareal/Lwl/Lwl</f>
        <v>0.40174471992653815</v>
      </c>
      <c r="CQ180" s="116">
        <f>Seilareal/Depl^0.667/K$7</f>
        <v>1.0214252981712857</v>
      </c>
      <c r="CR180" s="51">
        <f>Seilareal/Lwl/Lwl/SApRS1</f>
        <v>0.60957500570069212</v>
      </c>
      <c r="CS180" s="204"/>
      <c r="CT180" s="204">
        <f>(ROUND(TBF/CT$6,3)*CT$6)*CT$4</f>
        <v>113.5</v>
      </c>
      <c r="CU180" s="107">
        <f t="shared" si="83"/>
        <v>1.1328574870671491</v>
      </c>
      <c r="CV180" s="62">
        <f t="shared" si="523"/>
        <v>3.3025899839447601</v>
      </c>
      <c r="CW180" s="62">
        <f t="shared" si="84"/>
        <v>2.0722252886833572</v>
      </c>
      <c r="CX180" s="62">
        <f t="shared" si="524"/>
        <v>1.6028245430280339</v>
      </c>
      <c r="CY180" s="107">
        <f t="shared" si="85"/>
        <v>1.0479508450076391</v>
      </c>
      <c r="CZ180" s="168" t="str">
        <f t="shared" si="1450"/>
        <v>-</v>
      </c>
      <c r="DA180" s="158"/>
      <c r="DB180" s="168" t="str">
        <f t="shared" si="1451"/>
        <v>-</v>
      </c>
      <c r="DC180" s="160"/>
      <c r="DD180" s="190" t="s">
        <v>134</v>
      </c>
      <c r="DE180" s="62" t="s">
        <v>102</v>
      </c>
      <c r="DF180" s="62" t="s">
        <v>102</v>
      </c>
      <c r="DG180" s="62" t="s">
        <v>102</v>
      </c>
      <c r="DH180" s="150" t="s">
        <v>102</v>
      </c>
      <c r="DI180" s="62">
        <f t="shared" si="1374"/>
        <v>2.0839189979914363</v>
      </c>
      <c r="DJ180" s="47">
        <f t="shared" si="1375"/>
        <v>13.978494623655916</v>
      </c>
      <c r="DK180" s="48">
        <f t="shared" si="1428"/>
        <v>0</v>
      </c>
      <c r="DM180" s="107">
        <f t="shared" si="1536"/>
        <v>1.0777398555405791</v>
      </c>
      <c r="DN180" s="141" t="str">
        <f t="shared" si="1553"/>
        <v>-</v>
      </c>
      <c r="DO180" s="107">
        <f t="shared" si="1430"/>
        <v>5.4225838290996764</v>
      </c>
      <c r="DP180" s="133">
        <f>IF(SeilBeregnet=0,DP179,(SeilBeregnet^0.5/(Depl^0.3333))^DP$3*DP$7)</f>
        <v>3.2532792509131148</v>
      </c>
      <c r="DQ180" s="133">
        <f>IF(SeilBeregnet=0,DQ179,(SeilBeregnet^0.5/Lwl)^DQ$3*DQ$7)</f>
        <v>0</v>
      </c>
      <c r="DR180" s="133">
        <f>IF(SeilBeregnet=0,DR179,(0.1*Loa/Depl^0.3333)^DR$3*DR$7)</f>
        <v>0</v>
      </c>
      <c r="DS180" s="133">
        <f>IF(SeilBeregnet=0,DS179,((Loa)/Bredde)^DS$3*DS$7)</f>
        <v>2.1693045781865616</v>
      </c>
      <c r="DT180" s="107">
        <f>IF(SeilBeregnet=0,DT179,(Lwl)^DT$3)</f>
        <v>1.6028245430280339</v>
      </c>
      <c r="DU180" s="133">
        <f>IF(SeilBeregnet=0,DU179,(Dypg/Loa)^DU$3*5*DU$7)</f>
        <v>2.0155644370746377</v>
      </c>
      <c r="DW180" s="107">
        <f t="shared" si="1241"/>
        <v>1.1328574870671491</v>
      </c>
      <c r="DX180" s="107">
        <f t="shared" si="1376"/>
        <v>0.98119288372558955</v>
      </c>
      <c r="DZ180" s="107">
        <f t="shared" si="1377"/>
        <v>1.0527797636582923</v>
      </c>
      <c r="EA180" s="122" t="str">
        <f t="shared" si="1554"/>
        <v>-</v>
      </c>
      <c r="EB180" s="107">
        <f t="shared" si="1432"/>
        <v>1.092008049191753</v>
      </c>
      <c r="EC180" s="122" t="str">
        <f t="shared" si="1555"/>
        <v>-</v>
      </c>
      <c r="ED180" s="107">
        <f>IF(SeilBeregnet=0,ED179,SeilBeregnet^0.5/Depl^0.33333)</f>
        <v>3.2532116015762713</v>
      </c>
      <c r="EE180" s="107">
        <f>IF(SeilBeregnet=0,EE179,Lwl^0.3333)</f>
        <v>1.8756594683209595</v>
      </c>
      <c r="EF180" s="107">
        <f>IF(SeilBeregnet=0,EF179,((Loa+Lwl)/Bredde)^EF$3)</f>
        <v>1.7118905068807717</v>
      </c>
      <c r="EH180" s="107">
        <f t="shared" si="1434"/>
        <v>1.1138575883048574</v>
      </c>
      <c r="EJ180" s="107">
        <f>IF(SeilBeregnet=0,EJ179,SeilBeregnet^0.5/Depl^0.33333)</f>
        <v>3.2532116015762713</v>
      </c>
      <c r="EK180" s="107">
        <f>IF(SeilBeregnet=0,EK179,Lwl^EK$3)</f>
        <v>1.8757656563283316</v>
      </c>
      <c r="EL180" s="107">
        <f>IF(SeilBeregnet=0,EL179,((Loa+Lwl)/Bredde)^EL$3)</f>
        <v>2.047718157792159</v>
      </c>
      <c r="EM180" s="107">
        <f t="shared" si="1435"/>
        <v>1.0813400248488012</v>
      </c>
      <c r="EO180" s="107">
        <f>IF(SeilBeregnet=0,EO179,(EP180*EQ180)^EO$3)</f>
        <v>5.5691420576128099</v>
      </c>
      <c r="EP180" s="107">
        <f>IF(SeilBeregnet=0,EP179,SeilBeregnet^0.5/Depl^0.33333)</f>
        <v>3.2532116015762713</v>
      </c>
      <c r="EQ180" s="107">
        <f>IF(SeilBeregnet=0,EQ179,((Loa+Lwl)/Bredde)^EQ$3)</f>
        <v>1.7118905068807717</v>
      </c>
      <c r="ER180" s="107">
        <f>IF(SeilBeregnet=0,ER179,Lwl^ER$3)</f>
        <v>1.6028245430280339</v>
      </c>
      <c r="ES180" s="107">
        <f t="shared" si="1537"/>
        <v>1.0858110406638546</v>
      </c>
      <c r="EU180" s="107">
        <f>IF(SeilBeregnet=0,EU179,(EV:EV*EW:EW)^EU$3)</f>
        <v>1.8863628797979468</v>
      </c>
      <c r="EV180" s="107">
        <f>IF(SeilBeregnet=0,EV179,SeilBeregnet^0.5/Depl^0.33333)</f>
        <v>3.2532116015762713</v>
      </c>
      <c r="EW180" s="107">
        <f>IF(SeilBeregnet=0,EW179,((Loa+Lwl)/Bredde/6)^EW$3)</f>
        <v>1.0938006345961253</v>
      </c>
      <c r="EX180" s="107">
        <f>IF(SeilBeregnet=0,EX179,(Lwl*0.7+Loa*0.3)^EX$3)</f>
        <v>1.6277371593406456</v>
      </c>
      <c r="EY180" s="107">
        <f t="shared" si="1538"/>
        <v>1.0324719340613828</v>
      </c>
      <c r="FA180" s="107">
        <f t="shared" si="1539"/>
        <v>1.8863824928065813</v>
      </c>
      <c r="FB180" s="107">
        <f>IF(SeilBeregnet=0,FB179,SeilBeregnet^0.5/Depl^0.3333)</f>
        <v>3.2532792509131148</v>
      </c>
      <c r="FC180" s="107">
        <f>IF(SeilBeregnet=0,FC179,((Loa+Lwl)/Bredde/6)^FC$3)</f>
        <v>1.0938006345961253</v>
      </c>
      <c r="FD180" s="107">
        <f>IF(SeilBeregnet=0,FD179,(Lwl*0.7+Loa*0.3)^FD$3)</f>
        <v>1.6277371593406456</v>
      </c>
      <c r="FE180" s="107">
        <f t="shared" si="1540"/>
        <v>1.1326160937717251</v>
      </c>
      <c r="FF180" s="141" t="str">
        <f t="shared" si="1556"/>
        <v>-</v>
      </c>
      <c r="FG180" s="107">
        <f t="shared" si="1541"/>
        <v>3.8922227370185962</v>
      </c>
      <c r="FH180" s="133">
        <f>IF(SeilBeregnet=0,FH179,(SeilBeregnet^0.5/(Depl^0.3333))^FH$3)</f>
        <v>3.2532792509131148</v>
      </c>
      <c r="FI180" s="133">
        <f>IF(SeilBeregnet=0,FI179,((Loa+Lwl)/Bredde/6)^FI$3)</f>
        <v>1.1963998282428863</v>
      </c>
      <c r="FJ180" s="107">
        <f>IF(SeilBeregnet=0,FJ179,(Lwl*0.07+Loa*0.03)^FJ$3)</f>
        <v>0.91534387124519301</v>
      </c>
      <c r="FK180" s="107">
        <f t="shared" si="1542"/>
        <v>1.0573668846446118</v>
      </c>
      <c r="FL180" s="141" t="str">
        <f t="shared" si="1557"/>
        <v>-</v>
      </c>
      <c r="FM180" s="107">
        <f t="shared" si="1543"/>
        <v>5.5436111482487433</v>
      </c>
      <c r="FN180" s="133">
        <f>IF(SeilBeregnet=0,FN179,(SeilBeregnet^0.5/(Depl^0.3333))^FN$3)</f>
        <v>3.2532792509131148</v>
      </c>
      <c r="FO180" s="133">
        <f>IF(SeilBeregnet=0,FO179,(SeilBeregnet^0.5/Lwl*FO$7)^FO$3)</f>
        <v>0.62102731914906661</v>
      </c>
      <c r="FP180" s="133">
        <f>IF(SeilBeregnet=0,FP179,((Loa)/Bredde)^FP$3*FP$7)</f>
        <v>2.1693045781865616</v>
      </c>
      <c r="FQ180" s="107">
        <f>IF(SeilBeregnet=0,FQ179,(Lwl)^FQ$3)</f>
        <v>1.6028245430280339</v>
      </c>
      <c r="FR180" s="107">
        <f t="shared" si="1544"/>
        <v>1.1342718520283996</v>
      </c>
      <c r="FS180" s="141" t="str">
        <f t="shared" si="1558"/>
        <v>-</v>
      </c>
      <c r="FT180" s="107">
        <f t="shared" si="1545"/>
        <v>7.0573535731251678</v>
      </c>
      <c r="FU180" s="133">
        <f>IF(SeilBeregnet=0,FU179,(SeilBeregnet^0.5/(Depl^0.3333))^FU$3)</f>
        <v>3.2532792509131148</v>
      </c>
      <c r="FV180" s="133">
        <f>IF(SeilBeregnet=0,FV179,(Loa/Bredde)^FV$3)</f>
        <v>2.1693045781865616</v>
      </c>
      <c r="FW180" s="107">
        <f>IF(SeilBeregnet=0,FW179,Lwl^FW$3)</f>
        <v>1.6028245430280339</v>
      </c>
      <c r="FY180" s="336">
        <v>1</v>
      </c>
      <c r="FZ180" s="62">
        <f t="shared" si="1452"/>
        <v>1.1150666150692112</v>
      </c>
      <c r="GA180" s="62">
        <f t="shared" si="1378"/>
        <v>2.0155644370746377</v>
      </c>
      <c r="GB180" s="107">
        <f t="shared" si="525"/>
        <v>1.8752529528670698</v>
      </c>
      <c r="GC180" s="440"/>
      <c r="GD180" s="17"/>
      <c r="GE180" s="442"/>
      <c r="GF180" s="462"/>
      <c r="GG180" s="17"/>
      <c r="GH180" s="17"/>
      <c r="GI180" s="17"/>
      <c r="GJ180" s="17"/>
      <c r="GL180" s="17"/>
      <c r="GM180" s="442"/>
      <c r="GN180" s="8"/>
      <c r="GO180" s="8"/>
      <c r="GP180" s="8"/>
      <c r="GQ180" s="8"/>
      <c r="GS180" s="17"/>
      <c r="GT180" s="17"/>
      <c r="GU180" s="17"/>
      <c r="GV180" s="629"/>
      <c r="GW180" s="17"/>
      <c r="GX180" s="17"/>
      <c r="GY180" s="17"/>
      <c r="GZ180" s="17"/>
    </row>
    <row r="181" spans="1:208" ht="15.6" x14ac:dyDescent="0.3">
      <c r="A181" s="52" t="s">
        <v>264</v>
      </c>
      <c r="B181" s="218">
        <f t="shared" si="10"/>
        <v>27.887139107611546</v>
      </c>
      <c r="C181" s="53" t="s">
        <v>38</v>
      </c>
      <c r="D181" s="53"/>
      <c r="E181" s="53"/>
      <c r="F181" s="53"/>
      <c r="G181" s="54"/>
      <c r="H181" s="112">
        <f>J182</f>
        <v>27</v>
      </c>
      <c r="I181" s="601">
        <f>H182/100</f>
        <v>1.155</v>
      </c>
      <c r="J181" s="651">
        <f>IF(DC182=0,"-",DC182)</f>
        <v>1.18</v>
      </c>
      <c r="K181" s="123" t="str">
        <f>A181</f>
        <v>Van Hout</v>
      </c>
      <c r="L181" s="116"/>
      <c r="M181" s="116"/>
      <c r="N181" s="92"/>
      <c r="O181" s="165"/>
      <c r="P181" s="165"/>
      <c r="Q181" s="165">
        <v>10</v>
      </c>
      <c r="R181" s="165"/>
      <c r="S181" s="165"/>
      <c r="T181" s="165"/>
      <c r="U181" s="165"/>
      <c r="V181" s="559"/>
      <c r="W181" s="559"/>
      <c r="X181" s="165"/>
      <c r="Y181" s="165"/>
      <c r="Z181" s="165"/>
      <c r="AA181" s="165"/>
      <c r="AB181" s="165"/>
      <c r="AC181" s="165"/>
      <c r="AD181" s="165"/>
      <c r="AE181" s="165">
        <v>17</v>
      </c>
      <c r="AF181" s="165">
        <v>14.2</v>
      </c>
      <c r="AG181" s="552"/>
      <c r="AH181" s="241">
        <f>Loa*1.2</f>
        <v>10.199999999999999</v>
      </c>
      <c r="AI181" s="241">
        <f>Loa*1.2</f>
        <v>10.199999999999999</v>
      </c>
      <c r="AJ181" s="554"/>
      <c r="AK181" s="339"/>
      <c r="AL181" s="268"/>
      <c r="AM181" s="339"/>
      <c r="AN181" s="268" t="s">
        <v>214</v>
      </c>
      <c r="AO181" s="45">
        <f>VLOOKUP(AN181,Skrogform!$1:$1048576,3,FALSE)</f>
        <v>1</v>
      </c>
      <c r="AP181" s="55">
        <v>8.5</v>
      </c>
      <c r="AQ181" s="55">
        <v>6</v>
      </c>
      <c r="AR181" s="55">
        <v>2.2999999999999998</v>
      </c>
      <c r="AS181" s="55">
        <v>1.3</v>
      </c>
      <c r="AT181" s="637">
        <f>AU181</f>
        <v>2.7</v>
      </c>
      <c r="AU181" s="55">
        <v>2.7</v>
      </c>
      <c r="AV181" s="55">
        <v>1</v>
      </c>
      <c r="AW181" s="55"/>
      <c r="AX181" s="253"/>
      <c r="AY181" s="253">
        <v>20</v>
      </c>
      <c r="AZ181" s="254">
        <f>AY181*7</f>
        <v>140</v>
      </c>
      <c r="BA181" s="253"/>
      <c r="BB181" s="253"/>
      <c r="BC181" s="244">
        <f>Depl+Diesel/1000*0.84+Vann/1000</f>
        <v>2.7</v>
      </c>
      <c r="BD181" s="95">
        <f>Bredde/(Loa+Lwl)*2</f>
        <v>0.3172413793103448</v>
      </c>
      <c r="BE181" s="95">
        <f>(Kjøl+Ballast)/Depl</f>
        <v>0.37037037037037035</v>
      </c>
      <c r="BF181" s="260">
        <f>BF$7*((Depl-Kjøl-Ballast-VektMotor/1000-VektAnnet/1000)/Lwl/Lwl/Bredde)</f>
        <v>0.71100701449275372</v>
      </c>
      <c r="BG181" s="95">
        <f>BG$7*(Depl/Loa/Lwl/Lwl)</f>
        <v>0.64931670000000008</v>
      </c>
      <c r="BH181" s="174">
        <f>BH$7*(Depl/Loa/Lwl/Bredde)</f>
        <v>0.62611239130434793</v>
      </c>
      <c r="BI181" s="95">
        <f>BI$7*Bredde/(Loa+Lwl)*2</f>
        <v>0.90499073044123091</v>
      </c>
      <c r="BJ181" s="95">
        <f>BJ$7*(Dypg/Lwl)</f>
        <v>1.185072463768116</v>
      </c>
      <c r="BK181" s="56" t="s">
        <v>21</v>
      </c>
      <c r="BL181" s="268">
        <v>3</v>
      </c>
      <c r="BM181" s="268">
        <v>30</v>
      </c>
      <c r="BN181" s="45">
        <f t="shared" si="1197"/>
        <v>1</v>
      </c>
      <c r="BO181" s="36"/>
      <c r="BP181" s="59"/>
      <c r="BR181" s="209"/>
      <c r="BS181" s="209"/>
      <c r="BT181" s="209" t="str">
        <f>$A181</f>
        <v>Van Hout</v>
      </c>
      <c r="BU181" s="10"/>
      <c r="BV181" s="10"/>
      <c r="BW181" s="10"/>
      <c r="BX181" s="10"/>
      <c r="BY181" s="549"/>
      <c r="BZ181" s="10"/>
      <c r="CA181" s="10"/>
      <c r="CB181" s="209" t="str">
        <f>$A181</f>
        <v>Van Hout</v>
      </c>
      <c r="CC181" s="10"/>
      <c r="CD181" s="10"/>
      <c r="CE181" s="10"/>
      <c r="CF181" s="10"/>
      <c r="CG181" s="10"/>
      <c r="CH181" s="10"/>
      <c r="CI181" s="10"/>
      <c r="CJ181" s="10"/>
      <c r="CK181" s="10"/>
      <c r="CL181" s="209"/>
      <c r="CM181" s="10"/>
      <c r="CN181" s="209" t="str">
        <f>$A181</f>
        <v>Van Hout</v>
      </c>
      <c r="CO181" s="207"/>
      <c r="CP181" s="207"/>
      <c r="CQ181" s="116"/>
      <c r="CR181" s="207"/>
      <c r="CS181" s="203"/>
      <c r="CT181" s="203" t="s">
        <v>23</v>
      </c>
      <c r="CU181" s="107" t="str">
        <f t="shared" si="83"/>
        <v>-</v>
      </c>
      <c r="CV181" s="62" t="str">
        <f t="shared" si="523"/>
        <v>-</v>
      </c>
      <c r="CW181" s="62" t="str">
        <f t="shared" si="84"/>
        <v>-</v>
      </c>
      <c r="CX181" s="62" t="str">
        <f t="shared" si="524"/>
        <v>-</v>
      </c>
      <c r="CY181" s="107" t="str">
        <f t="shared" si="85"/>
        <v>-</v>
      </c>
      <c r="CZ181" s="168" t="str">
        <f t="shared" si="1450"/>
        <v>-</v>
      </c>
      <c r="DA181" s="158"/>
      <c r="DB181" s="168" t="str">
        <f t="shared" si="1451"/>
        <v>-</v>
      </c>
      <c r="DC181" s="160">
        <v>1.18</v>
      </c>
      <c r="DD181" s="190" t="s">
        <v>134</v>
      </c>
      <c r="DE181" s="29" t="s">
        <v>23</v>
      </c>
      <c r="DF181" s="29" t="s">
        <v>23</v>
      </c>
      <c r="DG181" s="29" t="s">
        <v>23</v>
      </c>
      <c r="DH181" s="149">
        <v>2022</v>
      </c>
      <c r="DI181" s="62" t="str">
        <f t="shared" si="1374"/>
        <v>-</v>
      </c>
      <c r="DJ181" s="47">
        <f t="shared" si="1375"/>
        <v>13.978494623655912</v>
      </c>
      <c r="DK181" s="48">
        <f t="shared" si="1428"/>
        <v>0</v>
      </c>
      <c r="DM181" s="107" t="str">
        <f t="shared" si="1536"/>
        <v>-</v>
      </c>
      <c r="DN181" s="141" t="str">
        <f t="shared" si="1553"/>
        <v>-</v>
      </c>
      <c r="DO181" s="107">
        <f t="shared" si="1430"/>
        <v>5.0801976869371241</v>
      </c>
      <c r="DP181" s="133">
        <f>IF(SeilBeregnet=0,DP83,(SeilBeregnet^0.5/(Depl^0.3333))^DP$3*DP$7)</f>
        <v>3.2155947302606869</v>
      </c>
      <c r="DQ181" s="133">
        <f>IF(SeilBeregnet=0,DQ83,(SeilBeregnet^0.5/Lwl)^DQ$3*DQ$7)</f>
        <v>0</v>
      </c>
      <c r="DR181" s="133">
        <f>IF(SeilBeregnet=0,DR83,(0.1*Loa/Depl^0.3333)^DR$3*DR$7)</f>
        <v>0</v>
      </c>
      <c r="DS181" s="133">
        <f>IF(SeilBeregnet=0,DS83,((Loa)/Bredde)^DS$3*DS$7)</f>
        <v>1.8646029566764373</v>
      </c>
      <c r="DT181" s="107">
        <f>IF(SeilBeregnet=0,DT83,(Lwl)^DT$3)</f>
        <v>1.8859172433475835</v>
      </c>
      <c r="DU181" s="133">
        <f>IF(SeilBeregnet=0,DU83,(Dypg/Loa)^DU$3*5*DU$7)</f>
        <v>2.0446520502738266</v>
      </c>
      <c r="DW181" s="107" t="str">
        <f t="shared" si="1241"/>
        <v>-</v>
      </c>
      <c r="DX181" s="107" t="str">
        <f t="shared" si="1376"/>
        <v>-</v>
      </c>
      <c r="DZ181" s="107" t="str">
        <f t="shared" si="1377"/>
        <v>-</v>
      </c>
      <c r="EA181" s="122" t="str">
        <f t="shared" si="1554"/>
        <v>-</v>
      </c>
      <c r="EB181" s="107" t="str">
        <f t="shared" si="1432"/>
        <v>-</v>
      </c>
      <c r="EC181" s="122" t="str">
        <f t="shared" si="1555"/>
        <v>-</v>
      </c>
      <c r="ED181" s="107">
        <f>IF(SeilBeregnet=0,ED83,SeilBeregnet^0.5/Depl^0.33333)</f>
        <v>3.2152768037087123</v>
      </c>
      <c r="EE181" s="107">
        <f>IF(SeilBeregnet=0,EE83,Lwl^0.3333)</f>
        <v>2.3298436208665341</v>
      </c>
      <c r="EF181" s="107">
        <f>IF(SeilBeregnet=0,EF83,((Loa+Lwl)/Bredde)^EF$3)</f>
        <v>1.5916961163398649</v>
      </c>
      <c r="EH181" s="107" t="str">
        <f t="shared" si="1434"/>
        <v>-</v>
      </c>
      <c r="EJ181" s="107">
        <f>IF(SeilBeregnet=0,EJ83,SeilBeregnet^0.5/Depl^0.33333)</f>
        <v>3.2152768037087123</v>
      </c>
      <c r="EK181" s="107">
        <f>IF(SeilBeregnet=0,EK83,Lwl^EK$3)</f>
        <v>2.3300209979525235</v>
      </c>
      <c r="EL181" s="107">
        <f>IF(SeilBeregnet=0,EL83,((Loa+Lwl)/Bredde)^EL$3)</f>
        <v>1.8583176886572534</v>
      </c>
      <c r="EM181" s="107" t="str">
        <f t="shared" si="1435"/>
        <v>-</v>
      </c>
      <c r="EO181" s="107">
        <f>IF(SeilBeregnet=0,EO83,(EP181*EQ181)^EO$3)</f>
        <v>5.1177436014208109</v>
      </c>
      <c r="EP181" s="107">
        <f>IF(SeilBeregnet=0,EP83,SeilBeregnet^0.5/Depl^0.33333)</f>
        <v>3.2152768037087123</v>
      </c>
      <c r="EQ181" s="107">
        <f>IF(SeilBeregnet=0,EQ83,((Loa+Lwl)/Bredde)^EQ$3)</f>
        <v>1.5916961163398649</v>
      </c>
      <c r="ER181" s="107">
        <f>IF(SeilBeregnet=0,ER83,Lwl^ER$3)</f>
        <v>1.8859172433475835</v>
      </c>
      <c r="ES181" s="107" t="str">
        <f t="shared" si="1537"/>
        <v>-</v>
      </c>
      <c r="EU181" s="107">
        <f>IF(SeilBeregnet=0,EU83,(EV:EV*EW:EW)^EU$3)</f>
        <v>1.8082994728275268</v>
      </c>
      <c r="EV181" s="107">
        <f>IF(SeilBeregnet=0,EV83,SeilBeregnet^0.5/Depl^0.33333)</f>
        <v>3.2152768037087123</v>
      </c>
      <c r="EW181" s="107">
        <f>IF(SeilBeregnet=0,EW83,((Loa+Lwl)/Bredde/6)^EW$3)</f>
        <v>1.0170032575909294</v>
      </c>
      <c r="EX181" s="107">
        <f>IF(SeilBeregnet=0,EX83,(Lwl*0.7+Loa*0.3)^EX$3)</f>
        <v>1.9111244003334622</v>
      </c>
      <c r="EY181" s="107" t="str">
        <f t="shared" si="1538"/>
        <v>-</v>
      </c>
      <c r="FA181" s="107">
        <f t="shared" si="1539"/>
        <v>1.8083888729383799</v>
      </c>
      <c r="FB181" s="107">
        <f>IF(SeilBeregnet=0,FB83,SeilBeregnet^0.5/Depl^0.3333)</f>
        <v>3.2155947302606869</v>
      </c>
      <c r="FC181" s="107">
        <f>IF(SeilBeregnet=0,FC83,((Loa+Lwl)/Bredde/6)^FC$3)</f>
        <v>1.0170032575909294</v>
      </c>
      <c r="FD181" s="107">
        <f>IF(SeilBeregnet=0,FD83,(Lwl*0.7+Loa*0.3)^FD$3)</f>
        <v>1.9111244003334622</v>
      </c>
      <c r="FE181" s="107" t="str">
        <f t="shared" si="1540"/>
        <v>-</v>
      </c>
      <c r="FF181" s="141" t="str">
        <f t="shared" si="1556"/>
        <v>-</v>
      </c>
      <c r="FG181" s="107">
        <f t="shared" si="1541"/>
        <v>3.3258755643383067</v>
      </c>
      <c r="FH181" s="133">
        <f>IF(SeilBeregnet=0,FH83,(SeilBeregnet^0.5/(Depl^0.3333))^FH$3)</f>
        <v>3.2155947302606869</v>
      </c>
      <c r="FI181" s="133">
        <f>IF(SeilBeregnet=0,FI83,((Loa+Lwl)/Bredde/6)^FI$3)</f>
        <v>1.0342956259505622</v>
      </c>
      <c r="FJ181" s="107">
        <f>IF(SeilBeregnet=0,FJ83,(Lwl*0.07+Loa*0.03)^FJ$3)</f>
        <v>1.0747042278871302</v>
      </c>
      <c r="FK181" s="107" t="str">
        <f t="shared" si="1542"/>
        <v>-</v>
      </c>
      <c r="FL181" s="141" t="str">
        <f t="shared" si="1557"/>
        <v>-</v>
      </c>
      <c r="FM181" s="107">
        <f t="shared" si="1543"/>
        <v>5.3427055479197323</v>
      </c>
      <c r="FN181" s="133">
        <f>IF(SeilBeregnet=0,FN83,(SeilBeregnet^0.5/(Depl^0.3333))^FN$3)</f>
        <v>3.2155947302606869</v>
      </c>
      <c r="FO181" s="133">
        <f>IF(SeilBeregnet=0,FO83,(SeilBeregnet^0.5/Lwl*FO$7)^FO$3)</f>
        <v>0.76250786098260837</v>
      </c>
      <c r="FP181" s="133">
        <f>IF(SeilBeregnet=0,FP83,((Loa)/Bredde)^FP$3*FP$7)</f>
        <v>1.8646029566764373</v>
      </c>
      <c r="FQ181" s="107">
        <f>IF(SeilBeregnet=0,FQ83,(Lwl)^FQ$3)</f>
        <v>1.8859172433475835</v>
      </c>
      <c r="FR181" s="107" t="str">
        <f t="shared" si="1544"/>
        <v>-</v>
      </c>
      <c r="FS181" s="141" t="str">
        <f t="shared" si="1558"/>
        <v>-</v>
      </c>
      <c r="FT181" s="107">
        <f t="shared" si="1545"/>
        <v>5.9958074415172478</v>
      </c>
      <c r="FU181" s="133">
        <f>IF(SeilBeregnet=0,FU83,(SeilBeregnet^0.5/(Depl^0.3333))^FU$3)</f>
        <v>3.2155947302606869</v>
      </c>
      <c r="FV181" s="133">
        <f>IF(SeilBeregnet=0,FV83,(Loa/Bredde)^FV$3)</f>
        <v>1.8646029566764373</v>
      </c>
      <c r="FW181" s="107">
        <f>IF(SeilBeregnet=0,FW83,Lwl^FW$3)</f>
        <v>1.8859172433475835</v>
      </c>
      <c r="FX181" s="522">
        <v>1.18</v>
      </c>
      <c r="FY181" s="336">
        <v>1</v>
      </c>
      <c r="FZ181" s="62" t="str">
        <f t="shared" si="1452"/>
        <v>-</v>
      </c>
      <c r="GA181" s="62">
        <f t="shared" si="1378"/>
        <v>1.9553847221876073</v>
      </c>
      <c r="GB181" s="107" t="str">
        <f t="shared" si="525"/>
        <v>-</v>
      </c>
      <c r="GC181" s="441" t="s">
        <v>426</v>
      </c>
      <c r="GD181" s="57" t="s">
        <v>423</v>
      </c>
      <c r="GE181" s="436" t="s">
        <v>480</v>
      </c>
      <c r="GF181" s="464" t="s">
        <v>424</v>
      </c>
      <c r="GG181" s="57"/>
      <c r="GH181" s="57"/>
      <c r="GI181" s="57" t="s">
        <v>425</v>
      </c>
      <c r="GJ181" s="57" t="s">
        <v>478</v>
      </c>
      <c r="GL181" s="57" t="s">
        <v>478</v>
      </c>
      <c r="GM181" s="436" t="s">
        <v>478</v>
      </c>
      <c r="GN181" s="58" t="s">
        <v>478</v>
      </c>
      <c r="GO181" s="58" t="s">
        <v>478</v>
      </c>
      <c r="GP181" s="58" t="s">
        <v>478</v>
      </c>
      <c r="GQ181" s="58" t="s">
        <v>478</v>
      </c>
      <c r="GS181" s="57" t="s">
        <v>553</v>
      </c>
      <c r="GT181" s="57" t="s">
        <v>428</v>
      </c>
      <c r="GU181" s="57" t="s">
        <v>429</v>
      </c>
      <c r="GV181" s="632" t="s">
        <v>430</v>
      </c>
      <c r="GW181" s="57">
        <v>1963</v>
      </c>
      <c r="GX181" s="57" t="s">
        <v>431</v>
      </c>
      <c r="GY181" s="57" t="s">
        <v>588</v>
      </c>
      <c r="GZ181" s="57" t="s">
        <v>478</v>
      </c>
    </row>
    <row r="182" spans="1:208" ht="15.6" x14ac:dyDescent="0.3">
      <c r="A182" s="60" t="s">
        <v>33</v>
      </c>
      <c r="B182" s="218"/>
      <c r="C182" s="61" t="str">
        <f>C181</f>
        <v>Bermuda</v>
      </c>
      <c r="D182" s="61"/>
      <c r="E182" s="61"/>
      <c r="F182" s="61"/>
      <c r="G182" s="54"/>
      <c r="H182" s="204">
        <f>IF(StH=0,0,TBFavrundet)</f>
        <v>115.5</v>
      </c>
      <c r="I182" s="63">
        <f>COUNTA(O182:AG182)</f>
        <v>2</v>
      </c>
      <c r="J182" s="222">
        <f>SUM(O182:AG182)</f>
        <v>27</v>
      </c>
      <c r="K182" s="116">
        <f>Seilareal/Depl^0.667/K$7</f>
        <v>1.2900296788487213</v>
      </c>
      <c r="L182" s="116">
        <f>Seilareal/Lwl/Lwl/L$7</f>
        <v>1.1379894534995205</v>
      </c>
      <c r="M182" s="92">
        <f>RiggF</f>
        <v>0.96851851851851845</v>
      </c>
      <c r="N182" s="242">
        <f>StHfaktor</f>
        <v>1.0685777208211982</v>
      </c>
      <c r="O182" s="143"/>
      <c r="P182" s="146"/>
      <c r="Q182" s="146">
        <f t="shared" ref="Q182:Q183" si="1622">Q181</f>
        <v>10</v>
      </c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6">
        <f t="shared" ref="AE182" si="1623">AE181</f>
        <v>17</v>
      </c>
      <c r="AF182" s="143"/>
      <c r="AG182" s="551"/>
      <c r="AH182" s="557">
        <f t="shared" ref="AH182:AI182" si="1624">AH181</f>
        <v>10.199999999999999</v>
      </c>
      <c r="AI182" s="557">
        <f t="shared" si="1624"/>
        <v>10.199999999999999</v>
      </c>
      <c r="AJ182" s="337">
        <f t="shared" ref="AJ182:AL183" si="1625" xml:space="preserve"> AJ181</f>
        <v>0</v>
      </c>
      <c r="AK182" s="339"/>
      <c r="AL182" s="337">
        <f t="shared" si="1625"/>
        <v>0</v>
      </c>
      <c r="AM182" s="339"/>
      <c r="AN182" s="267" t="str">
        <f t="shared" ref="AN182:AN183" si="1626" xml:space="preserve"> AN181</f>
        <v>Meter</v>
      </c>
      <c r="AO182" s="45">
        <f>VLOOKUP(AN182,Skrogform!$1:$1048576,3,FALSE)</f>
        <v>1</v>
      </c>
      <c r="AP182" s="64">
        <f t="shared" ref="AP182:AZ182" si="1627">AP181</f>
        <v>8.5</v>
      </c>
      <c r="AQ182" s="64">
        <f t="shared" si="1627"/>
        <v>6</v>
      </c>
      <c r="AR182" s="64">
        <f t="shared" si="1627"/>
        <v>2.2999999999999998</v>
      </c>
      <c r="AS182" s="64">
        <f t="shared" si="1627"/>
        <v>1.3</v>
      </c>
      <c r="AT182" s="64">
        <f t="shared" ref="AT182" si="1628">AT181</f>
        <v>2.7</v>
      </c>
      <c r="AU182" s="64">
        <f t="shared" si="1627"/>
        <v>2.7</v>
      </c>
      <c r="AV182" s="64">
        <f t="shared" si="1627"/>
        <v>1</v>
      </c>
      <c r="AW182" s="64">
        <f t="shared" si="1627"/>
        <v>0</v>
      </c>
      <c r="AX182" s="256">
        <f>AX181</f>
        <v>0</v>
      </c>
      <c r="AY182" s="256">
        <f t="shared" si="1627"/>
        <v>20</v>
      </c>
      <c r="AZ182" s="256">
        <f t="shared" si="1627"/>
        <v>140</v>
      </c>
      <c r="BA182" s="256">
        <f t="shared" ref="BA182:BB182" si="1629">BA181</f>
        <v>0</v>
      </c>
      <c r="BB182" s="256">
        <f t="shared" si="1629"/>
        <v>0</v>
      </c>
      <c r="BC182" s="256"/>
      <c r="BD182" s="66"/>
      <c r="BE182" s="66"/>
      <c r="BF182" s="261"/>
      <c r="BG182" s="66"/>
      <c r="BH182" s="175"/>
      <c r="BI182" s="66"/>
      <c r="BJ182" s="66"/>
      <c r="BK182" s="65" t="str">
        <f t="shared" ref="BK182:BM182" si="1630" xml:space="preserve"> BK181</f>
        <v>Seilrett</v>
      </c>
      <c r="BL182" s="267">
        <f t="shared" si="1630"/>
        <v>3</v>
      </c>
      <c r="BM182" s="267">
        <f t="shared" si="1630"/>
        <v>30</v>
      </c>
      <c r="BN182" s="45">
        <f t="shared" si="1197"/>
        <v>1</v>
      </c>
      <c r="BO182" s="59">
        <f>BO181</f>
        <v>0</v>
      </c>
      <c r="BP182" s="59"/>
      <c r="BR182" s="49">
        <f t="shared" ref="BR182:BX183" si="1631">IF(O182=0,0,O182*BR$9)</f>
        <v>0</v>
      </c>
      <c r="BS182" s="49">
        <f t="shared" si="1631"/>
        <v>0</v>
      </c>
      <c r="BT182" s="49">
        <f t="shared" si="1631"/>
        <v>10</v>
      </c>
      <c r="BU182" s="49">
        <f t="shared" si="1631"/>
        <v>0</v>
      </c>
      <c r="BV182" s="49">
        <f t="shared" si="1631"/>
        <v>0</v>
      </c>
      <c r="BW182" s="49">
        <f t="shared" si="1631"/>
        <v>0</v>
      </c>
      <c r="BX182" s="49">
        <f t="shared" si="1631"/>
        <v>0</v>
      </c>
      <c r="BY182" s="549">
        <f>IF(COUNT(Q182:U182)&gt;1,MINA(Q182:U182)*BY$9,0)</f>
        <v>0</v>
      </c>
      <c r="BZ182" s="85">
        <f t="shared" ref="BZ182:CD183" si="1632">IF(V182=0,0,V182*BZ$9)</f>
        <v>0</v>
      </c>
      <c r="CA182" s="85">
        <f t="shared" si="1632"/>
        <v>0</v>
      </c>
      <c r="CB182" s="85">
        <f t="shared" si="1632"/>
        <v>0</v>
      </c>
      <c r="CC182" s="85">
        <f t="shared" si="1632"/>
        <v>0</v>
      </c>
      <c r="CD182" s="85">
        <f t="shared" si="1632"/>
        <v>0</v>
      </c>
      <c r="CE182" s="85">
        <f>IF(AC182=0,0,AC182*CE$9)</f>
        <v>0</v>
      </c>
      <c r="CF182" s="85">
        <f>IF(AA182=0,0,AA182*CF$9)</f>
        <v>0</v>
      </c>
      <c r="CG182" s="85">
        <f>IF(AB182=0,0,AB182*CG$9)</f>
        <v>0</v>
      </c>
      <c r="CH182" s="85">
        <f t="shared" ref="CH182:CK183" si="1633">IF(AD182=0,0,AD182*CH$9)</f>
        <v>0</v>
      </c>
      <c r="CI182" s="85">
        <f t="shared" si="1633"/>
        <v>16.149999999999999</v>
      </c>
      <c r="CJ182" s="85">
        <f t="shared" si="1633"/>
        <v>0</v>
      </c>
      <c r="CK182" s="85">
        <f t="shared" si="1633"/>
        <v>0</v>
      </c>
      <c r="CL182" s="100">
        <f>SUM(BR182:CK182)</f>
        <v>26.15</v>
      </c>
      <c r="CM182" s="50"/>
      <c r="CN182" s="104">
        <f>J182</f>
        <v>27</v>
      </c>
      <c r="CO182" s="101">
        <f>CL182/CN182</f>
        <v>0.96851851851851845</v>
      </c>
      <c r="CP182" s="51">
        <f>Seilareal/Lwl/Lwl</f>
        <v>0.75</v>
      </c>
      <c r="CQ182" s="116">
        <f>Seilareal/Depl^0.667/K$7</f>
        <v>1.2900296788487213</v>
      </c>
      <c r="CR182" s="51">
        <f>Seilareal/Lwl/Lwl/SApRS1</f>
        <v>1.1379894534995205</v>
      </c>
      <c r="CS182" s="204"/>
      <c r="CT182" s="204">
        <f>(ROUND(TBF/CT$6,3)*CT$6)*CT$4</f>
        <v>115.5</v>
      </c>
      <c r="CU182" s="107">
        <f>IF(SeilBeregnet=0,"-",CU$7*(SaDeplf+LBf)*Lf*Skrogfaktor*PropF*(Mast+1)+ErfaringsF)</f>
        <v>1.1540293049241059</v>
      </c>
      <c r="CV182" s="62">
        <f t="shared" si="523"/>
        <v>3.8318570212906478</v>
      </c>
      <c r="CW182" s="62">
        <f t="shared" si="84"/>
        <v>1.7754362599213407</v>
      </c>
      <c r="CX182" s="62">
        <f t="shared" si="524"/>
        <v>1.5650845800732873</v>
      </c>
      <c r="CY182" s="107">
        <f t="shared" si="85"/>
        <v>1.0685777208211982</v>
      </c>
      <c r="CZ182" s="168" t="str">
        <f t="shared" si="1450"/>
        <v>-</v>
      </c>
      <c r="DA182" s="159">
        <f>DA181</f>
        <v>0</v>
      </c>
      <c r="DB182" s="168">
        <f t="shared" si="1451"/>
        <v>1.0971929824561404</v>
      </c>
      <c r="DC182" s="159">
        <f>DC181</f>
        <v>1.18</v>
      </c>
      <c r="DD182" s="190" t="s">
        <v>134</v>
      </c>
      <c r="DE182" s="62" t="s">
        <v>102</v>
      </c>
      <c r="DF182" s="62" t="s">
        <v>102</v>
      </c>
      <c r="DG182" s="62" t="s">
        <v>102</v>
      </c>
      <c r="DH182" s="150" t="s">
        <v>102</v>
      </c>
      <c r="DI182" s="62">
        <f t="shared" si="1374"/>
        <v>2.2374785480253223</v>
      </c>
      <c r="DJ182" s="47">
        <f t="shared" si="1375"/>
        <v>13.978494623655912</v>
      </c>
      <c r="DK182" s="48">
        <f t="shared" si="1428"/>
        <v>0</v>
      </c>
      <c r="DM182" s="107">
        <f t="shared" si="1536"/>
        <v>1.0858073278945501</v>
      </c>
      <c r="DN182" s="141" t="str">
        <f t="shared" si="1553"/>
        <v>-</v>
      </c>
      <c r="DO182" s="107">
        <f t="shared" si="1430"/>
        <v>5.5949121346636623</v>
      </c>
      <c r="DP182" s="133">
        <f>IF(SeilBeregnet=0,DP181,(SeilBeregnet^0.5/(Depl^0.3333))^DP$3*DP$7)</f>
        <v>3.6725042242780845</v>
      </c>
      <c r="DQ182" s="133">
        <f>IF(SeilBeregnet=0,DQ181,(SeilBeregnet^0.5/Lwl)^DQ$3*DQ$7)</f>
        <v>0</v>
      </c>
      <c r="DR182" s="133">
        <f>IF(SeilBeregnet=0,DR181,(0.1*Loa/Depl^0.3333)^DR$3*DR$7)</f>
        <v>0</v>
      </c>
      <c r="DS182" s="133">
        <f>IF(SeilBeregnet=0,DS181,((Loa)/Bredde)^DS$3*DS$7)</f>
        <v>1.9224079103855778</v>
      </c>
      <c r="DT182" s="107">
        <f>IF(SeilBeregnet=0,DT181,(Lwl)^DT$3)</f>
        <v>1.5650845800732873</v>
      </c>
      <c r="DU182" s="133">
        <f>IF(SeilBeregnet=0,DU181,(Dypg/Loa)^DU$3*5*DU$7)</f>
        <v>1.9553847221876073</v>
      </c>
      <c r="DW182" s="107">
        <f t="shared" si="1241"/>
        <v>1.1540293049241062</v>
      </c>
      <c r="DX182" s="107">
        <f t="shared" si="1376"/>
        <v>1.0635713329827714</v>
      </c>
      <c r="DZ182" s="107">
        <f t="shared" si="1377"/>
        <v>1.0591108177511144</v>
      </c>
      <c r="EA182" s="122" t="str">
        <f t="shared" si="1554"/>
        <v>-</v>
      </c>
      <c r="EB182" s="107">
        <f t="shared" si="1432"/>
        <v>1.1019322024853955</v>
      </c>
      <c r="EC182" s="122" t="str">
        <f t="shared" si="1555"/>
        <v>-</v>
      </c>
      <c r="ED182" s="107">
        <f>IF(SeilBeregnet=0,ED181,SeilBeregnet^0.5/Depl^0.33333)</f>
        <v>3.6723947942685014</v>
      </c>
      <c r="EE182" s="107">
        <f>IF(SeilBeregnet=0,EE181,Lwl^0.3333)</f>
        <v>1.8170120679720481</v>
      </c>
      <c r="EF182" s="107">
        <f>IF(SeilBeregnet=0,EF181,((Loa+Lwl)/Bredde)^EF$3)</f>
        <v>1.5845649364761685</v>
      </c>
      <c r="EH182" s="107">
        <f t="shared" si="1434"/>
        <v>1.1036855800220911</v>
      </c>
      <c r="EJ182" s="107">
        <f>IF(SeilBeregnet=0,EJ181,SeilBeregnet^0.5/Depl^0.33333)</f>
        <v>3.6723947942685014</v>
      </c>
      <c r="EK182" s="107">
        <f>IF(SeilBeregnet=0,EK181,Lwl^EK$3)</f>
        <v>1.8171097400544527</v>
      </c>
      <c r="EL182" s="107">
        <f>IF(SeilBeregnet=0,EL181,((Loa+Lwl)/Bredde)^EL$3)</f>
        <v>1.8472261475253902</v>
      </c>
      <c r="EM182" s="107">
        <f t="shared" si="1435"/>
        <v>1.0907541792983635</v>
      </c>
      <c r="EO182" s="107">
        <f>IF(SeilBeregnet=0,EO181,(EP182*EQ182)^EO$3)</f>
        <v>5.8191480238954796</v>
      </c>
      <c r="EP182" s="107">
        <f>IF(SeilBeregnet=0,EP181,SeilBeregnet^0.5/Depl^0.33333)</f>
        <v>3.6723947942685014</v>
      </c>
      <c r="EQ182" s="107">
        <f>IF(SeilBeregnet=0,EQ181,((Loa+Lwl)/Bredde)^EQ$3)</f>
        <v>1.5845649364761685</v>
      </c>
      <c r="ER182" s="107">
        <f>IF(SeilBeregnet=0,ER181,Lwl^ER$3)</f>
        <v>1.5650845800732873</v>
      </c>
      <c r="ES182" s="107">
        <f t="shared" si="1537"/>
        <v>1.1076939790381002</v>
      </c>
      <c r="EU182" s="107">
        <f>IF(SeilBeregnet=0,EU181,(EV:EV*EW:EW)^EU$3)</f>
        <v>1.9282387047397269</v>
      </c>
      <c r="EV182" s="107">
        <f>IF(SeilBeregnet=0,EV181,SeilBeregnet^0.5/Depl^0.33333)</f>
        <v>3.6723947942685014</v>
      </c>
      <c r="EW182" s="107">
        <f>IF(SeilBeregnet=0,EW181,((Loa+Lwl)/Bredde/6)^EW$3)</f>
        <v>1.0124468393918806</v>
      </c>
      <c r="EX182" s="107">
        <f>IF(SeilBeregnet=0,EX181,(Lwl*0.7+Loa*0.3)^EX$3)</f>
        <v>1.6118548977353129</v>
      </c>
      <c r="EY182" s="107">
        <f t="shared" si="1538"/>
        <v>1.0450989934315627</v>
      </c>
      <c r="FA182" s="107">
        <f t="shared" si="1539"/>
        <v>1.9282674333514209</v>
      </c>
      <c r="FB182" s="107">
        <f>IF(SeilBeregnet=0,FB181,SeilBeregnet^0.5/Depl^0.3333)</f>
        <v>3.6725042242780845</v>
      </c>
      <c r="FC182" s="107">
        <f>IF(SeilBeregnet=0,FC181,((Loa+Lwl)/Bredde/6)^FC$3)</f>
        <v>1.0124468393918806</v>
      </c>
      <c r="FD182" s="107">
        <f>IF(SeilBeregnet=0,FD181,(Lwl*0.7+Loa*0.3)^FD$3)</f>
        <v>1.6118548977353129</v>
      </c>
      <c r="FE182" s="107">
        <f t="shared" si="1540"/>
        <v>1.0972523738893525</v>
      </c>
      <c r="FF182" s="141" t="str">
        <f t="shared" si="1556"/>
        <v>-</v>
      </c>
      <c r="FG182" s="107">
        <f t="shared" si="1541"/>
        <v>3.7644953231190468</v>
      </c>
      <c r="FH182" s="133">
        <f>IF(SeilBeregnet=0,FH181,(SeilBeregnet^0.5/(Depl^0.3333))^FH$3)</f>
        <v>3.6725042242780845</v>
      </c>
      <c r="FI182" s="133">
        <f>IF(SeilBeregnet=0,FI181,((Loa+Lwl)/Bredde/6)^FI$3)</f>
        <v>1.0250486025946084</v>
      </c>
      <c r="FJ182" s="107">
        <f>IF(SeilBeregnet=0,FJ181,(Lwl*0.07+Loa*0.03)^FJ$3)</f>
        <v>0.90641261920703042</v>
      </c>
      <c r="FK182" s="107">
        <f t="shared" si="1542"/>
        <v>1.1076360261411591</v>
      </c>
      <c r="FL182" s="141" t="str">
        <f t="shared" si="1557"/>
        <v>-</v>
      </c>
      <c r="FM182" s="107">
        <f t="shared" si="1543"/>
        <v>5.9471966463667023</v>
      </c>
      <c r="FN182" s="133">
        <f>IF(SeilBeregnet=0,FN181,(SeilBeregnet^0.5/(Depl^0.3333))^FN$3)</f>
        <v>3.6725042242780845</v>
      </c>
      <c r="FO182" s="133">
        <f>IF(SeilBeregnet=0,FO181,(SeilBeregnet^0.5/Lwl*FO$7)^FO$3)</f>
        <v>0.85228451170303965</v>
      </c>
      <c r="FP182" s="133">
        <f>IF(SeilBeregnet=0,FP181,((Loa)/Bredde)^FP$3*FP$7)</f>
        <v>1.9224079103855778</v>
      </c>
      <c r="FQ182" s="107">
        <f>IF(SeilBeregnet=0,FQ181,(Lwl)^FQ$3)</f>
        <v>1.5650845800732873</v>
      </c>
      <c r="FR182" s="107">
        <f t="shared" si="1544"/>
        <v>1.1078345947912067</v>
      </c>
      <c r="FS182" s="141" t="str">
        <f t="shared" si="1558"/>
        <v>-</v>
      </c>
      <c r="FT182" s="107">
        <f t="shared" si="1545"/>
        <v>7.0600511716766396</v>
      </c>
      <c r="FU182" s="133">
        <f>IF(SeilBeregnet=0,FU181,(SeilBeregnet^0.5/(Depl^0.3333))^FU$3)</f>
        <v>3.6725042242780845</v>
      </c>
      <c r="FV182" s="133">
        <f>IF(SeilBeregnet=0,FV181,(Loa/Bredde)^FV$3)</f>
        <v>1.9224079103855778</v>
      </c>
      <c r="FW182" s="107">
        <f>IF(SeilBeregnet=0,FW181,Lwl^FW$3)</f>
        <v>1.5650845800732873</v>
      </c>
      <c r="FY182" s="336">
        <v>1</v>
      </c>
      <c r="FZ182" s="62">
        <f t="shared" si="1452"/>
        <v>1.1052212669851866</v>
      </c>
      <c r="GA182" s="62">
        <f t="shared" si="1378"/>
        <v>1.9553847221876073</v>
      </c>
      <c r="GB182" s="107">
        <f t="shared" si="525"/>
        <v>1.6237317354720753</v>
      </c>
      <c r="GC182" s="440"/>
      <c r="GD182" s="17"/>
      <c r="GE182" s="442"/>
      <c r="GF182" s="462"/>
      <c r="GG182" s="17"/>
      <c r="GH182" s="17"/>
      <c r="GI182" s="17"/>
      <c r="GJ182" s="17"/>
      <c r="GL182" s="17"/>
      <c r="GM182" s="442"/>
      <c r="GN182" s="8"/>
      <c r="GO182" s="8"/>
      <c r="GP182" s="8"/>
      <c r="GQ182" s="8"/>
      <c r="GS182" s="17"/>
      <c r="GT182" s="17"/>
      <c r="GU182" s="17"/>
      <c r="GV182" s="629"/>
      <c r="GW182" s="17"/>
      <c r="GX182" s="17"/>
      <c r="GY182" s="17"/>
      <c r="GZ182" s="17"/>
    </row>
    <row r="183" spans="1:208" ht="15.6" x14ac:dyDescent="0.3">
      <c r="A183" s="60" t="s">
        <v>35</v>
      </c>
      <c r="B183" s="218"/>
      <c r="C183" s="61" t="str">
        <f>C182</f>
        <v>Bermuda</v>
      </c>
      <c r="D183" s="61"/>
      <c r="E183" s="61"/>
      <c r="F183" s="61"/>
      <c r="G183" s="54"/>
      <c r="H183" s="204">
        <f>IF(StH=0,0,TBFavrundet)</f>
        <v>111.00000000000001</v>
      </c>
      <c r="I183" s="63">
        <f>COUNTA(O183:AG183)</f>
        <v>2</v>
      </c>
      <c r="J183" s="222">
        <f>SUM(O183:AG183)</f>
        <v>24.2</v>
      </c>
      <c r="K183" s="116">
        <f>Seilareal/Depl^0.667/K$7</f>
        <v>1.1562488232644095</v>
      </c>
      <c r="L183" s="116">
        <f>Seilareal/Lwl/Lwl/L$7</f>
        <v>1.0199757323958665</v>
      </c>
      <c r="M183" s="92">
        <f>RiggF</f>
        <v>0.95892561983471081</v>
      </c>
      <c r="N183" s="242">
        <f>StHfaktor</f>
        <v>1.0685777208211982</v>
      </c>
      <c r="O183" s="143"/>
      <c r="P183" s="146"/>
      <c r="Q183" s="146">
        <f t="shared" si="1622"/>
        <v>10</v>
      </c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65">
        <v>14.2</v>
      </c>
      <c r="AG183" s="551"/>
      <c r="AH183" s="557">
        <f t="shared" ref="AH183:AI183" si="1634">AH182</f>
        <v>10.199999999999999</v>
      </c>
      <c r="AI183" s="557">
        <f t="shared" si="1634"/>
        <v>10.199999999999999</v>
      </c>
      <c r="AJ183" s="337">
        <f t="shared" si="1625"/>
        <v>0</v>
      </c>
      <c r="AK183" s="339"/>
      <c r="AL183" s="337">
        <f t="shared" si="1625"/>
        <v>0</v>
      </c>
      <c r="AM183" s="339"/>
      <c r="AN183" s="267" t="str">
        <f t="shared" si="1626"/>
        <v>Meter</v>
      </c>
      <c r="AO183" s="45">
        <f>VLOOKUP(AN183,Skrogform!$1:$1048576,3,FALSE)</f>
        <v>1</v>
      </c>
      <c r="AP183" s="64">
        <f t="shared" ref="AP183:AZ183" si="1635">AP182</f>
        <v>8.5</v>
      </c>
      <c r="AQ183" s="64">
        <f t="shared" si="1635"/>
        <v>6</v>
      </c>
      <c r="AR183" s="64">
        <f t="shared" si="1635"/>
        <v>2.2999999999999998</v>
      </c>
      <c r="AS183" s="64">
        <f t="shared" si="1635"/>
        <v>1.3</v>
      </c>
      <c r="AT183" s="64">
        <f t="shared" ref="AT183" si="1636">AT182</f>
        <v>2.7</v>
      </c>
      <c r="AU183" s="64">
        <f t="shared" si="1635"/>
        <v>2.7</v>
      </c>
      <c r="AV183" s="64">
        <f t="shared" si="1635"/>
        <v>1</v>
      </c>
      <c r="AW183" s="64">
        <f t="shared" si="1635"/>
        <v>0</v>
      </c>
      <c r="AX183" s="256">
        <f>AX182</f>
        <v>0</v>
      </c>
      <c r="AY183" s="256">
        <f t="shared" si="1635"/>
        <v>20</v>
      </c>
      <c r="AZ183" s="256">
        <f t="shared" si="1635"/>
        <v>140</v>
      </c>
      <c r="BA183" s="256">
        <f t="shared" ref="BA183:BB183" si="1637">BA182</f>
        <v>0</v>
      </c>
      <c r="BB183" s="256">
        <f t="shared" si="1637"/>
        <v>0</v>
      </c>
      <c r="BC183" s="256"/>
      <c r="BD183" s="66"/>
      <c r="BE183" s="66"/>
      <c r="BF183" s="261"/>
      <c r="BG183" s="66"/>
      <c r="BH183" s="175"/>
      <c r="BI183" s="66"/>
      <c r="BJ183" s="66"/>
      <c r="BK183" s="65" t="str">
        <f t="shared" ref="BK183:BM183" si="1638" xml:space="preserve"> BK182</f>
        <v>Seilrett</v>
      </c>
      <c r="BL183" s="267">
        <f t="shared" si="1638"/>
        <v>3</v>
      </c>
      <c r="BM183" s="267">
        <f t="shared" si="1638"/>
        <v>30</v>
      </c>
      <c r="BN183" s="45">
        <f t="shared" si="1197"/>
        <v>1</v>
      </c>
      <c r="BO183" s="59">
        <f>BO182</f>
        <v>0</v>
      </c>
      <c r="BP183" s="59"/>
      <c r="BR183" s="49">
        <f t="shared" si="1631"/>
        <v>0</v>
      </c>
      <c r="BS183" s="49">
        <f t="shared" si="1631"/>
        <v>0</v>
      </c>
      <c r="BT183" s="49">
        <f t="shared" si="1631"/>
        <v>10</v>
      </c>
      <c r="BU183" s="49">
        <f t="shared" si="1631"/>
        <v>0</v>
      </c>
      <c r="BV183" s="49">
        <f t="shared" si="1631"/>
        <v>0</v>
      </c>
      <c r="BW183" s="49">
        <f t="shared" si="1631"/>
        <v>0</v>
      </c>
      <c r="BX183" s="49">
        <f t="shared" si="1631"/>
        <v>0</v>
      </c>
      <c r="BY183" s="549">
        <f>IF(COUNT(Q183:U183)&gt;1,MINA(Q183:U183)*BY$9,0)</f>
        <v>0</v>
      </c>
      <c r="BZ183" s="85">
        <f t="shared" si="1632"/>
        <v>0</v>
      </c>
      <c r="CA183" s="85">
        <f t="shared" si="1632"/>
        <v>0</v>
      </c>
      <c r="CB183" s="85">
        <f t="shared" si="1632"/>
        <v>0</v>
      </c>
      <c r="CC183" s="85">
        <f t="shared" si="1632"/>
        <v>0</v>
      </c>
      <c r="CD183" s="85">
        <f t="shared" si="1632"/>
        <v>0</v>
      </c>
      <c r="CE183" s="85">
        <f>IF(AC183=0,0,AC183*CE$9)</f>
        <v>0</v>
      </c>
      <c r="CF183" s="85">
        <f>IF(AA183=0,0,AA183*CF$9)</f>
        <v>0</v>
      </c>
      <c r="CG183" s="85">
        <f>IF(AB183=0,0,AB183*CG$9)</f>
        <v>0</v>
      </c>
      <c r="CH183" s="85">
        <f t="shared" si="1633"/>
        <v>0</v>
      </c>
      <c r="CI183" s="85">
        <f t="shared" si="1633"/>
        <v>0</v>
      </c>
      <c r="CJ183" s="85">
        <f t="shared" si="1633"/>
        <v>13.206</v>
      </c>
      <c r="CK183" s="85">
        <f t="shared" si="1633"/>
        <v>0</v>
      </c>
      <c r="CL183" s="100">
        <f>SUM(BR183:CK183)</f>
        <v>23.206</v>
      </c>
      <c r="CM183" s="50"/>
      <c r="CN183" s="104">
        <f>J183</f>
        <v>24.2</v>
      </c>
      <c r="CO183" s="101">
        <f>CL183/CN183</f>
        <v>0.95892561983471081</v>
      </c>
      <c r="CP183" s="51">
        <f>Seilareal/Lwl/Lwl</f>
        <v>0.67222222222222217</v>
      </c>
      <c r="CQ183" s="116">
        <f>Seilareal/Depl^0.667/K$7</f>
        <v>1.1562488232644095</v>
      </c>
      <c r="CR183" s="51">
        <f>Seilareal/Lwl/Lwl/SApRS1</f>
        <v>1.0199757323958665</v>
      </c>
      <c r="CS183" s="204"/>
      <c r="CT183" s="204">
        <f>(ROUND(TBF/CT$6,3)*CT$6)*CT$4</f>
        <v>111.00000000000001</v>
      </c>
      <c r="CU183" s="107">
        <f t="shared" si="83"/>
        <v>1.108311723104461</v>
      </c>
      <c r="CV183" s="62">
        <f t="shared" si="523"/>
        <v>3.6097206437508982</v>
      </c>
      <c r="CW183" s="62">
        <f t="shared" si="84"/>
        <v>1.7754362599213407</v>
      </c>
      <c r="CX183" s="62">
        <f t="shared" si="524"/>
        <v>1.5650845800732873</v>
      </c>
      <c r="CY183" s="107">
        <f t="shared" si="85"/>
        <v>1.0685777208211982</v>
      </c>
      <c r="CZ183" s="168" t="str">
        <f t="shared" si="1450"/>
        <v>-</v>
      </c>
      <c r="DA183" s="158"/>
      <c r="DB183" s="168" t="str">
        <f t="shared" si="1451"/>
        <v>-</v>
      </c>
      <c r="DC183" s="160"/>
      <c r="DD183" s="190" t="s">
        <v>134</v>
      </c>
      <c r="DE183" s="62" t="s">
        <v>102</v>
      </c>
      <c r="DF183" s="62" t="s">
        <v>102</v>
      </c>
      <c r="DG183" s="62" t="s">
        <v>102</v>
      </c>
      <c r="DH183" s="150" t="s">
        <v>102</v>
      </c>
      <c r="DI183" s="62">
        <f t="shared" si="1374"/>
        <v>2.2374785480253223</v>
      </c>
      <c r="DJ183" s="47">
        <f t="shared" si="1375"/>
        <v>13.978494623655912</v>
      </c>
      <c r="DK183" s="48">
        <f t="shared" si="1428"/>
        <v>0</v>
      </c>
      <c r="DM183" s="107">
        <f t="shared" si="1536"/>
        <v>1.0444900033667615</v>
      </c>
      <c r="DN183" s="141" t="str">
        <f t="shared" si="1553"/>
        <v>-</v>
      </c>
      <c r="DO183" s="107">
        <f t="shared" si="1430"/>
        <v>5.3820135895593406</v>
      </c>
      <c r="DP183" s="133">
        <f>IF(SeilBeregnet=0,DP182,(SeilBeregnet^0.5/(Depl^0.3333))^DP$3*DP$7)</f>
        <v>3.4596056791737624</v>
      </c>
      <c r="DQ183" s="133">
        <f>IF(SeilBeregnet=0,DQ182,(SeilBeregnet^0.5/Lwl)^DQ$3*DQ$7)</f>
        <v>0</v>
      </c>
      <c r="DR183" s="133">
        <f>IF(SeilBeregnet=0,DR182,(0.1*Loa/Depl^0.3333)^DR$3*DR$7)</f>
        <v>0</v>
      </c>
      <c r="DS183" s="133">
        <f>IF(SeilBeregnet=0,DS182,((Loa)/Bredde)^DS$3*DS$7)</f>
        <v>1.9224079103855778</v>
      </c>
      <c r="DT183" s="107">
        <f>IF(SeilBeregnet=0,DT182,(Lwl)^DT$3)</f>
        <v>1.5650845800732873</v>
      </c>
      <c r="DU183" s="133">
        <f>IF(SeilBeregnet=0,DU182,(Dypg/Loa)^DU$3*5*DU$7)</f>
        <v>1.9553847221876073</v>
      </c>
      <c r="DW183" s="107">
        <f t="shared" si="1241"/>
        <v>1.1083117231044608</v>
      </c>
      <c r="DX183" s="107">
        <f t="shared" si="1376"/>
        <v>1.0160752368554802</v>
      </c>
      <c r="DZ183" s="107">
        <f t="shared" si="1377"/>
        <v>1.0216860874291356</v>
      </c>
      <c r="EA183" s="122" t="str">
        <f t="shared" si="1554"/>
        <v>-</v>
      </c>
      <c r="EB183" s="107">
        <f t="shared" si="1432"/>
        <v>1.0542774156143342</v>
      </c>
      <c r="EC183" s="122" t="str">
        <f t="shared" si="1555"/>
        <v>-</v>
      </c>
      <c r="ED183" s="107">
        <f>IF(SeilBeregnet=0,ED182,SeilBeregnet^0.5/Depl^0.33333)</f>
        <v>3.4595025929253862</v>
      </c>
      <c r="EE183" s="107">
        <f>IF(SeilBeregnet=0,EE182,Lwl^0.3333)</f>
        <v>1.8170120679720481</v>
      </c>
      <c r="EF183" s="107">
        <f>IF(SeilBeregnet=0,EF182,((Loa+Lwl)/Bredde)^EF$3)</f>
        <v>1.5845649364761685</v>
      </c>
      <c r="EH183" s="107">
        <f t="shared" si="1434"/>
        <v>1.0606508042101592</v>
      </c>
      <c r="EJ183" s="107">
        <f>IF(SeilBeregnet=0,EJ182,SeilBeregnet^0.5/Depl^0.33333)</f>
        <v>3.4595025929253862</v>
      </c>
      <c r="EK183" s="107">
        <f>IF(SeilBeregnet=0,EK182,Lwl^EK$3)</f>
        <v>1.8171097400544527</v>
      </c>
      <c r="EL183" s="107">
        <f>IF(SeilBeregnet=0,EL182,((Loa+Lwl)/Bredde)^EL$3)</f>
        <v>1.8472261475253902</v>
      </c>
      <c r="EM183" s="107">
        <f t="shared" si="1435"/>
        <v>1.0436957697457121</v>
      </c>
      <c r="EO183" s="107">
        <f>IF(SeilBeregnet=0,EO182,(EP183*EQ183)^EO$3)</f>
        <v>5.4818065063979544</v>
      </c>
      <c r="EP183" s="107">
        <f>IF(SeilBeregnet=0,EP182,SeilBeregnet^0.5/Depl^0.33333)</f>
        <v>3.4595025929253862</v>
      </c>
      <c r="EQ183" s="107">
        <f>IF(SeilBeregnet=0,EQ182,((Loa+Lwl)/Bredde)^EQ$3)</f>
        <v>1.5845649364761685</v>
      </c>
      <c r="ER183" s="107">
        <f>IF(SeilBeregnet=0,ER182,Lwl^ER$3)</f>
        <v>1.5650845800732873</v>
      </c>
      <c r="ES183" s="107">
        <f t="shared" si="1537"/>
        <v>1.0636997498909069</v>
      </c>
      <c r="EU183" s="107">
        <f>IF(SeilBeregnet=0,EU182,(EV:EV*EW:EW)^EU$3)</f>
        <v>1.8715134159485267</v>
      </c>
      <c r="EV183" s="107">
        <f>IF(SeilBeregnet=0,EV182,SeilBeregnet^0.5/Depl^0.33333)</f>
        <v>3.4595025929253862</v>
      </c>
      <c r="EW183" s="107">
        <f>IF(SeilBeregnet=0,EW182,((Loa+Lwl)/Bredde/6)^EW$3)</f>
        <v>1.0124468393918806</v>
      </c>
      <c r="EX183" s="107">
        <f>IF(SeilBeregnet=0,EX182,(Lwl*0.7+Loa*0.3)^EX$3)</f>
        <v>1.6118548977353129</v>
      </c>
      <c r="EY183" s="107">
        <f t="shared" si="1538"/>
        <v>1.0143540747282531</v>
      </c>
      <c r="FA183" s="107">
        <f t="shared" si="1539"/>
        <v>1.8715412994165201</v>
      </c>
      <c r="FB183" s="107">
        <f>IF(SeilBeregnet=0,FB182,SeilBeregnet^0.5/Depl^0.3333)</f>
        <v>3.4596056791737624</v>
      </c>
      <c r="FC183" s="107">
        <f>IF(SeilBeregnet=0,FC182,((Loa+Lwl)/Bredde/6)^FC$3)</f>
        <v>1.0124468393918806</v>
      </c>
      <c r="FD183" s="107">
        <f>IF(SeilBeregnet=0,FD182,(Lwl*0.7+Loa*0.3)^FD$3)</f>
        <v>1.6118548977353129</v>
      </c>
      <c r="FE183" s="107">
        <f t="shared" si="1540"/>
        <v>1.0557127663132504</v>
      </c>
      <c r="FF183" s="141" t="str">
        <f t="shared" si="1556"/>
        <v>-</v>
      </c>
      <c r="FG183" s="107">
        <f t="shared" si="1541"/>
        <v>3.5462639669654363</v>
      </c>
      <c r="FH183" s="133">
        <f>IF(SeilBeregnet=0,FH182,(SeilBeregnet^0.5/(Depl^0.3333))^FH$3)</f>
        <v>3.4596056791737624</v>
      </c>
      <c r="FI183" s="133">
        <f>IF(SeilBeregnet=0,FI182,((Loa+Lwl)/Bredde/6)^FI$3)</f>
        <v>1.0250486025946084</v>
      </c>
      <c r="FJ183" s="107">
        <f>IF(SeilBeregnet=0,FJ182,(Lwl*0.07+Loa*0.03)^FJ$3)</f>
        <v>0.90641261920703042</v>
      </c>
      <c r="FK183" s="107">
        <f t="shared" si="1542"/>
        <v>1.0587827750806691</v>
      </c>
      <c r="FL183" s="141" t="str">
        <f t="shared" si="1557"/>
        <v>-</v>
      </c>
      <c r="FM183" s="107">
        <f t="shared" si="1543"/>
        <v>5.6848903616178621</v>
      </c>
      <c r="FN183" s="133">
        <f>IF(SeilBeregnet=0,FN182,(SeilBeregnet^0.5/(Depl^0.3333))^FN$3)</f>
        <v>3.4596056791737624</v>
      </c>
      <c r="FO183" s="133">
        <f>IF(SeilBeregnet=0,FO182,(SeilBeregnet^0.5/Lwl*FO$7)^FO$3)</f>
        <v>0.80287677205852148</v>
      </c>
      <c r="FP183" s="133">
        <f>IF(SeilBeregnet=0,FP182,((Loa)/Bredde)^FP$3*FP$7)</f>
        <v>1.9224079103855778</v>
      </c>
      <c r="FQ183" s="107">
        <f>IF(SeilBeregnet=0,FQ182,(Lwl)^FQ$3)</f>
        <v>1.5650845800732873</v>
      </c>
      <c r="FR183" s="107">
        <f t="shared" si="1544"/>
        <v>1.0668391101418186</v>
      </c>
      <c r="FS183" s="141" t="str">
        <f t="shared" si="1558"/>
        <v>-</v>
      </c>
      <c r="FT183" s="107">
        <f t="shared" si="1545"/>
        <v>6.6507733244585099</v>
      </c>
      <c r="FU183" s="133">
        <f>IF(SeilBeregnet=0,FU182,(SeilBeregnet^0.5/(Depl^0.3333))^FU$3)</f>
        <v>3.4596056791737624</v>
      </c>
      <c r="FV183" s="133">
        <f>IF(SeilBeregnet=0,FV182,(Loa/Bredde)^FV$3)</f>
        <v>1.9224079103855778</v>
      </c>
      <c r="FW183" s="107">
        <f>IF(SeilBeregnet=0,FW182,Lwl^FW$3)</f>
        <v>1.5650845800732873</v>
      </c>
      <c r="FY183" s="336">
        <v>1</v>
      </c>
      <c r="FZ183" s="62">
        <f t="shared" si="1452"/>
        <v>1.0740574593744936</v>
      </c>
      <c r="GA183" s="62">
        <f t="shared" si="1378"/>
        <v>1.9553847221876073</v>
      </c>
      <c r="GB183" s="107">
        <f t="shared" si="525"/>
        <v>1.5917286917537106</v>
      </c>
      <c r="GC183" s="440"/>
      <c r="GD183" s="17"/>
      <c r="GE183" s="442"/>
      <c r="GF183" s="462"/>
      <c r="GG183" s="17"/>
      <c r="GH183" s="17"/>
      <c r="GI183" s="17"/>
      <c r="GJ183" s="17"/>
      <c r="GL183" s="17"/>
      <c r="GM183" s="442"/>
      <c r="GN183" s="8"/>
      <c r="GO183" s="8"/>
      <c r="GP183" s="8"/>
      <c r="GQ183" s="8"/>
      <c r="GS183" s="17"/>
      <c r="GT183" s="17"/>
      <c r="GU183" s="17"/>
      <c r="GV183" s="629"/>
      <c r="GW183" s="17"/>
      <c r="GX183" s="17"/>
      <c r="GY183" s="17"/>
      <c r="GZ183" s="17"/>
    </row>
    <row r="184" spans="1:208" ht="15.6" x14ac:dyDescent="0.3">
      <c r="A184" s="52" t="s">
        <v>226</v>
      </c>
      <c r="B184" s="218">
        <f t="shared" ref="B184:B296" si="1639">Loa/0.3048</f>
        <v>69.717847769028864</v>
      </c>
      <c r="C184" s="53" t="s">
        <v>38</v>
      </c>
      <c r="D184" s="53"/>
      <c r="E184" s="53"/>
      <c r="F184" s="53"/>
      <c r="G184" s="54"/>
      <c r="H184" s="112">
        <f>J185</f>
        <v>183</v>
      </c>
      <c r="I184" s="601">
        <f>H185/100</f>
        <v>1.665</v>
      </c>
      <c r="J184" s="651">
        <f>IF(DC185=0,"-",DC185)</f>
        <v>1.66</v>
      </c>
      <c r="K184" s="123" t="str">
        <f>A184</f>
        <v>VEMA III</v>
      </c>
      <c r="L184" s="116"/>
      <c r="M184" s="116"/>
      <c r="N184" s="92"/>
      <c r="O184" s="165"/>
      <c r="P184" s="165"/>
      <c r="Q184" s="165">
        <v>90</v>
      </c>
      <c r="R184" s="165"/>
      <c r="S184" s="165"/>
      <c r="T184" s="165"/>
      <c r="U184" s="165">
        <v>43</v>
      </c>
      <c r="V184" s="559"/>
      <c r="W184" s="559"/>
      <c r="X184" s="165"/>
      <c r="Y184" s="165"/>
      <c r="Z184" s="165"/>
      <c r="AA184" s="165"/>
      <c r="AB184" s="165"/>
      <c r="AC184" s="165"/>
      <c r="AD184" s="165"/>
      <c r="AE184" s="165">
        <v>150</v>
      </c>
      <c r="AF184" s="165">
        <v>140</v>
      </c>
      <c r="AG184" s="552"/>
      <c r="AH184" s="241">
        <f>Loa*1.1</f>
        <v>23.375000000000004</v>
      </c>
      <c r="AI184" s="241">
        <f>Loa*1.1</f>
        <v>23.375000000000004</v>
      </c>
      <c r="AJ184" s="554"/>
      <c r="AK184" s="339"/>
      <c r="AL184" s="268"/>
      <c r="AM184" s="339"/>
      <c r="AN184" s="268" t="s">
        <v>214</v>
      </c>
      <c r="AO184" s="45">
        <f>VLOOKUP(AN184,Skrogform!$1:$1048576,3,FALSE)</f>
        <v>1</v>
      </c>
      <c r="AP184" s="55">
        <v>21.25</v>
      </c>
      <c r="AQ184" s="55">
        <v>13.92</v>
      </c>
      <c r="AR184" s="55">
        <v>3.58</v>
      </c>
      <c r="AS184" s="55">
        <v>2.9</v>
      </c>
      <c r="AT184" s="637">
        <f>AU184</f>
        <v>33</v>
      </c>
      <c r="AU184" s="55">
        <v>33</v>
      </c>
      <c r="AV184" s="55">
        <v>16</v>
      </c>
      <c r="AW184" s="55"/>
      <c r="AX184" s="253"/>
      <c r="AY184" s="253">
        <v>109</v>
      </c>
      <c r="AZ184" s="254">
        <f>AY184*7</f>
        <v>763</v>
      </c>
      <c r="BA184" s="253">
        <v>400</v>
      </c>
      <c r="BB184" s="253">
        <v>350</v>
      </c>
      <c r="BC184" s="244">
        <f>Depl+Diesel/1000*0.84+Vann/1000</f>
        <v>33.693999999999996</v>
      </c>
      <c r="BD184" s="95">
        <f>Bredde/(Loa+Lwl)*2</f>
        <v>0.2035825988058004</v>
      </c>
      <c r="BE184" s="95">
        <f>(Kjøl+Ballast)/Depl</f>
        <v>0.48484848484848486</v>
      </c>
      <c r="BF184" s="260">
        <f>BF$7*((Depl-Kjøl-Ballast-VektMotor/1000-VektAnnet/1000)/Lwl/Lwl/Bredde)</f>
        <v>0.88333190553564545</v>
      </c>
      <c r="BG184" s="95">
        <f>BG$7*(Depl/Loa/Lwl/Lwl)</f>
        <v>0.58978098989298455</v>
      </c>
      <c r="BH184" s="174">
        <f>BH$7*(Depl/Loa/Lwl/Bredde)</f>
        <v>0.84765531689462537</v>
      </c>
      <c r="BI184" s="95">
        <f>BI$7*Bredde/(Loa+Lwl)*2</f>
        <v>0.58075767164708436</v>
      </c>
      <c r="BJ184" s="95">
        <f>BJ$7*(Dypg/Lwl)</f>
        <v>1.1394927536231882</v>
      </c>
      <c r="BK184" s="56" t="s">
        <v>21</v>
      </c>
      <c r="BL184" s="268">
        <v>3</v>
      </c>
      <c r="BM184" s="268">
        <v>45</v>
      </c>
      <c r="BN184" s="45">
        <f>IF((BK184="Fast"),(1.006248-(0.06415*((BM184/100*SQRT(BL184))/POWER(AU184,(1/3))))),1)</f>
        <v>1</v>
      </c>
      <c r="BO184" s="59"/>
      <c r="BP184" s="59"/>
      <c r="BR184" s="209"/>
      <c r="BS184" s="209"/>
      <c r="BT184" s="209" t="str">
        <f>$A184</f>
        <v>VEMA III</v>
      </c>
      <c r="BU184" s="10"/>
      <c r="BV184" s="10"/>
      <c r="BW184" s="10"/>
      <c r="BX184" s="10"/>
      <c r="BY184" s="549"/>
      <c r="BZ184" s="10"/>
      <c r="CA184" s="10"/>
      <c r="CB184" s="209" t="str">
        <f>$A184</f>
        <v>VEMA III</v>
      </c>
      <c r="CC184" s="10"/>
      <c r="CD184" s="10"/>
      <c r="CE184" s="10"/>
      <c r="CF184" s="10"/>
      <c r="CG184" s="10"/>
      <c r="CH184" s="10"/>
      <c r="CI184" s="10">
        <f>IF(AE184=0,0,AE184*CI$9)</f>
        <v>142.5</v>
      </c>
      <c r="CJ184" s="10"/>
      <c r="CK184" s="10"/>
      <c r="CL184" s="209"/>
      <c r="CM184" s="10"/>
      <c r="CN184" s="209" t="str">
        <f>$A184</f>
        <v>VEMA III</v>
      </c>
      <c r="CO184" s="207"/>
      <c r="CP184" s="207"/>
      <c r="CQ184" s="116"/>
      <c r="CR184" s="207"/>
      <c r="CS184" s="203"/>
      <c r="CT184" s="203" t="s">
        <v>23</v>
      </c>
      <c r="CU184" s="107" t="str">
        <f t="shared" si="1267"/>
        <v>-</v>
      </c>
      <c r="CV184" s="62" t="str">
        <f t="shared" si="1297"/>
        <v>-</v>
      </c>
      <c r="CW184" s="62" t="str">
        <f t="shared" si="1268"/>
        <v>-</v>
      </c>
      <c r="CX184" s="62" t="str">
        <f t="shared" si="1298"/>
        <v>-</v>
      </c>
      <c r="CY184" s="107" t="str">
        <f t="shared" si="1269"/>
        <v>-</v>
      </c>
      <c r="CZ184" s="168" t="str">
        <f>IF(DA184=0,"-",IF(CP184="TBF","-",CZ$7*DA184))</f>
        <v>-</v>
      </c>
      <c r="DA184" s="158"/>
      <c r="DB184" s="168" t="str">
        <f>IF(DC184=0,"-",IF(CT184="TBF","-",DB$7*DC184))</f>
        <v>-</v>
      </c>
      <c r="DC184" s="160">
        <v>1.66</v>
      </c>
      <c r="DD184" s="190" t="s">
        <v>134</v>
      </c>
      <c r="DE184" s="29" t="s">
        <v>23</v>
      </c>
      <c r="DF184" s="29" t="s">
        <v>23</v>
      </c>
      <c r="DG184" s="29" t="s">
        <v>23</v>
      </c>
      <c r="DH184" s="149">
        <v>2022</v>
      </c>
      <c r="DI184" s="62" t="str">
        <f t="shared" si="1299"/>
        <v>-</v>
      </c>
      <c r="DJ184" s="47">
        <f t="shared" si="1300"/>
        <v>15.675675675675677</v>
      </c>
      <c r="DK184" s="48">
        <f>DJ$7*IF(DJ184&lt;DJ$5,-0.04,IF(DJ184&lt;DJ$5*1.1,-0.03,IF(DJ184&lt;DJ$5*1.2,-0.02,IF(DJ184&lt;DJ$5*1.3,-0.01,0))))</f>
        <v>0</v>
      </c>
      <c r="DM184" s="107" t="str">
        <f t="shared" si="1536"/>
        <v>-</v>
      </c>
      <c r="DN184" s="141" t="str">
        <f>IF($DY184=0,"-",(DM184-$DW184)*100)</f>
        <v>-</v>
      </c>
      <c r="DO184" s="107">
        <f>SUM(DP184:DS184)^DO$3+DO$7</f>
        <v>6.3853462178171219</v>
      </c>
      <c r="DP184" s="133">
        <f>IF(SeilBeregnet=0,DP295,(SeilBeregnet^0.5/(Depl^0.3333))^DP$3*DP$7)</f>
        <v>4.2884975839027932</v>
      </c>
      <c r="DQ184" s="133">
        <f>IF(SeilBeregnet=0,DQ295,(SeilBeregnet^0.5/Lwl)^DQ$3*DQ$7)</f>
        <v>0</v>
      </c>
      <c r="DR184" s="133">
        <f>IF(SeilBeregnet=0,DR295,(0.1*Loa/Depl^0.3333)^DR$3*DR$7)</f>
        <v>0</v>
      </c>
      <c r="DS184" s="133">
        <f>IF(SeilBeregnet=0,DS295,((Loa)/Bredde)^DS$3*DS$7)</f>
        <v>2.0968486339143286</v>
      </c>
      <c r="DT184" s="107">
        <f>IF(SeilBeregnet=0,DT295,(Lwl)^DT$3)</f>
        <v>1.7415941483654049</v>
      </c>
      <c r="DU184" s="133">
        <f>IF(SeilBeregnet=0,DU295,(Dypg/Loa)^DU$3*5*DU$7)</f>
        <v>2.0981073118415403</v>
      </c>
      <c r="DW184" s="107" t="str">
        <f t="shared" si="1241"/>
        <v>-</v>
      </c>
      <c r="DX184" s="107" t="str">
        <f t="shared" si="1301"/>
        <v>-</v>
      </c>
      <c r="DZ184" s="107" t="str">
        <f t="shared" si="1302"/>
        <v>-</v>
      </c>
      <c r="EA184" s="122" t="str">
        <f>IF($DY184=0,"-",DZ184-$DW184)</f>
        <v>-</v>
      </c>
      <c r="EB184" s="107" t="str">
        <f>IF(SeilBeregnet=0,"-",EB$7*(EB$4*ED184*EE184*EF184*PropF+EB$6)+ErfaringsF+Dyp_F)</f>
        <v>-</v>
      </c>
      <c r="EC184" s="122" t="str">
        <f>IF($DY184=0,"-",EB184-$DW184)</f>
        <v>-</v>
      </c>
      <c r="ED184" s="107">
        <f>IF(SeilBeregnet=0,ED295,SeilBeregnet^0.5/Depl^0.33333)</f>
        <v>4.2881890939563085</v>
      </c>
      <c r="EE184" s="107">
        <f>IF(SeilBeregnet=0,EE295,Lwl^0.3333)</f>
        <v>2.0952241096557445</v>
      </c>
      <c r="EF184" s="107">
        <f>IF(SeilBeregnet=0,EF295,((Loa+Lwl)/Bredde)^EF$3)</f>
        <v>1.6473506606766539</v>
      </c>
      <c r="EH184" s="107" t="str">
        <f>IF(SeilBeregnet=0,"-",EH$7*(EH$4*EJ184*EK184*EL184*PropF+EH$6)+ErfaringsF+Dyp_F)</f>
        <v>-</v>
      </c>
      <c r="EJ184" s="107">
        <f>IF(SeilBeregnet=0,EJ295,SeilBeregnet^0.5/Depl^0.33333)</f>
        <v>4.2881890939563085</v>
      </c>
      <c r="EK184" s="107">
        <f>IF(SeilBeregnet=0,EK295,Lwl^EK$3)</f>
        <v>2.095363606158581</v>
      </c>
      <c r="EL184" s="107">
        <f>IF(SeilBeregnet=0,EL295,((Loa+Lwl)/Bredde)^EL$3)</f>
        <v>1.9454459426913298</v>
      </c>
      <c r="EM184" s="107" t="str">
        <f>IF(SeilBeregnet=0,"-",EM$7*(EM$4*EO184+EM$6)*ER184*PropF+ErfaringsF+Dyp_F)</f>
        <v>-</v>
      </c>
      <c r="EO184" s="107">
        <f>IF(SeilBeregnet=0,EO295,(EP184*EQ184)^EO$3)</f>
        <v>7.0641511370353465</v>
      </c>
      <c r="EP184" s="107">
        <f>IF(SeilBeregnet=0,EP295,SeilBeregnet^0.5/Depl^0.33333)</f>
        <v>4.2881890939563085</v>
      </c>
      <c r="EQ184" s="107">
        <f>IF(SeilBeregnet=0,EQ295,((Loa+Lwl)/Bredde)^EQ$3)</f>
        <v>1.6473506606766539</v>
      </c>
      <c r="ER184" s="107">
        <f>IF(SeilBeregnet=0,ER295,Lwl^ER$3)</f>
        <v>1.7415941483654049</v>
      </c>
      <c r="ES184" s="107" t="str">
        <f t="shared" si="1537"/>
        <v>-</v>
      </c>
      <c r="EU184" s="107">
        <f>IF(SeilBeregnet=0,EU295,(EV:EV*EW:EW)^EU$3)</f>
        <v>2.1245212769850528</v>
      </c>
      <c r="EV184" s="107">
        <f>IF(SeilBeregnet=0,EV295,SeilBeregnet^0.5/Depl^0.33333)</f>
        <v>4.2881890939563085</v>
      </c>
      <c r="EW184" s="107">
        <f>IF(SeilBeregnet=0,EW295,((Loa+Lwl)/Bredde/6)^EW$3)</f>
        <v>1.0525633449148892</v>
      </c>
      <c r="EX184" s="107">
        <f>IF(SeilBeregnet=0,EX295,(Lwl*0.7+Loa*0.3)^EX$3)</f>
        <v>1.8013445147642846</v>
      </c>
      <c r="EY184" s="107" t="str">
        <f t="shared" si="1538"/>
        <v>-</v>
      </c>
      <c r="FA184" s="107">
        <f t="shared" si="1539"/>
        <v>2.1245976940522517</v>
      </c>
      <c r="FB184" s="107">
        <f>IF(SeilBeregnet=0,FB295,SeilBeregnet^0.5/Depl^0.3333)</f>
        <v>4.2884975839027932</v>
      </c>
      <c r="FC184" s="107">
        <f>IF(SeilBeregnet=0,FC295,((Loa+Lwl)/Bredde/6)^FC$3)</f>
        <v>1.0525633449148892</v>
      </c>
      <c r="FD184" s="107">
        <f>IF(SeilBeregnet=0,FD295,(Lwl*0.7+Loa*0.3)^FD$3)</f>
        <v>1.8013445147642846</v>
      </c>
      <c r="FE184" s="107" t="str">
        <f t="shared" si="1540"/>
        <v>-</v>
      </c>
      <c r="FF184" s="141" t="str">
        <f>IF($DY184=0,"-",(FE184-$DW184)*100)</f>
        <v>-</v>
      </c>
      <c r="FG184" s="107">
        <f t="shared" si="1541"/>
        <v>4.7511818516390774</v>
      </c>
      <c r="FH184" s="133">
        <f>IF(SeilBeregnet=0,FH295,(SeilBeregnet^0.5/(Depl^0.3333))^FH$3)</f>
        <v>4.2884975839027932</v>
      </c>
      <c r="FI184" s="133">
        <f>IF(SeilBeregnet=0,FI295,((Loa+Lwl)/Bredde/6)^FI$3)</f>
        <v>1.1078895950584198</v>
      </c>
      <c r="FJ184" s="107">
        <f>IF(SeilBeregnet=0,FJ295,(Lwl*0.07+Loa*0.03)^FJ$3)</f>
        <v>1.0129704615569142</v>
      </c>
      <c r="FK184" s="107" t="str">
        <f t="shared" si="1542"/>
        <v>-</v>
      </c>
      <c r="FL184" s="141" t="str">
        <f>IF($DY184=0,"-",(FK184-$DW184)*100)</f>
        <v>-</v>
      </c>
      <c r="FM184" s="107">
        <f t="shared" si="1543"/>
        <v>6.9219517549900349</v>
      </c>
      <c r="FN184" s="133">
        <f>IF(SeilBeregnet=0,FN295,(SeilBeregnet^0.5/(Depl^0.3333))^FN$3)</f>
        <v>4.2884975839027932</v>
      </c>
      <c r="FO184" s="133">
        <f>IF(SeilBeregnet=0,FO295,(SeilBeregnet^0.5/Lwl*FO$7)^FO$3)</f>
        <v>1.0366055371729126</v>
      </c>
      <c r="FP184" s="133">
        <f>IF(SeilBeregnet=0,FP295,((Loa)/Bredde)^FP$3*FP$7)</f>
        <v>2.0968486339143286</v>
      </c>
      <c r="FQ184" s="107">
        <f>IF(SeilBeregnet=0,FQ295,(Lwl)^FQ$3)</f>
        <v>1.7415941483654049</v>
      </c>
      <c r="FR184" s="107" t="str">
        <f t="shared" si="1544"/>
        <v>-</v>
      </c>
      <c r="FS184" s="141" t="str">
        <f>IF($DY184=0,"-",(FR184-$DW184)*100)</f>
        <v>-</v>
      </c>
      <c r="FT184" s="107">
        <f t="shared" si="1545"/>
        <v>8.9923303003514707</v>
      </c>
      <c r="FU184" s="133">
        <f>IF(SeilBeregnet=0,FU295,(SeilBeregnet^0.5/(Depl^0.3333))^FU$3)</f>
        <v>4.2884975839027932</v>
      </c>
      <c r="FV184" s="133">
        <f>IF(SeilBeregnet=0,FV295,(Loa/Bredde)^FV$3)</f>
        <v>2.0968486339143286</v>
      </c>
      <c r="FW184" s="107">
        <f>IF(SeilBeregnet=0,FW295,Lwl^FW$3)</f>
        <v>1.7415941483654049</v>
      </c>
      <c r="FY184" s="336">
        <v>1</v>
      </c>
      <c r="FZ184" s="62" t="str">
        <f>IF(SeilBeregnet=0,"-",0.06*2.43^(1/2)*(SeilBeregnet^(1/2)/Depl^(1/3)+(Loa/Bredde)^(1/2)+GA184)*Lwl^(1/4)*FY184)</f>
        <v>-</v>
      </c>
      <c r="GA184" s="62">
        <f t="shared" si="1303"/>
        <v>1.8470962903655979</v>
      </c>
      <c r="GB184" s="107" t="str">
        <f t="shared" ref="GB184:GB311" si="1640">IF(SeilBeregnet=0,"-",GB$7*(((SeilBeregnet*StHfaktor)/(Depl+DeplTillegg/1000+Vann/1000+Diesel/1000*0.84))^(1/3)/Bredde)^(1/GB$5)*Lwl^(1/GB$4)*Skrogfaktor*PropF*(Mast+1)+ErfaringsF)</f>
        <v>-</v>
      </c>
      <c r="GC184" s="441" t="s">
        <v>1011</v>
      </c>
      <c r="GD184" s="57" t="s">
        <v>1012</v>
      </c>
      <c r="GE184" s="436" t="s">
        <v>1013</v>
      </c>
      <c r="GF184" s="496" t="s">
        <v>1014</v>
      </c>
      <c r="GG184" s="57"/>
      <c r="GH184" s="57" t="s">
        <v>864</v>
      </c>
      <c r="GI184" s="57" t="s">
        <v>416</v>
      </c>
      <c r="GJ184" s="57" t="s">
        <v>474</v>
      </c>
      <c r="GL184" s="57" t="s">
        <v>478</v>
      </c>
      <c r="GM184" s="436" t="s">
        <v>478</v>
      </c>
      <c r="GN184" s="58" t="s">
        <v>478</v>
      </c>
      <c r="GO184" s="58" t="s">
        <v>478</v>
      </c>
      <c r="GP184" s="58" t="s">
        <v>478</v>
      </c>
      <c r="GQ184" s="58" t="s">
        <v>478</v>
      </c>
      <c r="GS184" s="57" t="s">
        <v>208</v>
      </c>
      <c r="GT184" s="57" t="s">
        <v>947</v>
      </c>
      <c r="GU184" s="57" t="s">
        <v>842</v>
      </c>
      <c r="GV184" s="632" t="s">
        <v>843</v>
      </c>
      <c r="GW184" s="57">
        <v>1933</v>
      </c>
      <c r="GX184" s="57" t="s">
        <v>431</v>
      </c>
      <c r="GY184" s="57" t="s">
        <v>438</v>
      </c>
      <c r="GZ184" s="57"/>
    </row>
    <row r="185" spans="1:208" ht="15.6" x14ac:dyDescent="0.3">
      <c r="A185" s="60" t="s">
        <v>229</v>
      </c>
      <c r="B185" s="218"/>
      <c r="C185" s="61" t="str">
        <f>C184</f>
        <v>Bermuda</v>
      </c>
      <c r="D185" s="61"/>
      <c r="E185" s="61"/>
      <c r="F185" s="61"/>
      <c r="G185" s="54"/>
      <c r="H185" s="204">
        <f>IF(StH=0,0,TBFavrundet)</f>
        <v>166.5</v>
      </c>
      <c r="I185" s="63">
        <f>COUNTA(O185:AG185)</f>
        <v>2</v>
      </c>
      <c r="J185" s="222">
        <f>SUM(O185:AG185)</f>
        <v>183</v>
      </c>
      <c r="K185" s="116">
        <f>Seilareal/Depl^0.667/K$7</f>
        <v>1.6464853101093131</v>
      </c>
      <c r="L185" s="116">
        <f>Seilareal/Lwl/Lwl/L$7</f>
        <v>1.4330112271987454</v>
      </c>
      <c r="M185" s="92">
        <f>RiggF</f>
        <v>0.94644808743169406</v>
      </c>
      <c r="N185" s="242">
        <f>StHfaktor</f>
        <v>1.066937667909009</v>
      </c>
      <c r="O185" s="143"/>
      <c r="P185" s="143"/>
      <c r="Q185" s="143"/>
      <c r="R185" s="143"/>
      <c r="S185" s="143"/>
      <c r="T185" s="143"/>
      <c r="U185" s="165">
        <v>43</v>
      </c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65">
        <v>140</v>
      </c>
      <c r="AG185" s="551"/>
      <c r="AH185" s="557">
        <f t="shared" ref="AH185:AI185" si="1641">AH184</f>
        <v>23.375000000000004</v>
      </c>
      <c r="AI185" s="557">
        <f t="shared" si="1641"/>
        <v>23.375000000000004</v>
      </c>
      <c r="AJ185" s="337">
        <f t="shared" ref="AJ185:AL186" si="1642" xml:space="preserve"> AJ184</f>
        <v>0</v>
      </c>
      <c r="AK185" s="339"/>
      <c r="AL185" s="337">
        <f t="shared" si="1642"/>
        <v>0</v>
      </c>
      <c r="AM185" s="339"/>
      <c r="AN185" s="267" t="str">
        <f t="shared" ref="AN185:AN186" si="1643" xml:space="preserve"> AN184</f>
        <v>Meter</v>
      </c>
      <c r="AO185" s="45">
        <f>VLOOKUP(AN185,Skrogform!$1:$1048576,3,FALSE)</f>
        <v>1</v>
      </c>
      <c r="AP185" s="64">
        <f t="shared" ref="AP185:AZ185" si="1644">AP184</f>
        <v>21.25</v>
      </c>
      <c r="AQ185" s="64">
        <f t="shared" si="1644"/>
        <v>13.92</v>
      </c>
      <c r="AR185" s="64">
        <f t="shared" si="1644"/>
        <v>3.58</v>
      </c>
      <c r="AS185" s="64">
        <f t="shared" si="1644"/>
        <v>2.9</v>
      </c>
      <c r="AT185" s="64">
        <f t="shared" ref="AT185" si="1645">AT184</f>
        <v>33</v>
      </c>
      <c r="AU185" s="64">
        <f t="shared" si="1644"/>
        <v>33</v>
      </c>
      <c r="AV185" s="64">
        <f t="shared" si="1644"/>
        <v>16</v>
      </c>
      <c r="AW185" s="64">
        <f t="shared" si="1644"/>
        <v>0</v>
      </c>
      <c r="AX185" s="256">
        <f>AX184</f>
        <v>0</v>
      </c>
      <c r="AY185" s="256">
        <f t="shared" si="1644"/>
        <v>109</v>
      </c>
      <c r="AZ185" s="256">
        <f t="shared" si="1644"/>
        <v>763</v>
      </c>
      <c r="BA185" s="256">
        <f t="shared" ref="BA185:BB185" si="1646">BA184</f>
        <v>400</v>
      </c>
      <c r="BB185" s="256">
        <f t="shared" si="1646"/>
        <v>350</v>
      </c>
      <c r="BC185" s="256"/>
      <c r="BD185" s="66"/>
      <c r="BE185" s="66"/>
      <c r="BF185" s="261"/>
      <c r="BG185" s="66"/>
      <c r="BH185" s="175"/>
      <c r="BI185" s="66"/>
      <c r="BJ185" s="66"/>
      <c r="BK185" s="65" t="str">
        <f t="shared" ref="BK185:BM185" si="1647" xml:space="preserve"> BK184</f>
        <v>Seilrett</v>
      </c>
      <c r="BL185" s="267">
        <f t="shared" si="1647"/>
        <v>3</v>
      </c>
      <c r="BM185" s="267">
        <f t="shared" si="1647"/>
        <v>45</v>
      </c>
      <c r="BN185" s="45">
        <f>IF((BK185="Fast"),(1.006248-(0.06415*((BM185/100*SQRT(BL185))/POWER(AU185,(1/3))))),1)</f>
        <v>1</v>
      </c>
      <c r="BO185" s="59"/>
      <c r="BP185" s="59"/>
      <c r="BR185" s="49">
        <f t="shared" ref="BR185:BX186" si="1648">IF(O185=0,0,O185*BR$9)</f>
        <v>0</v>
      </c>
      <c r="BS185" s="49">
        <f t="shared" si="1648"/>
        <v>0</v>
      </c>
      <c r="BT185" s="49">
        <f t="shared" si="1648"/>
        <v>0</v>
      </c>
      <c r="BU185" s="49">
        <f t="shared" si="1648"/>
        <v>0</v>
      </c>
      <c r="BV185" s="49">
        <f t="shared" si="1648"/>
        <v>0</v>
      </c>
      <c r="BW185" s="49">
        <f t="shared" si="1648"/>
        <v>0</v>
      </c>
      <c r="BX185" s="49">
        <f t="shared" si="1648"/>
        <v>43</v>
      </c>
      <c r="BY185" s="549">
        <f>IF(COUNT(Q185:U185)&gt;1,MINA(Q185:U185)*BY$9,0)</f>
        <v>0</v>
      </c>
      <c r="BZ185" s="85">
        <f t="shared" ref="BZ185:CD186" si="1649">IF(V185=0,0,V185*BZ$9)</f>
        <v>0</v>
      </c>
      <c r="CA185" s="85">
        <f t="shared" si="1649"/>
        <v>0</v>
      </c>
      <c r="CB185" s="85">
        <f t="shared" si="1649"/>
        <v>0</v>
      </c>
      <c r="CC185" s="85">
        <f t="shared" si="1649"/>
        <v>0</v>
      </c>
      <c r="CD185" s="85">
        <f t="shared" si="1649"/>
        <v>0</v>
      </c>
      <c r="CE185" s="85">
        <f>IF(AC185=0,0,AC185*CE$9)</f>
        <v>0</v>
      </c>
      <c r="CF185" s="85">
        <f>IF(AA185=0,0,AA185*CF$9)</f>
        <v>0</v>
      </c>
      <c r="CG185" s="85">
        <f>IF(AB185=0,0,AB185*CG$9)</f>
        <v>0</v>
      </c>
      <c r="CH185" s="85">
        <f>IF(AD185=0,0,AD185*CH$9)</f>
        <v>0</v>
      </c>
      <c r="CI185" s="85">
        <f>IF(AE185=0,0,AE185*CI$9)</f>
        <v>0</v>
      </c>
      <c r="CJ185" s="85">
        <f>IF(AF185=0,0,AF185*CJ$9)</f>
        <v>130.20000000000002</v>
      </c>
      <c r="CK185" s="85">
        <f>IF(AG185=0,0,AG185*CK$9)</f>
        <v>0</v>
      </c>
      <c r="CL185" s="100">
        <f>SUM(BR185:CK185)</f>
        <v>173.20000000000002</v>
      </c>
      <c r="CM185" s="50"/>
      <c r="CN185" s="104">
        <f>J185</f>
        <v>183</v>
      </c>
      <c r="CO185" s="101">
        <f>CL185/CN185</f>
        <v>0.94644808743169406</v>
      </c>
      <c r="CP185" s="51">
        <f>Seilareal/Lwl/Lwl</f>
        <v>0.94443618707887433</v>
      </c>
      <c r="CQ185" s="116">
        <f>Seilareal/Depl^0.667/K$7</f>
        <v>1.6464853101093131</v>
      </c>
      <c r="CR185" s="51">
        <f>Seilareal/Lwl/Lwl/SApRS1</f>
        <v>1.4330112271987454</v>
      </c>
      <c r="CS185" s="204"/>
      <c r="CT185" s="204">
        <f>(ROUND(TBF/CT$6,3)*CT$6)*CT$4</f>
        <v>166.5</v>
      </c>
      <c r="CU185" s="107">
        <f t="shared" si="1267"/>
        <v>1.6650100713526843</v>
      </c>
      <c r="CV185" s="62">
        <f t="shared" si="1297"/>
        <v>4.3388241638138112</v>
      </c>
      <c r="CW185" s="62">
        <f t="shared" si="1268"/>
        <v>2.2163057490302096</v>
      </c>
      <c r="CX185" s="62">
        <f t="shared" si="1298"/>
        <v>1.9315671412704052</v>
      </c>
      <c r="CY185" s="107">
        <f t="shared" si="1269"/>
        <v>1.066937667909009</v>
      </c>
      <c r="CZ185" s="168" t="str">
        <f>IF(DA185=0,"-",IF(CP185="TBF","-",CZ$7*DA185))</f>
        <v>-</v>
      </c>
      <c r="DA185" s="159">
        <f>DA184</f>
        <v>0</v>
      </c>
      <c r="DB185" s="168">
        <f>IF(DC185=0,"-",IF(CT185="TBF","-",DB$7*DC185))</f>
        <v>1.5435087719298246</v>
      </c>
      <c r="DC185" s="159">
        <f>DC184</f>
        <v>1.66</v>
      </c>
      <c r="DD185" s="190" t="s">
        <v>134</v>
      </c>
      <c r="DE185" s="62" t="s">
        <v>102</v>
      </c>
      <c r="DF185" s="62" t="s">
        <v>102</v>
      </c>
      <c r="DG185" s="62" t="s">
        <v>102</v>
      </c>
      <c r="DH185" s="150" t="s">
        <v>102</v>
      </c>
      <c r="DI185" s="62">
        <f t="shared" si="1299"/>
        <v>2.143036243796935</v>
      </c>
      <c r="DJ185" s="47">
        <f t="shared" si="1300"/>
        <v>15.675675675675677</v>
      </c>
      <c r="DK185" s="48">
        <f>DJ$7*IF(DJ185&lt;DJ$5,-0.04,IF(DJ185&lt;DJ$5*1.1,-0.03,IF(DJ185&lt;DJ$5*1.2,-0.02,IF(DJ185&lt;DJ$5*1.3,-0.01,0))))</f>
        <v>0</v>
      </c>
      <c r="DM185" s="107">
        <f t="shared" si="1536"/>
        <v>1.5663827517088456</v>
      </c>
      <c r="DN185" s="141" t="str">
        <f>IF($DY185=0,"-",(DM185-$DW185)*100)</f>
        <v>-</v>
      </c>
      <c r="DO185" s="107">
        <f>SUM(DP185:DS185)^DO$3+DO$7</f>
        <v>6.5398290825581569</v>
      </c>
      <c r="DP185" s="133">
        <f>IF(SeilBeregnet=0,DP184,(SeilBeregnet^0.5/(Depl^0.3333))^DP$3*DP$7)</f>
        <v>4.1034887553575139</v>
      </c>
      <c r="DQ185" s="133">
        <f>IF(SeilBeregnet=0,DQ184,(SeilBeregnet^0.5/Lwl)^DQ$3*DQ$7)</f>
        <v>0</v>
      </c>
      <c r="DR185" s="133">
        <f>IF(SeilBeregnet=0,DR184,(0.1*Loa/Depl^0.3333)^DR$3*DR$7)</f>
        <v>0</v>
      </c>
      <c r="DS185" s="133">
        <f>IF(SeilBeregnet=0,DS184,((Loa)/Bredde)^DS$3*DS$7)</f>
        <v>2.4363403272006425</v>
      </c>
      <c r="DT185" s="107">
        <f>IF(SeilBeregnet=0,DT184,(Lwl)^DT$3)</f>
        <v>1.9315671412704052</v>
      </c>
      <c r="DU185" s="133">
        <f>IF(SeilBeregnet=0,DU184,(Dypg/Loa)^DU$3*5*DU$7)</f>
        <v>1.8470962903655979</v>
      </c>
      <c r="DW185" s="107">
        <f t="shared" si="1241"/>
        <v>1.6650100713526843</v>
      </c>
      <c r="DX185" s="107">
        <f t="shared" si="1301"/>
        <v>1.6313164959656512</v>
      </c>
      <c r="DZ185" s="107">
        <f t="shared" si="1302"/>
        <v>1.6264255935801843</v>
      </c>
      <c r="EA185" s="122" t="str">
        <f>IF($DY185=0,"-",DZ185-$DW185)</f>
        <v>-</v>
      </c>
      <c r="EB185" s="107">
        <f>IF(SeilBeregnet=0,"-",EB$7*(EB$4*ED185*EE185*EF185*PropF+EB$6)+ErfaringsF+Dyp_F)</f>
        <v>1.6383056716439699</v>
      </c>
      <c r="EC185" s="122" t="str">
        <f>IF($DY185=0,"-",EB185-$DW185)</f>
        <v>-</v>
      </c>
      <c r="ED185" s="107">
        <f>IF(SeilBeregnet=0,ED184,SeilBeregnet^0.5/Depl^0.33333)</f>
        <v>4.1030583415482393</v>
      </c>
      <c r="EE185" s="107">
        <f>IF(SeilBeregnet=0,EE184,Lwl^0.3333)</f>
        <v>2.4053316014652082</v>
      </c>
      <c r="EF185" s="107">
        <f>IF(SeilBeregnet=0,EF184,((Loa+Lwl)/Bredde)^EF$3)</f>
        <v>1.7704038094864074</v>
      </c>
      <c r="EH185" s="107">
        <f>IF(SeilBeregnet=0,"-",EH$7*(EH$4*EJ185*EK185*EL185*PropF+EH$6)+ErfaringsF+Dyp_F)</f>
        <v>1.6342678800243973</v>
      </c>
      <c r="EJ185" s="107">
        <f>IF(SeilBeregnet=0,EJ184,SeilBeregnet^0.5/Depl^0.33333)</f>
        <v>4.1030583415482393</v>
      </c>
      <c r="EK185" s="107">
        <f>IF(SeilBeregnet=0,EK184,Lwl^EK$3)</f>
        <v>2.4055216296858064</v>
      </c>
      <c r="EL185" s="107">
        <f>IF(SeilBeregnet=0,EL184,((Loa+Lwl)/Bredde)^EL$3)</f>
        <v>2.1415589697189774</v>
      </c>
      <c r="EM185" s="107">
        <f>IF(SeilBeregnet=0,"-",EM$7*(EM$4*EO185+EM$6)*ER185*PropF+ErfaringsF+Dyp_F)</f>
        <v>1.5949287277806607</v>
      </c>
      <c r="EO185" s="107">
        <f>IF(SeilBeregnet=0,EO184,(EP185*EQ185)^EO$3)</f>
        <v>7.2640701184219836</v>
      </c>
      <c r="EP185" s="107">
        <f>IF(SeilBeregnet=0,EP184,SeilBeregnet^0.5/Depl^0.33333)</f>
        <v>4.1030583415482393</v>
      </c>
      <c r="EQ185" s="107">
        <f>IF(SeilBeregnet=0,EQ184,((Loa+Lwl)/Bredde)^EQ$3)</f>
        <v>1.7704038094864074</v>
      </c>
      <c r="ER185" s="107">
        <f>IF(SeilBeregnet=0,ER184,Lwl^ER$3)</f>
        <v>1.9315671412704052</v>
      </c>
      <c r="ES185" s="107">
        <f t="shared" si="1537"/>
        <v>1.5950021933640348</v>
      </c>
      <c r="EU185" s="107">
        <f>IF(SeilBeregnet=0,EU184,(EV:EV*EW:EW)^EU$3)</f>
        <v>2.1543740415552564</v>
      </c>
      <c r="EV185" s="107">
        <f>IF(SeilBeregnet=0,EV184,SeilBeregnet^0.5/Depl^0.33333)</f>
        <v>4.1030583415482393</v>
      </c>
      <c r="EW185" s="107">
        <f>IF(SeilBeregnet=0,EW184,((Loa+Lwl)/Bredde/6)^EW$3)</f>
        <v>1.1311873058026716</v>
      </c>
      <c r="EX185" s="107">
        <f>IF(SeilBeregnet=0,EX184,(Lwl*0.7+Loa*0.3)^EX$3)</f>
        <v>2.0037084229436135</v>
      </c>
      <c r="EY185" s="107">
        <f t="shared" si="1538"/>
        <v>1.4515855250338643</v>
      </c>
      <c r="FA185" s="107">
        <f t="shared" si="1539"/>
        <v>2.154487036295281</v>
      </c>
      <c r="FB185" s="107">
        <f>IF(SeilBeregnet=0,FB184,SeilBeregnet^0.5/Depl^0.3333)</f>
        <v>4.1034887553575139</v>
      </c>
      <c r="FC185" s="107">
        <f>IF(SeilBeregnet=0,FC184,((Loa+Lwl)/Bredde/6)^FC$3)</f>
        <v>1.1311873058026716</v>
      </c>
      <c r="FD185" s="107">
        <f>IF(SeilBeregnet=0,FD184,(Lwl*0.7+Loa*0.3)^FD$3)</f>
        <v>2.0037084229436135</v>
      </c>
      <c r="FE185" s="107">
        <f t="shared" si="1540"/>
        <v>1.7156845461771768</v>
      </c>
      <c r="FF185" s="141" t="str">
        <f>IF($DY185=0,"-",(FE185-$DW185)*100)</f>
        <v>-</v>
      </c>
      <c r="FG185" s="107">
        <f t="shared" si="1541"/>
        <v>5.2507615133674532</v>
      </c>
      <c r="FH185" s="133">
        <f>IF(SeilBeregnet=0,FH184,(SeilBeregnet^0.5/(Depl^0.3333))^FH$3)</f>
        <v>4.1034887553575139</v>
      </c>
      <c r="FI185" s="133">
        <f>IF(SeilBeregnet=0,FI184,((Loa+Lwl)/Bredde/6)^FI$3)</f>
        <v>1.2795847208091067</v>
      </c>
      <c r="FJ185" s="107">
        <f>IF(SeilBeregnet=0,FJ184,(Lwl*0.07+Loa*0.03)^FJ$3)</f>
        <v>1.126768049853176</v>
      </c>
      <c r="FK185" s="107">
        <f t="shared" si="1542"/>
        <v>1.6056097999540995</v>
      </c>
      <c r="FL185" s="141" t="str">
        <f>IF($DY185=0,"-",(FK185-$DW185)*100)</f>
        <v>-</v>
      </c>
      <c r="FM185" s="107">
        <f t="shared" si="1543"/>
        <v>6.9852706846479329</v>
      </c>
      <c r="FN185" s="133">
        <f>IF(SeilBeregnet=0,FN184,(SeilBeregnet^0.5/(Depl^0.3333))^FN$3)</f>
        <v>4.1034887553575139</v>
      </c>
      <c r="FO185" s="133">
        <f>IF(SeilBeregnet=0,FO184,(SeilBeregnet^0.5/Lwl*FO$7)^FO$3)</f>
        <v>0.94544160208977601</v>
      </c>
      <c r="FP185" s="133">
        <f>IF(SeilBeregnet=0,FP184,((Loa)/Bredde)^FP$3*FP$7)</f>
        <v>2.4363403272006425</v>
      </c>
      <c r="FQ185" s="107">
        <f>IF(SeilBeregnet=0,FQ184,(Lwl)^FQ$3)</f>
        <v>1.9315671412704052</v>
      </c>
      <c r="FR185" s="107">
        <f t="shared" si="1544"/>
        <v>1.7303745066568099</v>
      </c>
      <c r="FS185" s="141" t="str">
        <f>IF($DY185=0,"-",(FR185-$DW185)*100)</f>
        <v>-</v>
      </c>
      <c r="FT185" s="107">
        <f t="shared" si="1545"/>
        <v>9.9974951368918834</v>
      </c>
      <c r="FU185" s="133">
        <f>IF(SeilBeregnet=0,FU184,(SeilBeregnet^0.5/(Depl^0.3333))^FU$3)</f>
        <v>4.1034887553575139</v>
      </c>
      <c r="FV185" s="133">
        <f>IF(SeilBeregnet=0,FV184,(Loa/Bredde)^FV$3)</f>
        <v>2.4363403272006425</v>
      </c>
      <c r="FW185" s="107">
        <f>IF(SeilBeregnet=0,FW184,Lwl^FW$3)</f>
        <v>1.9315671412704052</v>
      </c>
      <c r="FY185" s="336">
        <v>1</v>
      </c>
      <c r="FZ185" s="62">
        <f>IF(SeilBeregnet=0,"-",0.06*2.43^(1/2)*(SeilBeregnet^(1/2)/Depl^(1/3)+(Loa/Bredde)^(1/2)+GA185)*Lwl^(1/4)*FY185)</f>
        <v>1.5151031804766464</v>
      </c>
      <c r="GA185" s="62">
        <f t="shared" si="1303"/>
        <v>1.8470962903655979</v>
      </c>
      <c r="GB185" s="107">
        <f t="shared" si="1640"/>
        <v>1.4607954132380754</v>
      </c>
      <c r="GC185" s="440"/>
      <c r="GD185" s="17"/>
      <c r="GE185" s="442"/>
      <c r="GF185" s="462"/>
      <c r="GG185" s="17"/>
      <c r="GH185" s="17"/>
      <c r="GI185" s="17"/>
      <c r="GJ185" s="17"/>
      <c r="GL185" s="17"/>
      <c r="GM185" s="442"/>
      <c r="GN185" s="8"/>
      <c r="GO185" s="8"/>
      <c r="GP185" s="8"/>
      <c r="GQ185" s="8"/>
      <c r="GS185" s="17"/>
      <c r="GT185" s="17"/>
      <c r="GU185" s="17"/>
      <c r="GV185" s="629"/>
      <c r="GW185" s="17"/>
      <c r="GX185" s="17"/>
      <c r="GY185" s="17"/>
      <c r="GZ185" s="17"/>
    </row>
    <row r="186" spans="1:208" ht="15.6" x14ac:dyDescent="0.3">
      <c r="A186" s="60" t="s">
        <v>68</v>
      </c>
      <c r="B186" s="218"/>
      <c r="C186" s="61" t="str">
        <f t="shared" ref="C186" si="1650">C185</f>
        <v>Bermuda</v>
      </c>
      <c r="D186" s="61"/>
      <c r="E186" s="61"/>
      <c r="F186" s="61"/>
      <c r="G186" s="54"/>
      <c r="H186" s="204">
        <f>TBFavrundet</f>
        <v>181.5</v>
      </c>
      <c r="I186" s="63">
        <f>COUNTA(O186:AG186)</f>
        <v>2</v>
      </c>
      <c r="J186" s="222">
        <f>SUM(O186:AG186)</f>
        <v>230</v>
      </c>
      <c r="K186" s="116">
        <f>Seilareal/Depl^0.667/K$7</f>
        <v>2.0693531219953112</v>
      </c>
      <c r="L186" s="116">
        <f>Seilareal/Lwl/Lwl/L$7</f>
        <v>1.8010523620530683</v>
      </c>
      <c r="M186" s="92">
        <f>RiggF</f>
        <v>0.9695652173913043</v>
      </c>
      <c r="N186" s="242">
        <f>StHfaktor</f>
        <v>1.066937667909009</v>
      </c>
      <c r="O186" s="143"/>
      <c r="P186" s="143"/>
      <c r="Q186" s="165">
        <v>90</v>
      </c>
      <c r="R186" s="143"/>
      <c r="S186" s="143"/>
      <c r="T186" s="143"/>
      <c r="U186" s="143"/>
      <c r="V186" s="559"/>
      <c r="W186" s="559"/>
      <c r="X186" s="143"/>
      <c r="Y186" s="143"/>
      <c r="Z186" s="143"/>
      <c r="AA186" s="143"/>
      <c r="AB186" s="143"/>
      <c r="AC186" s="143"/>
      <c r="AD186" s="143"/>
      <c r="AE186" s="165">
        <v>140</v>
      </c>
      <c r="AF186" s="143"/>
      <c r="AG186" s="551"/>
      <c r="AH186" s="557">
        <f t="shared" ref="AH186:AI186" si="1651">AH185</f>
        <v>23.375000000000004</v>
      </c>
      <c r="AI186" s="557">
        <f t="shared" si="1651"/>
        <v>23.375000000000004</v>
      </c>
      <c r="AJ186" s="337">
        <f t="shared" si="1642"/>
        <v>0</v>
      </c>
      <c r="AK186" s="339"/>
      <c r="AL186" s="337">
        <f t="shared" si="1642"/>
        <v>0</v>
      </c>
      <c r="AM186" s="339"/>
      <c r="AN186" s="267" t="str">
        <f t="shared" si="1643"/>
        <v>Meter</v>
      </c>
      <c r="AO186" s="45">
        <f>VLOOKUP(AN186,Skrogform!$1:$1048576,3,FALSE)</f>
        <v>1</v>
      </c>
      <c r="AP186" s="64">
        <f t="shared" ref="AP186:AZ186" si="1652">AP185</f>
        <v>21.25</v>
      </c>
      <c r="AQ186" s="64">
        <f t="shared" si="1652"/>
        <v>13.92</v>
      </c>
      <c r="AR186" s="64">
        <f t="shared" si="1652"/>
        <v>3.58</v>
      </c>
      <c r="AS186" s="64">
        <f t="shared" si="1652"/>
        <v>2.9</v>
      </c>
      <c r="AT186" s="64">
        <f t="shared" ref="AT186" si="1653">AT185</f>
        <v>33</v>
      </c>
      <c r="AU186" s="64">
        <f t="shared" si="1652"/>
        <v>33</v>
      </c>
      <c r="AV186" s="64">
        <f t="shared" si="1652"/>
        <v>16</v>
      </c>
      <c r="AW186" s="64">
        <f t="shared" si="1652"/>
        <v>0</v>
      </c>
      <c r="AX186" s="256">
        <f>AX185</f>
        <v>0</v>
      </c>
      <c r="AY186" s="256">
        <f t="shared" si="1652"/>
        <v>109</v>
      </c>
      <c r="AZ186" s="256">
        <f t="shared" si="1652"/>
        <v>763</v>
      </c>
      <c r="BA186" s="256">
        <f t="shared" ref="BA186:BB186" si="1654">BA185</f>
        <v>400</v>
      </c>
      <c r="BB186" s="256">
        <f t="shared" si="1654"/>
        <v>350</v>
      </c>
      <c r="BC186" s="256"/>
      <c r="BD186" s="66"/>
      <c r="BE186" s="66"/>
      <c r="BF186" s="261"/>
      <c r="BG186" s="66"/>
      <c r="BH186" s="175"/>
      <c r="BI186" s="66"/>
      <c r="BJ186" s="66"/>
      <c r="BK186" s="65" t="str">
        <f t="shared" ref="BK186:BM186" si="1655" xml:space="preserve"> BK185</f>
        <v>Seilrett</v>
      </c>
      <c r="BL186" s="267">
        <f t="shared" si="1655"/>
        <v>3</v>
      </c>
      <c r="BM186" s="267">
        <f t="shared" si="1655"/>
        <v>45</v>
      </c>
      <c r="BN186" s="45">
        <f>IF((BK186="Fast"),(1.006248-(0.06415*((BM186/100*SQRT(BL186))/POWER(AU186,(1/3))))),1)</f>
        <v>1</v>
      </c>
      <c r="BO186" s="59"/>
      <c r="BP186" s="59"/>
      <c r="BR186" s="49">
        <f t="shared" si="1648"/>
        <v>0</v>
      </c>
      <c r="BS186" s="49">
        <f t="shared" si="1648"/>
        <v>0</v>
      </c>
      <c r="BT186" s="49">
        <f t="shared" si="1648"/>
        <v>90</v>
      </c>
      <c r="BU186" s="49">
        <f t="shared" si="1648"/>
        <v>0</v>
      </c>
      <c r="BV186" s="49">
        <f t="shared" si="1648"/>
        <v>0</v>
      </c>
      <c r="BW186" s="49">
        <f t="shared" si="1648"/>
        <v>0</v>
      </c>
      <c r="BX186" s="49">
        <f t="shared" si="1648"/>
        <v>0</v>
      </c>
      <c r="BY186" s="549">
        <f>IF(COUNT(Q186:U186)&gt;1,MINA(Q186:U186)*BY$9,0)</f>
        <v>0</v>
      </c>
      <c r="BZ186" s="85">
        <f t="shared" si="1649"/>
        <v>0</v>
      </c>
      <c r="CA186" s="85">
        <f t="shared" si="1649"/>
        <v>0</v>
      </c>
      <c r="CB186" s="85">
        <f t="shared" si="1649"/>
        <v>0</v>
      </c>
      <c r="CC186" s="85">
        <f t="shared" si="1649"/>
        <v>0</v>
      </c>
      <c r="CD186" s="85">
        <f t="shared" si="1649"/>
        <v>0</v>
      </c>
      <c r="CE186" s="85">
        <f>IF(AC186=0,0,AC186*CE$9)</f>
        <v>0</v>
      </c>
      <c r="CF186" s="85">
        <f>IF(AA186=0,0,AA186*CF$9)</f>
        <v>0</v>
      </c>
      <c r="CG186" s="85">
        <f>IF(AB186=0,0,AB186*CG$9)</f>
        <v>0</v>
      </c>
      <c r="CH186" s="85">
        <f>IF(AD186=0,0,AD186*CH$9)</f>
        <v>0</v>
      </c>
      <c r="CI186" s="85">
        <f>IF(AE186=0,0,AE186*CI$9)</f>
        <v>133</v>
      </c>
      <c r="CJ186" s="85">
        <f>IF(AF186=0,0,AF186*CJ$9)</f>
        <v>0</v>
      </c>
      <c r="CK186" s="85">
        <f>IF(AG186=0,0,AG186*CK$9)</f>
        <v>0</v>
      </c>
      <c r="CL186" s="100">
        <f>SUM(BR186:CK186)</f>
        <v>223</v>
      </c>
      <c r="CM186" s="50"/>
      <c r="CN186" s="104">
        <f>J186</f>
        <v>230</v>
      </c>
      <c r="CO186" s="101">
        <f>CL186/CN186</f>
        <v>0.9695652173913043</v>
      </c>
      <c r="CP186" s="51">
        <f>Seilareal/Lwl/Lwl</f>
        <v>1.1869963007002247</v>
      </c>
      <c r="CQ186" s="116">
        <f>Seilareal/Depl^0.667/K$7</f>
        <v>2.0693531219953112</v>
      </c>
      <c r="CR186" s="51">
        <f>Seilareal/Lwl/Lwl/SApRS1</f>
        <v>1.8010523620530683</v>
      </c>
      <c r="CS186" s="204"/>
      <c r="CT186" s="204">
        <f>(ROUND(TBF/CT$6,3)*CT$6)*CT$4</f>
        <v>181.5</v>
      </c>
      <c r="CU186" s="107">
        <f t="shared" si="1267"/>
        <v>1.8134509722294847</v>
      </c>
      <c r="CV186" s="62">
        <f t="shared" si="1297"/>
        <v>4.9232346766202024</v>
      </c>
      <c r="CW186" s="62">
        <f t="shared" si="1268"/>
        <v>2.2163057490302096</v>
      </c>
      <c r="CX186" s="62">
        <f t="shared" si="1298"/>
        <v>1.9315671412704052</v>
      </c>
      <c r="CY186" s="107">
        <f t="shared" si="1269"/>
        <v>1.066937667909009</v>
      </c>
      <c r="CZ186" s="168" t="str">
        <f>IF(DA186=0,"-",IF(CP186="TBF","-",CZ$7*DA186))</f>
        <v>-</v>
      </c>
      <c r="DA186" s="158"/>
      <c r="DB186" s="168" t="str">
        <f>IF(DC186=0,"-",IF(CT186="TBF","-",DB$7*DC186))</f>
        <v>-</v>
      </c>
      <c r="DC186" s="160"/>
      <c r="DD186" s="190" t="s">
        <v>134</v>
      </c>
      <c r="DE186" s="62" t="s">
        <v>102</v>
      </c>
      <c r="DF186" s="62" t="s">
        <v>102</v>
      </c>
      <c r="DG186" s="62" t="s">
        <v>102</v>
      </c>
      <c r="DH186" s="150" t="s">
        <v>102</v>
      </c>
      <c r="DI186" s="62">
        <f t="shared" si="1299"/>
        <v>2.143036243796935</v>
      </c>
      <c r="DJ186" s="47">
        <f t="shared" si="1300"/>
        <v>15.675675675675677</v>
      </c>
      <c r="DK186" s="48">
        <f>DJ$7*IF(DJ186&lt;DJ$5,-0.04,IF(DJ186&lt;DJ$5*1.1,-0.03,IF(DJ186&lt;DJ$5*1.2,-0.02,IF(DJ186&lt;DJ$5*1.3,-0.01,0))))</f>
        <v>0</v>
      </c>
      <c r="DM186" s="107">
        <f t="shared" si="1536"/>
        <v>1.6987652922183456</v>
      </c>
      <c r="DN186" s="141" t="str">
        <f>IF($DY186=0,"-",(DM186-$DW186)*100)</f>
        <v>-</v>
      </c>
      <c r="DO186" s="107">
        <f>SUM(DP186:DS186)^DO$3+DO$7</f>
        <v>7.0925414943249887</v>
      </c>
      <c r="DP186" s="133">
        <f>IF(SeilBeregnet=0,DP185,(SeilBeregnet^0.5/(Depl^0.3333))^DP$3*DP$7)</f>
        <v>4.6562011671243466</v>
      </c>
      <c r="DQ186" s="133">
        <f>IF(SeilBeregnet=0,DQ185,(SeilBeregnet^0.5/Lwl)^DQ$3*DQ$7)</f>
        <v>0</v>
      </c>
      <c r="DR186" s="133">
        <f>IF(SeilBeregnet=0,DR185,(0.1*Loa/Depl^0.3333)^DR$3*DR$7)</f>
        <v>0</v>
      </c>
      <c r="DS186" s="133">
        <f>IF(SeilBeregnet=0,DS185,((Loa)/Bredde)^DS$3*DS$7)</f>
        <v>2.4363403272006425</v>
      </c>
      <c r="DT186" s="107">
        <f>IF(SeilBeregnet=0,DT185,(Lwl)^DT$3)</f>
        <v>1.9315671412704052</v>
      </c>
      <c r="DU186" s="133">
        <f>IF(SeilBeregnet=0,DU185,(Dypg/Loa)^DU$3*5*DU$7)</f>
        <v>1.8470962903655979</v>
      </c>
      <c r="DW186" s="107">
        <f t="shared" si="1241"/>
        <v>1.8134509722294847</v>
      </c>
      <c r="DX186" s="107">
        <f t="shared" si="1301"/>
        <v>1.8181433373635714</v>
      </c>
      <c r="DZ186" s="107">
        <f t="shared" si="1302"/>
        <v>1.7897940286571079</v>
      </c>
      <c r="EA186" s="122" t="str">
        <f>IF($DY186=0,"-",DZ186-$DW186)</f>
        <v>-</v>
      </c>
      <c r="EB186" s="107">
        <f>IF(SeilBeregnet=0,"-",EB$7*(EB$4*ED186*EE186*EF186*PropF+EB$6)+ErfaringsF+Dyp_F)</f>
        <v>1.8212756682229936</v>
      </c>
      <c r="EC186" s="122" t="str">
        <f>IF($DY186=0,"-",EB186-$DW186)</f>
        <v>-</v>
      </c>
      <c r="ED186" s="107">
        <f>IF(SeilBeregnet=0,ED185,SeilBeregnet^0.5/Depl^0.33333)</f>
        <v>4.6557127794619042</v>
      </c>
      <c r="EE186" s="107">
        <f>IF(SeilBeregnet=0,EE185,Lwl^0.3333)</f>
        <v>2.4053316014652082</v>
      </c>
      <c r="EF186" s="107">
        <f>IF(SeilBeregnet=0,EF185,((Loa+Lwl)/Bredde)^EF$3)</f>
        <v>1.7704038094864074</v>
      </c>
      <c r="EH186" s="107">
        <f>IF(SeilBeregnet=0,"-",EH$7*(EH$4*EJ186*EK186*EL186*PropF+EH$6)+ErfaringsF+Dyp_F)</f>
        <v>1.8057234246786318</v>
      </c>
      <c r="EJ186" s="107">
        <f>IF(SeilBeregnet=0,EJ185,SeilBeregnet^0.5/Depl^0.33333)</f>
        <v>4.6557127794619042</v>
      </c>
      <c r="EK186" s="107">
        <f>IF(SeilBeregnet=0,EK185,Lwl^EK$3)</f>
        <v>2.4055216296858064</v>
      </c>
      <c r="EL186" s="107">
        <f>IF(SeilBeregnet=0,EL185,((Loa+Lwl)/Bredde)^EL$3)</f>
        <v>2.1415589697189774</v>
      </c>
      <c r="EM186" s="107">
        <f>IF(SeilBeregnet=0,"-",EM$7*(EM$4*EO186+EM$6)*ER186*PropF+ErfaringsF+Dyp_F)</f>
        <v>1.7633765669816548</v>
      </c>
      <c r="EO186" s="107">
        <f>IF(SeilBeregnet=0,EO185,(EP186*EQ186)^EO$3)</f>
        <v>8.2424916406339062</v>
      </c>
      <c r="EP186" s="107">
        <f>IF(SeilBeregnet=0,EP185,SeilBeregnet^0.5/Depl^0.33333)</f>
        <v>4.6557127794619042</v>
      </c>
      <c r="EQ186" s="107">
        <f>IF(SeilBeregnet=0,EQ185,((Loa+Lwl)/Bredde)^EQ$3)</f>
        <v>1.7704038094864074</v>
      </c>
      <c r="ER186" s="107">
        <f>IF(SeilBeregnet=0,ER185,Lwl^ER$3)</f>
        <v>1.9315671412704052</v>
      </c>
      <c r="ES186" s="107">
        <f t="shared" si="1537"/>
        <v>1.7304675883422849</v>
      </c>
      <c r="EU186" s="107">
        <f>IF(SeilBeregnet=0,EU185,(EV:EV*EW:EW)^EU$3)</f>
        <v>2.2948819567878824</v>
      </c>
      <c r="EV186" s="107">
        <f>IF(SeilBeregnet=0,EV185,SeilBeregnet^0.5/Depl^0.33333)</f>
        <v>4.6557127794619042</v>
      </c>
      <c r="EW186" s="107">
        <f>IF(SeilBeregnet=0,EW185,((Loa+Lwl)/Bredde/6)^EW$3)</f>
        <v>1.1311873058026716</v>
      </c>
      <c r="EX186" s="107">
        <f>IF(SeilBeregnet=0,EX185,(Lwl*0.7+Loa*0.3)^EX$3)</f>
        <v>2.0037084229436135</v>
      </c>
      <c r="EY186" s="107">
        <f t="shared" si="1538"/>
        <v>1.5462576905771905</v>
      </c>
      <c r="FA186" s="107">
        <f t="shared" si="1539"/>
        <v>2.295002321025982</v>
      </c>
      <c r="FB186" s="107">
        <f>IF(SeilBeregnet=0,FB185,SeilBeregnet^0.5/Depl^0.3333)</f>
        <v>4.6562011671243466</v>
      </c>
      <c r="FC186" s="107">
        <f>IF(SeilBeregnet=0,FC185,((Loa+Lwl)/Bredde/6)^FC$3)</f>
        <v>1.1311873058026716</v>
      </c>
      <c r="FD186" s="107">
        <f>IF(SeilBeregnet=0,FD185,(Lwl*0.7+Loa*0.3)^FD$3)</f>
        <v>2.0037084229436135</v>
      </c>
      <c r="FE186" s="107">
        <f t="shared" si="1540"/>
        <v>1.8830331453882534</v>
      </c>
      <c r="FF186" s="141" t="str">
        <f>IF($DY186=0,"-",(FE186-$DW186)*100)</f>
        <v>-</v>
      </c>
      <c r="FG186" s="107">
        <f t="shared" si="1541"/>
        <v>5.958003870465844</v>
      </c>
      <c r="FH186" s="133">
        <f>IF(SeilBeregnet=0,FH185,(SeilBeregnet^0.5/(Depl^0.3333))^FH$3)</f>
        <v>4.6562011671243466</v>
      </c>
      <c r="FI186" s="133">
        <f>IF(SeilBeregnet=0,FI185,((Loa+Lwl)/Bredde/6)^FI$3)</f>
        <v>1.2795847208091067</v>
      </c>
      <c r="FJ186" s="107">
        <f>IF(SeilBeregnet=0,FJ185,(Lwl*0.07+Loa*0.03)^FJ$3)</f>
        <v>1.126768049853176</v>
      </c>
      <c r="FK186" s="107">
        <f t="shared" si="1542"/>
        <v>1.7619253272924262</v>
      </c>
      <c r="FL186" s="141" t="str">
        <f>IF($DY186=0,"-",(FK186-$DW186)*100)</f>
        <v>-</v>
      </c>
      <c r="FM186" s="107">
        <f t="shared" si="1543"/>
        <v>7.6653277387982701</v>
      </c>
      <c r="FN186" s="133">
        <f>IF(SeilBeregnet=0,FN185,(SeilBeregnet^0.5/(Depl^0.3333))^FN$3)</f>
        <v>4.6562011671243466</v>
      </c>
      <c r="FO186" s="133">
        <f>IF(SeilBeregnet=0,FO185,(SeilBeregnet^0.5/Lwl*FO$7)^FO$3)</f>
        <v>1.0727862444732814</v>
      </c>
      <c r="FP186" s="133">
        <f>IF(SeilBeregnet=0,FP185,((Loa)/Bredde)^FP$3*FP$7)</f>
        <v>2.4363403272006425</v>
      </c>
      <c r="FQ186" s="107">
        <f>IF(SeilBeregnet=0,FQ185,(Lwl)^FQ$3)</f>
        <v>1.9315671412704052</v>
      </c>
      <c r="FR186" s="107">
        <f t="shared" si="1544"/>
        <v>1.8968410470751678</v>
      </c>
      <c r="FS186" s="141" t="str">
        <f>IF($DY186=0,"-",(FR186-$DW186)*100)</f>
        <v>-</v>
      </c>
      <c r="FT186" s="107">
        <f t="shared" si="1545"/>
        <v>11.344090675023745</v>
      </c>
      <c r="FU186" s="133">
        <f>IF(SeilBeregnet=0,FU185,(SeilBeregnet^0.5/(Depl^0.3333))^FU$3)</f>
        <v>4.6562011671243466</v>
      </c>
      <c r="FV186" s="133">
        <f>IF(SeilBeregnet=0,FV185,(Loa/Bredde)^FV$3)</f>
        <v>2.4363403272006425</v>
      </c>
      <c r="FW186" s="107">
        <f>IF(SeilBeregnet=0,FW185,Lwl^FW$3)</f>
        <v>1.9315671412704052</v>
      </c>
      <c r="FY186" s="336">
        <v>1</v>
      </c>
      <c r="FZ186" s="62">
        <f>IF(SeilBeregnet=0,"-",0.06*2.43^(1/2)*(SeilBeregnet^(1/2)/Depl^(1/3)+(Loa/Bredde)^(1/2)+GA186)*Lwl^(1/4)*FY186)</f>
        <v>1.6149450710611848</v>
      </c>
      <c r="GA186" s="62">
        <f t="shared" si="1303"/>
        <v>1.8470962903655979</v>
      </c>
      <c r="GB186" s="107">
        <f t="shared" si="1640"/>
        <v>1.523639509323153</v>
      </c>
      <c r="GC186" s="440"/>
      <c r="GD186" s="17"/>
      <c r="GE186" s="442"/>
      <c r="GF186" s="462"/>
      <c r="GG186" s="17"/>
      <c r="GH186" s="17"/>
      <c r="GI186" s="17"/>
      <c r="GJ186" s="17"/>
      <c r="GL186" s="17"/>
      <c r="GM186" s="442"/>
      <c r="GN186" s="8"/>
      <c r="GO186" s="8"/>
      <c r="GP186" s="8"/>
      <c r="GQ186" s="8"/>
      <c r="GS186" s="17"/>
      <c r="GT186" s="17"/>
      <c r="GU186" s="17"/>
      <c r="GV186" s="629"/>
      <c r="GW186" s="17"/>
      <c r="GX186" s="17"/>
      <c r="GY186" s="17"/>
      <c r="GZ186" s="17"/>
    </row>
    <row r="187" spans="1:208" ht="17.399999999999999" x14ac:dyDescent="0.3">
      <c r="A187" s="115" t="s">
        <v>258</v>
      </c>
      <c r="B187" s="97"/>
      <c r="C187" s="97"/>
      <c r="D187" s="97"/>
      <c r="E187" s="97"/>
      <c r="F187" s="97"/>
      <c r="G187" s="97"/>
      <c r="H187" s="205"/>
      <c r="I187" s="97"/>
      <c r="J187" s="224"/>
      <c r="K187" s="224"/>
      <c r="L187" s="224"/>
      <c r="M187" s="224"/>
      <c r="N187" s="243"/>
      <c r="O187" s="224"/>
      <c r="P187" s="224"/>
      <c r="Q187" s="224"/>
      <c r="R187" s="224"/>
      <c r="S187" s="224"/>
      <c r="T187" s="245" t="s">
        <v>129</v>
      </c>
      <c r="U187" s="246"/>
      <c r="V187" s="246"/>
      <c r="W187" s="246"/>
      <c r="X187" s="245"/>
      <c r="Y187" s="177">
        <f>StorS-StorS/6</f>
        <v>0</v>
      </c>
      <c r="Z187" s="177">
        <f>StorS-StorS/6*1.9</f>
        <v>0</v>
      </c>
      <c r="AA187" s="224"/>
      <c r="AB187" s="224"/>
      <c r="AC187" s="224"/>
      <c r="AD187" s="224"/>
      <c r="AE187" s="224"/>
      <c r="AF187" s="224"/>
      <c r="AG187" s="224"/>
      <c r="AH187" s="556"/>
      <c r="AI187" s="556"/>
      <c r="AJ187" s="269"/>
      <c r="AK187" s="341"/>
      <c r="AL187" s="269"/>
      <c r="AM187" s="341"/>
      <c r="AN187" s="269"/>
      <c r="AO187" s="97"/>
      <c r="AP187" s="224"/>
      <c r="AQ187" s="224"/>
      <c r="AR187" s="224"/>
      <c r="AS187" s="224"/>
      <c r="AT187" s="224"/>
      <c r="AU187" s="224"/>
      <c r="AV187" s="224"/>
      <c r="AW187" s="224"/>
      <c r="AX187" s="224"/>
      <c r="AY187" s="224"/>
      <c r="AZ187" s="224"/>
      <c r="BA187" s="224"/>
      <c r="BB187" s="224"/>
      <c r="BC187" s="224"/>
      <c r="BD187" s="224"/>
      <c r="BE187" s="224"/>
      <c r="BF187" s="224"/>
      <c r="BG187" s="224"/>
      <c r="BH187" s="224"/>
      <c r="BI187" s="224"/>
      <c r="BJ187" s="224"/>
      <c r="BK187" s="224"/>
      <c r="BL187" s="269"/>
      <c r="BM187" s="269"/>
      <c r="BN187" s="97"/>
      <c r="BO187" s="97"/>
      <c r="BP187" s="97"/>
      <c r="BQ187" s="60"/>
      <c r="BR187" s="97"/>
      <c r="BS187" s="97"/>
      <c r="BT187" s="97"/>
      <c r="BU187" s="97"/>
      <c r="BV187" s="97"/>
      <c r="BW187" s="97"/>
      <c r="BX187" s="97"/>
      <c r="BY187" s="549"/>
      <c r="BZ187" s="97"/>
      <c r="CA187" s="97"/>
      <c r="CB187" s="97"/>
      <c r="CC187" s="97"/>
      <c r="CD187" s="97"/>
      <c r="CE187" s="97"/>
      <c r="CF187" s="97"/>
      <c r="CG187" s="97"/>
      <c r="CH187" s="97"/>
      <c r="CI187" s="97"/>
      <c r="CJ187" s="97"/>
      <c r="CK187" s="97"/>
      <c r="CL187" s="102"/>
      <c r="CM187" s="97"/>
      <c r="CN187" s="105"/>
      <c r="CO187" s="103"/>
      <c r="CP187" s="97"/>
      <c r="CQ187" s="224"/>
      <c r="CR187" s="97"/>
      <c r="CS187" s="205"/>
      <c r="CT187" s="205"/>
      <c r="CU187" s="107" t="str">
        <f t="shared" si="83"/>
        <v>-</v>
      </c>
      <c r="CV187" s="62" t="str">
        <f t="shared" si="523"/>
        <v>-</v>
      </c>
      <c r="CW187" s="62" t="str">
        <f t="shared" si="84"/>
        <v>-</v>
      </c>
      <c r="CX187" s="62" t="str">
        <f t="shared" si="524"/>
        <v>-</v>
      </c>
      <c r="CY187" s="107" t="str">
        <f t="shared" si="85"/>
        <v>-</v>
      </c>
      <c r="CZ187" s="168" t="str">
        <f t="shared" si="1450"/>
        <v>-</v>
      </c>
      <c r="DA187" s="162"/>
      <c r="DB187" s="168" t="str">
        <f t="shared" si="1451"/>
        <v>-</v>
      </c>
      <c r="DC187" s="162"/>
      <c r="DD187" s="162"/>
      <c r="DE187" s="162"/>
      <c r="DF187" s="162"/>
      <c r="DG187" s="162"/>
      <c r="DH187" s="162"/>
      <c r="DI187" s="162"/>
      <c r="DJ187" s="162"/>
      <c r="DK187" s="162"/>
      <c r="DL187" s="162"/>
      <c r="DM187" s="162"/>
      <c r="DN187" s="162"/>
      <c r="DO187" s="162"/>
      <c r="DP187" s="162"/>
      <c r="DQ187" s="162"/>
      <c r="DR187" s="162"/>
      <c r="DS187" s="162"/>
      <c r="DT187" s="162"/>
      <c r="DU187" s="162"/>
      <c r="DV187" s="162"/>
      <c r="DW187" s="162"/>
      <c r="DX187" s="162"/>
      <c r="DY187" s="162"/>
      <c r="DZ187" s="162"/>
      <c r="EA187" s="162"/>
      <c r="EB187" s="162"/>
      <c r="EC187" s="162"/>
      <c r="ED187" s="162"/>
      <c r="EE187" s="162"/>
      <c r="EF187" s="162"/>
      <c r="EG187" s="162"/>
      <c r="EH187" s="162"/>
      <c r="EI187" s="162"/>
      <c r="EJ187" s="162"/>
      <c r="EK187" s="162"/>
      <c r="EL187" s="162"/>
      <c r="EM187" s="162"/>
      <c r="EN187" s="162"/>
      <c r="EO187" s="162"/>
      <c r="EP187" s="162"/>
      <c r="EQ187" s="162"/>
      <c r="ER187" s="162"/>
      <c r="ES187" s="162"/>
      <c r="ET187" s="162"/>
      <c r="EU187" s="162"/>
      <c r="EV187" s="162"/>
      <c r="EW187" s="162"/>
      <c r="EX187" s="162"/>
      <c r="EY187" s="162"/>
      <c r="EZ187" s="162"/>
      <c r="FA187" s="162"/>
      <c r="FB187" s="162"/>
      <c r="FC187" s="162"/>
      <c r="FD187" s="162"/>
      <c r="FE187" s="162"/>
      <c r="FF187" s="162"/>
      <c r="FG187" s="162"/>
      <c r="FH187" s="162"/>
      <c r="FI187" s="162"/>
      <c r="FJ187" s="162"/>
      <c r="FK187" s="162"/>
      <c r="FL187" s="162"/>
      <c r="FM187" s="162"/>
      <c r="FN187" s="162"/>
      <c r="FO187" s="162"/>
      <c r="FP187" s="162"/>
      <c r="FQ187" s="162"/>
      <c r="FR187" s="162"/>
      <c r="FS187" s="162"/>
      <c r="FT187" s="162"/>
      <c r="FU187" s="162"/>
      <c r="FV187" s="162"/>
      <c r="FW187" s="162"/>
      <c r="FX187" s="521"/>
      <c r="FY187" s="162"/>
      <c r="FZ187" s="62" t="str">
        <f t="shared" si="1452"/>
        <v>-</v>
      </c>
      <c r="GA187" s="62">
        <f t="shared" si="1378"/>
        <v>2</v>
      </c>
      <c r="GB187" s="107" t="str">
        <f t="shared" si="525"/>
        <v>-</v>
      </c>
      <c r="GC187" s="97"/>
      <c r="GD187" s="97"/>
      <c r="GE187" s="444"/>
      <c r="GF187" s="97"/>
      <c r="GG187" s="438"/>
      <c r="GH187" s="438"/>
      <c r="GI187" s="438"/>
      <c r="GJ187" s="438"/>
      <c r="GL187" s="97"/>
      <c r="GM187" s="444"/>
      <c r="GN187" s="97"/>
      <c r="GO187" s="97"/>
      <c r="GP187" s="97"/>
      <c r="GQ187" s="97"/>
      <c r="GS187" s="438"/>
      <c r="GT187" s="438"/>
      <c r="GU187" s="438"/>
      <c r="GV187" s="205"/>
      <c r="GW187" s="438"/>
      <c r="GX187" s="438"/>
      <c r="GY187" s="438"/>
      <c r="GZ187" s="438"/>
    </row>
    <row r="188" spans="1:208" ht="15.6" x14ac:dyDescent="0.3">
      <c r="A188" s="52" t="s">
        <v>891</v>
      </c>
      <c r="B188" s="218">
        <f t="shared" si="10"/>
        <v>37.073490813648291</v>
      </c>
      <c r="C188" s="53" t="s">
        <v>19</v>
      </c>
      <c r="D188" s="53"/>
      <c r="E188" s="53"/>
      <c r="F188" s="53"/>
      <c r="G188" s="54"/>
      <c r="H188" s="112">
        <f>J189</f>
        <v>94</v>
      </c>
      <c r="I188" s="601">
        <f>H189/100</f>
        <v>1.145</v>
      </c>
      <c r="J188" s="651">
        <f>IF(DC189=0,"-",DC189)</f>
        <v>1.19</v>
      </c>
      <c r="K188" s="123" t="str">
        <f>A188</f>
        <v>Los Frithjof 1</v>
      </c>
      <c r="L188" s="116"/>
      <c r="M188" s="116"/>
      <c r="N188" s="92"/>
      <c r="O188" s="165"/>
      <c r="P188" s="165"/>
      <c r="Q188" s="165"/>
      <c r="R188" s="165">
        <v>24</v>
      </c>
      <c r="S188" s="165">
        <v>14.4</v>
      </c>
      <c r="T188" s="165"/>
      <c r="U188" s="165">
        <v>17</v>
      </c>
      <c r="V188" s="559"/>
      <c r="W188" s="559"/>
      <c r="X188" s="165">
        <v>43</v>
      </c>
      <c r="Y188" s="177">
        <f>StorS-StorS/6</f>
        <v>35.833333333333336</v>
      </c>
      <c r="Z188" s="177">
        <f>StorS-StorS/6*1.9</f>
        <v>29.383333333333333</v>
      </c>
      <c r="AA188" s="165">
        <v>10</v>
      </c>
      <c r="AB188" s="165"/>
      <c r="AC188" s="165"/>
      <c r="AD188" s="165"/>
      <c r="AE188" s="165"/>
      <c r="AF188" s="165"/>
      <c r="AG188" s="552"/>
      <c r="AH188" s="244"/>
      <c r="AI188" s="244">
        <v>10.55</v>
      </c>
      <c r="AJ188" s="554"/>
      <c r="AK188" s="339"/>
      <c r="AL188" s="268"/>
      <c r="AM188" s="339"/>
      <c r="AN188" s="268" t="s">
        <v>203</v>
      </c>
      <c r="AO188" s="45">
        <f>VLOOKUP(AN188,Skrogform!$1:$1048576,3,FALSE)</f>
        <v>0.97</v>
      </c>
      <c r="AP188" s="55">
        <v>11.3</v>
      </c>
      <c r="AQ188" s="55">
        <v>10.199999999999999</v>
      </c>
      <c r="AR188" s="55">
        <v>4.05</v>
      </c>
      <c r="AS188" s="55">
        <v>1.8</v>
      </c>
      <c r="AT188" s="637">
        <f>AU188</f>
        <v>15.24</v>
      </c>
      <c r="AU188" s="55">
        <v>15.24</v>
      </c>
      <c r="AV188" s="55">
        <v>5.2</v>
      </c>
      <c r="AW188" s="55">
        <v>0.3</v>
      </c>
      <c r="AX188" s="253"/>
      <c r="AY188" s="253">
        <v>30</v>
      </c>
      <c r="AZ188" s="253">
        <v>450</v>
      </c>
      <c r="BA188" s="253"/>
      <c r="BB188" s="253"/>
      <c r="BC188" s="244">
        <f>Depl+Diesel/1000*0.84+Vann/1000</f>
        <v>15.24</v>
      </c>
      <c r="BD188" s="95">
        <f>Bredde/(Loa+Lwl)*2</f>
        <v>0.37674418604651161</v>
      </c>
      <c r="BE188" s="95">
        <f>(Kjøl+Ballast)/Depl</f>
        <v>0.36089238845144356</v>
      </c>
      <c r="BF188" s="260">
        <f>BF$7*((Depl-Kjøl-Ballast-VektMotor/1000-VektAnnet/1000)/Lwl/Lwl/Bredde)</f>
        <v>0.83203188772818404</v>
      </c>
      <c r="BG188" s="95">
        <f>BG$7*(Depl/Loa/Lwl/Lwl)</f>
        <v>0.95393858407079657</v>
      </c>
      <c r="BH188" s="174">
        <f>BH$7*(Depl/Loa/Lwl/Bredde)</f>
        <v>0.88805093411996072</v>
      </c>
      <c r="BI188" s="95">
        <f>BI$7*Bredde/(Loa+Lwl)*2</f>
        <v>1.0747336834208552</v>
      </c>
      <c r="BJ188" s="95">
        <f>BJ$7*(Dypg/Lwl)</f>
        <v>0.96521739130434792</v>
      </c>
      <c r="BK188" s="56" t="s">
        <v>21</v>
      </c>
      <c r="BL188" s="268">
        <v>3</v>
      </c>
      <c r="BM188" s="268">
        <v>50</v>
      </c>
      <c r="BN188" s="45">
        <f t="shared" ref="BN188:BN191" si="1656">IF((BK188="Fast"),(1.006248-(0.06415*((BM188/100*SQRT(BL188))/POWER(AU188,(1/3))))),1)</f>
        <v>1</v>
      </c>
      <c r="BO188" s="59"/>
      <c r="BP188" s="59"/>
      <c r="BR188" s="209"/>
      <c r="BS188" s="209"/>
      <c r="BT188" s="209" t="str">
        <f>$A188</f>
        <v>Los Frithjof 1</v>
      </c>
      <c r="BU188" s="10"/>
      <c r="BV188" s="10"/>
      <c r="BW188" s="10"/>
      <c r="BX188" s="10"/>
      <c r="BY188" s="549"/>
      <c r="BZ188" s="10"/>
      <c r="CA188" s="10"/>
      <c r="CB188" s="209" t="str">
        <f>$A188</f>
        <v>Los Frithjof 1</v>
      </c>
      <c r="CC188" s="10"/>
      <c r="CD188" s="10"/>
      <c r="CE188" s="10"/>
      <c r="CF188" s="10"/>
      <c r="CG188" s="10"/>
      <c r="CH188" s="10"/>
      <c r="CI188" s="10"/>
      <c r="CJ188" s="10"/>
      <c r="CK188" s="10"/>
      <c r="CL188" s="209"/>
      <c r="CM188" s="10"/>
      <c r="CN188" s="209" t="str">
        <f>$A188</f>
        <v>Los Frithjof 1</v>
      </c>
      <c r="CO188" s="207"/>
      <c r="CP188" s="207"/>
      <c r="CQ188" s="116"/>
      <c r="CR188" s="207"/>
      <c r="CS188" s="203"/>
      <c r="CT188" s="203" t="s">
        <v>23</v>
      </c>
      <c r="CU188" s="107" t="str">
        <f t="shared" si="83"/>
        <v>-</v>
      </c>
      <c r="CV188" s="62" t="str">
        <f t="shared" si="523"/>
        <v>-</v>
      </c>
      <c r="CW188" s="62" t="str">
        <f t="shared" si="84"/>
        <v>-</v>
      </c>
      <c r="CX188" s="62" t="str">
        <f t="shared" si="524"/>
        <v>-</v>
      </c>
      <c r="CY188" s="107" t="str">
        <f t="shared" si="85"/>
        <v>-</v>
      </c>
      <c r="CZ188" s="168" t="str">
        <f t="shared" si="1450"/>
        <v>-</v>
      </c>
      <c r="DA188" s="158"/>
      <c r="DB188" s="168" t="str">
        <f t="shared" si="1451"/>
        <v>-</v>
      </c>
      <c r="DC188" s="160">
        <v>1.19</v>
      </c>
      <c r="DD188" s="190" t="s">
        <v>134</v>
      </c>
      <c r="DE188" s="29" t="s">
        <v>23</v>
      </c>
      <c r="DF188" s="29" t="s">
        <v>23</v>
      </c>
      <c r="DG188" s="29" t="s">
        <v>23</v>
      </c>
      <c r="DH188" s="149">
        <v>2022</v>
      </c>
      <c r="DI188" s="62" t="str">
        <f t="shared" si="88"/>
        <v>-</v>
      </c>
      <c r="DJ188" s="47">
        <f t="shared" si="89"/>
        <v>11.803278688524591</v>
      </c>
      <c r="DK188" s="48">
        <f t="shared" ref="DK188:DK191" si="1657">DJ$7*IF(DJ188&lt;DJ$5,-0.04,IF(DJ188&lt;DJ$5*1.1,-0.03,IF(DJ188&lt;DJ$5*1.2,-0.02,IF(DJ188&lt;DJ$5*1.3,-0.01,0))))</f>
        <v>0</v>
      </c>
      <c r="DM188" s="107" t="str">
        <f t="shared" ref="DM188:DM219" si="1658">IF(SeilBeregnet=0,"-",DM$7*(DO:DO+DM$6)*DT:DT*PropF+ErfaringsF+Dyp_F)</f>
        <v>-</v>
      </c>
      <c r="DN188" s="141" t="str">
        <f t="shared" ref="DN188:DN191" si="1659">IF($DY188=0,"-",(DM188-$DW188)*100)</f>
        <v>-</v>
      </c>
      <c r="DO188" s="107" t="e">
        <f t="shared" ref="DO188:DO189" si="1660">SUM(DP188:DS188)^DO$3+DO$7</f>
        <v>#REF!</v>
      </c>
      <c r="DP188" s="133" t="e">
        <f>IF(SeilBeregnet=0,#REF!,(SeilBeregnet^0.5/(Depl^0.3333))^DP$3*DP$7)</f>
        <v>#REF!</v>
      </c>
      <c r="DQ188" s="133" t="e">
        <f>IF(SeilBeregnet=0,#REF!,(SeilBeregnet^0.5/Lwl)^DQ$3*DQ$7)</f>
        <v>#REF!</v>
      </c>
      <c r="DR188" s="133" t="e">
        <f>IF(SeilBeregnet=0,#REF!,(0.1*Loa/Depl^0.3333)^DR$3*DR$7)</f>
        <v>#REF!</v>
      </c>
      <c r="DS188" s="133" t="e">
        <f>IF(SeilBeregnet=0,#REF!,((Loa)/Bredde)^DS$3*DS$7)</f>
        <v>#REF!</v>
      </c>
      <c r="DT188" s="107" t="e">
        <f>IF(SeilBeregnet=0,#REF!,(Lwl)^DT$3)</f>
        <v>#REF!</v>
      </c>
      <c r="DU188" s="133" t="e">
        <f>IF(SeilBeregnet=0,#REF!,(Dypg/Loa)^DU$3*5*DU$7)</f>
        <v>#REF!</v>
      </c>
      <c r="DW188" s="107" t="str">
        <f t="shared" si="247"/>
        <v>-</v>
      </c>
      <c r="DX188" s="107" t="str">
        <f t="shared" si="93"/>
        <v>-</v>
      </c>
      <c r="DZ188" s="107" t="str">
        <f t="shared" si="94"/>
        <v>-</v>
      </c>
      <c r="EA188" s="122" t="str">
        <f t="shared" ref="EA188:EA191" si="1661">IF($DY188=0,"-",DZ188-$DW188)</f>
        <v>-</v>
      </c>
      <c r="EB188" s="107" t="str">
        <f t="shared" ref="EB188:EB191" si="1662">IF(SeilBeregnet=0,"-",EB$7*(EB$4*ED188*EE188*EF188*PropF+EB$6)+ErfaringsF+Dyp_F)</f>
        <v>-</v>
      </c>
      <c r="EC188" s="122" t="str">
        <f t="shared" ref="EC188:EC191" si="1663">IF($DY188=0,"-",EB188-$DW188)</f>
        <v>-</v>
      </c>
      <c r="ED188" s="107">
        <f>IF(SeilBeregnet=0,ED66,SeilBeregnet^0.5/Depl^0.33333)</f>
        <v>3.1933738145334689</v>
      </c>
      <c r="EE188" s="107">
        <f>IF(SeilBeregnet=0,EE66,Lwl^0.3333)</f>
        <v>2.2331959630580456</v>
      </c>
      <c r="EF188" s="107">
        <f>IF(SeilBeregnet=0,EF66,((Loa+Lwl)/Bredde)^EF$3)</f>
        <v>1.515560780855169</v>
      </c>
      <c r="EH188" s="107" t="str">
        <f t="shared" ref="EH188:EH191" si="1664">IF(SeilBeregnet=0,"-",EH$7*(EH$4*EJ188*EK188*EL188*PropF+EH$6)+ErfaringsF+Dyp_F)</f>
        <v>-</v>
      </c>
      <c r="EJ188" s="107">
        <f>IF(SeilBeregnet=0,EJ66,SeilBeregnet^0.5/Depl^0.33333)</f>
        <v>3.1933738145334689</v>
      </c>
      <c r="EK188" s="107">
        <f>IF(SeilBeregnet=0,EK66,Lwl^EK$3)</f>
        <v>2.2333574652932007</v>
      </c>
      <c r="EL188" s="107">
        <f>IF(SeilBeregnet=0,EL66,((Loa+Lwl)/Bredde)^EL$3)</f>
        <v>1.7407660223285584</v>
      </c>
      <c r="EM188" s="107" t="str">
        <f t="shared" ref="EM188:EM191" si="1665">IF(SeilBeregnet=0,"-",EM$7*(EM$4*EO188+EM$6)*ER188*PropF+ErfaringsF+Dyp_F)</f>
        <v>-</v>
      </c>
      <c r="EO188" s="107">
        <f>IF(SeilBeregnet=0,EO66,(EP188*EQ188)^EO$3)</f>
        <v>4.8397521119167939</v>
      </c>
      <c r="EP188" s="107">
        <f>IF(SeilBeregnet=0,EP66,SeilBeregnet^0.5/Depl^0.33333)</f>
        <v>3.1933738145334689</v>
      </c>
      <c r="EQ188" s="107">
        <f>IF(SeilBeregnet=0,EQ66,((Loa+Lwl)/Bredde)^EQ$3)</f>
        <v>1.515560780855169</v>
      </c>
      <c r="ER188" s="107">
        <f>IF(SeilBeregnet=0,ER66,Lwl^ER$3)</f>
        <v>1.8269274352463283</v>
      </c>
      <c r="ES188" s="107" t="str">
        <f t="shared" ref="ES188:ES219" si="1666">IF(SeilBeregnet=0,"-",ES$7*(ES$4*EU:EU+ES$6)*EX:EX*PropF+ErfaringsF+Dyp_F)</f>
        <v>-</v>
      </c>
      <c r="EU188" s="107">
        <f>IF(SeilBeregnet=0,EU66,(EV:EV*EW:EW)^EU$3)</f>
        <v>1.7585011339690884</v>
      </c>
      <c r="EV188" s="107">
        <f>IF(SeilBeregnet=0,EV66,SeilBeregnet^0.5/Depl^0.33333)</f>
        <v>3.1933738145334689</v>
      </c>
      <c r="EW188" s="107">
        <f>IF(SeilBeregnet=0,EW66,((Loa+Lwl)/Bredde/6)^EW$3)</f>
        <v>0.96835710999350633</v>
      </c>
      <c r="EX188" s="107">
        <f>IF(SeilBeregnet=0,EX66,(Lwl*0.7+Loa*0.3)^EX$3)</f>
        <v>1.83511310912736</v>
      </c>
      <c r="EY188" s="107" t="str">
        <f t="shared" ref="EY188:EY219" si="1667">IF(SeilBeregnet=0,"-",EY$7*(FA:FA+EY$6)*FD:FD*PropF+ErfaringsF+Dyp_F)</f>
        <v>-</v>
      </c>
      <c r="FA188" s="107">
        <f t="shared" ref="FA188:FA219" si="1668">(FB:FB*FC:FC)^FA$3</f>
        <v>1.7585780992004432</v>
      </c>
      <c r="FB188" s="107">
        <f>IF(SeilBeregnet=0,FB66,SeilBeregnet^0.5/Depl^0.3333)</f>
        <v>3.1936533527472961</v>
      </c>
      <c r="FC188" s="107">
        <f>IF(SeilBeregnet=0,FC66,((Loa+Lwl)/Bredde/6)^FC$3)</f>
        <v>0.96835710999350633</v>
      </c>
      <c r="FD188" s="107">
        <f>IF(SeilBeregnet=0,FD66,(Lwl*0.7+Loa*0.3)^FD$3)</f>
        <v>1.83511310912736</v>
      </c>
      <c r="FE188" s="107" t="str">
        <f t="shared" ref="FE188:FE219" si="1669">IF(SeilBeregnet=0,"-",FE$7*(FG:FG+FE$6)*FJ:FJ*PropF+ErfaringsF+Dyp_F)</f>
        <v>-</v>
      </c>
      <c r="FF188" s="141" t="str">
        <f t="shared" ref="FF188:FF191" si="1670">IF($DY188=0,"-",(FE188-$DW188)*100)</f>
        <v>-</v>
      </c>
      <c r="FG188" s="107">
        <f t="shared" ref="FG188:FG219" si="1671">(FH:FH*FI:FI)^FG$3</f>
        <v>2.9947382264657882</v>
      </c>
      <c r="FH188" s="133">
        <f>IF(SeilBeregnet=0,FH66,(SeilBeregnet^0.5/(Depl^0.3333))^FH$3)</f>
        <v>3.1936533527472961</v>
      </c>
      <c r="FI188" s="133">
        <f>IF(SeilBeregnet=0,FI66,((Loa+Lwl)/Bredde/6)^FI$3)</f>
        <v>0.93771549247497576</v>
      </c>
      <c r="FJ188" s="107">
        <f>IF(SeilBeregnet=0,FJ66,(Lwl*0.07+Loa*0.03)^FJ$3)</f>
        <v>1.0319599376608612</v>
      </c>
      <c r="FK188" s="107" t="str">
        <f t="shared" ref="FK188:FK219" si="1672">IF(SeilBeregnet=0,"-",FK$7*(FM:FM+FK$6)*FQ:FQ*PropF+ErfaringsF+Dyp_F)</f>
        <v>-</v>
      </c>
      <c r="FL188" s="141" t="str">
        <f t="shared" ref="FL188:FL191" si="1673">IF($DY188=0,"-",(FK188-$DW188)*100)</f>
        <v>-</v>
      </c>
      <c r="FM188" s="107">
        <f t="shared" ref="FM188:FM219" si="1674">(FN:FN+FO:FO+FP:FP)^FM$3+FM$7</f>
        <v>5.0995042548244225</v>
      </c>
      <c r="FN188" s="133">
        <f>IF(SeilBeregnet=0,FN66,(SeilBeregnet^0.5/(Depl^0.3333))^FN$3)</f>
        <v>3.1936533527472961</v>
      </c>
      <c r="FO188" s="133">
        <f>IF(SeilBeregnet=0,FO66,(SeilBeregnet^0.5/Lwl*FO$7)^FO$3)</f>
        <v>0.75814263641368351</v>
      </c>
      <c r="FP188" s="133">
        <f>IF(SeilBeregnet=0,FP66,((Loa)/Bredde)^FP$3*FP$7)</f>
        <v>1.6477082656634434</v>
      </c>
      <c r="FQ188" s="107">
        <f>IF(SeilBeregnet=0,FQ66,(Lwl)^FQ$3)</f>
        <v>1.8269274352463283</v>
      </c>
      <c r="FR188" s="107" t="str">
        <f t="shared" ref="FR188:FR219" si="1675">IF(SeilBeregnet=0,"-",FR$7*(FT:FT+FR$6)*FW:FW*PropF+ErfaringsF+Dyp_F)</f>
        <v>-</v>
      </c>
      <c r="FS188" s="141" t="str">
        <f t="shared" ref="FS188:FS191" si="1676">IF($DY188=0,"-",(FR188-$DW188)*100)</f>
        <v>-</v>
      </c>
      <c r="FT188" s="107">
        <f t="shared" ref="FT188:FT219" si="1677">(FU:FU*FV:FV)^FT$3</f>
        <v>5.2622090269854889</v>
      </c>
      <c r="FU188" s="133">
        <f>IF(SeilBeregnet=0,FU66,(SeilBeregnet^0.5/(Depl^0.3333))^FU$3)</f>
        <v>3.1936533527472961</v>
      </c>
      <c r="FV188" s="133">
        <f>IF(SeilBeregnet=0,FV66,(Loa/Bredde)^FV$3)</f>
        <v>1.6477082656634434</v>
      </c>
      <c r="FW188" s="107">
        <f>IF(SeilBeregnet=0,FW66,Lwl^FW$3)</f>
        <v>1.8269274352463283</v>
      </c>
      <c r="FY188">
        <v>0.95</v>
      </c>
      <c r="FZ188" s="62" t="str">
        <f t="shared" si="1452"/>
        <v>-</v>
      </c>
      <c r="GA188" s="62">
        <f t="shared" si="1378"/>
        <v>1.9955703157132179</v>
      </c>
      <c r="GB188" s="107" t="str">
        <f t="shared" si="525"/>
        <v>-</v>
      </c>
      <c r="GC188" s="441" t="s">
        <v>900</v>
      </c>
      <c r="GD188" s="57"/>
      <c r="GE188" s="436"/>
      <c r="GF188" s="75"/>
      <c r="GG188" s="57"/>
      <c r="GH188" s="57"/>
      <c r="GI188" s="57"/>
      <c r="GJ188" s="57"/>
      <c r="GL188" s="57" t="s">
        <v>478</v>
      </c>
      <c r="GM188" s="436" t="s">
        <v>478</v>
      </c>
      <c r="GN188" s="58" t="s">
        <v>478</v>
      </c>
      <c r="GO188" s="58" t="s">
        <v>478</v>
      </c>
      <c r="GP188" s="58" t="s">
        <v>478</v>
      </c>
      <c r="GQ188" s="58"/>
      <c r="GS188" s="57" t="s">
        <v>470</v>
      </c>
      <c r="GT188" s="57" t="s">
        <v>860</v>
      </c>
      <c r="GU188" s="57" t="s">
        <v>465</v>
      </c>
      <c r="GV188" s="632" t="s">
        <v>465</v>
      </c>
      <c r="GW188" s="57">
        <v>1891</v>
      </c>
      <c r="GX188" s="57" t="s">
        <v>468</v>
      </c>
      <c r="GY188" s="57" t="s">
        <v>901</v>
      </c>
      <c r="GZ188" s="57"/>
    </row>
    <row r="189" spans="1:208" ht="15.6" x14ac:dyDescent="0.3">
      <c r="A189" s="60" t="s">
        <v>28</v>
      </c>
      <c r="B189" s="218"/>
      <c r="C189" s="61" t="str">
        <f>C188</f>
        <v>Gaffel</v>
      </c>
      <c r="D189" s="61"/>
      <c r="E189" s="61"/>
      <c r="F189" s="61"/>
      <c r="G189" s="54"/>
      <c r="H189" s="204">
        <f>IF(StH=0,0,TBFavrundet)</f>
        <v>114.5</v>
      </c>
      <c r="I189" s="63">
        <f>COUNTA(O189:AG189)</f>
        <v>4</v>
      </c>
      <c r="J189" s="222">
        <f>SUM(O189:AG189)</f>
        <v>94</v>
      </c>
      <c r="K189" s="116">
        <f>Seilareal/Depl^0.667/K$7</f>
        <v>1.4158995674436454</v>
      </c>
      <c r="L189" s="116">
        <f>Seilareal/Lwl/Lwl/L$7</f>
        <v>1.3708959198892086</v>
      </c>
      <c r="M189" s="92">
        <f>RiggF</f>
        <v>0.75425531914893618</v>
      </c>
      <c r="N189" s="242">
        <f>StHfaktor</f>
        <v>1.0042261726404875</v>
      </c>
      <c r="O189" s="143"/>
      <c r="P189" s="143"/>
      <c r="Q189" s="143"/>
      <c r="R189" s="165">
        <v>24</v>
      </c>
      <c r="S189" s="143"/>
      <c r="T189" s="143"/>
      <c r="U189" s="165">
        <v>17</v>
      </c>
      <c r="V189" s="559"/>
      <c r="W189" s="559"/>
      <c r="X189" s="165">
        <v>43</v>
      </c>
      <c r="Y189" s="143"/>
      <c r="Z189" s="143"/>
      <c r="AA189" s="165">
        <v>10</v>
      </c>
      <c r="AB189" s="143"/>
      <c r="AC189" s="143"/>
      <c r="AD189" s="143"/>
      <c r="AE189" s="143"/>
      <c r="AF189" s="143"/>
      <c r="AG189" s="551"/>
      <c r="AH189" s="557">
        <f t="shared" ref="AH189:AI191" si="1678">AH188</f>
        <v>0</v>
      </c>
      <c r="AI189" s="557">
        <f t="shared" si="1678"/>
        <v>10.55</v>
      </c>
      <c r="AJ189" s="337">
        <f t="shared" ref="AJ189" si="1679" xml:space="preserve"> AJ188</f>
        <v>0</v>
      </c>
      <c r="AK189" s="339"/>
      <c r="AL189" s="337">
        <f t="shared" ref="AL189" si="1680" xml:space="preserve"> AL188</f>
        <v>0</v>
      </c>
      <c r="AM189" s="339"/>
      <c r="AN189" s="267" t="str">
        <f t="shared" ref="AN189:AN191" si="1681" xml:space="preserve"> AN188</f>
        <v>Los</v>
      </c>
      <c r="AO189" s="45">
        <f>VLOOKUP(AN189,Skrogform!$1:$1048576,3,FALSE)</f>
        <v>0.97</v>
      </c>
      <c r="AP189" s="64">
        <f t="shared" ref="AP189:AW189" si="1682">AP188</f>
        <v>11.3</v>
      </c>
      <c r="AQ189" s="64">
        <f t="shared" si="1682"/>
        <v>10.199999999999999</v>
      </c>
      <c r="AR189" s="64">
        <f t="shared" si="1682"/>
        <v>4.05</v>
      </c>
      <c r="AS189" s="64">
        <f t="shared" si="1682"/>
        <v>1.8</v>
      </c>
      <c r="AT189" s="64">
        <f t="shared" ref="AT189" si="1683">AT188</f>
        <v>15.24</v>
      </c>
      <c r="AU189" s="64">
        <f t="shared" si="1682"/>
        <v>15.24</v>
      </c>
      <c r="AV189" s="64">
        <f t="shared" si="1682"/>
        <v>5.2</v>
      </c>
      <c r="AW189" s="64">
        <f t="shared" si="1682"/>
        <v>0.3</v>
      </c>
      <c r="AX189" s="256">
        <f>AX188</f>
        <v>0</v>
      </c>
      <c r="AY189" s="256">
        <f t="shared" ref="AY189:BB189" si="1684">AY188</f>
        <v>30</v>
      </c>
      <c r="AZ189" s="256">
        <f t="shared" si="1684"/>
        <v>450</v>
      </c>
      <c r="BA189" s="256">
        <f t="shared" si="1684"/>
        <v>0</v>
      </c>
      <c r="BB189" s="256">
        <f t="shared" si="1684"/>
        <v>0</v>
      </c>
      <c r="BC189" s="256"/>
      <c r="BD189" s="66"/>
      <c r="BE189" s="66"/>
      <c r="BF189" s="261"/>
      <c r="BG189" s="66"/>
      <c r="BH189" s="175"/>
      <c r="BI189" s="66"/>
      <c r="BJ189" s="66"/>
      <c r="BK189" s="65" t="str">
        <f t="shared" ref="BK189:BM189" si="1685" xml:space="preserve"> BK188</f>
        <v>Seilrett</v>
      </c>
      <c r="BL189" s="267">
        <f t="shared" si="1685"/>
        <v>3</v>
      </c>
      <c r="BM189" s="267">
        <f t="shared" si="1685"/>
        <v>50</v>
      </c>
      <c r="BN189" s="45">
        <f t="shared" si="1656"/>
        <v>1</v>
      </c>
      <c r="BO189" s="59"/>
      <c r="BP189" s="59"/>
      <c r="BR189" s="49">
        <f t="shared" ref="BR189:BX191" si="1686">IF(O189=0,0,O189*BR$9)</f>
        <v>0</v>
      </c>
      <c r="BS189" s="49">
        <f t="shared" si="1686"/>
        <v>0</v>
      </c>
      <c r="BT189" s="49">
        <f t="shared" si="1686"/>
        <v>0</v>
      </c>
      <c r="BU189" s="49">
        <f t="shared" si="1686"/>
        <v>24</v>
      </c>
      <c r="BV189" s="49">
        <f t="shared" si="1686"/>
        <v>0</v>
      </c>
      <c r="BW189" s="49">
        <f t="shared" si="1686"/>
        <v>0</v>
      </c>
      <c r="BX189" s="49">
        <f t="shared" si="1686"/>
        <v>17</v>
      </c>
      <c r="BY189" s="549">
        <f>IF(COUNT(Q189:U189)&gt;1,MINA(Q189:U189)*BY$9,0)</f>
        <v>-8.5</v>
      </c>
      <c r="BZ189" s="85">
        <f t="shared" ref="BZ189:CD191" si="1687">IF(V189=0,0,V189*BZ$9)</f>
        <v>0</v>
      </c>
      <c r="CA189" s="85">
        <f t="shared" si="1687"/>
        <v>0</v>
      </c>
      <c r="CB189" s="85">
        <f t="shared" si="1687"/>
        <v>34.4</v>
      </c>
      <c r="CC189" s="85">
        <f t="shared" si="1687"/>
        <v>0</v>
      </c>
      <c r="CD189" s="85">
        <f t="shared" si="1687"/>
        <v>0</v>
      </c>
      <c r="CE189" s="85">
        <f>IF(AC189=0,0,AC189*CE$9)</f>
        <v>0</v>
      </c>
      <c r="CF189" s="85">
        <f t="shared" ref="CF189:CG191" si="1688">IF(AA189=0,0,AA189*CF$9)</f>
        <v>4</v>
      </c>
      <c r="CG189" s="85">
        <f t="shared" si="1688"/>
        <v>0</v>
      </c>
      <c r="CH189" s="85">
        <f t="shared" ref="CH189:CK191" si="1689">IF(AD189=0,0,AD189*CH$9)</f>
        <v>0</v>
      </c>
      <c r="CI189" s="85">
        <f t="shared" si="1689"/>
        <v>0</v>
      </c>
      <c r="CJ189" s="85">
        <f t="shared" si="1689"/>
        <v>0</v>
      </c>
      <c r="CK189" s="85">
        <f t="shared" si="1689"/>
        <v>0</v>
      </c>
      <c r="CL189" s="100">
        <f>SUM(BR189:CK189)</f>
        <v>70.900000000000006</v>
      </c>
      <c r="CM189" s="50"/>
      <c r="CN189" s="104">
        <f>J189</f>
        <v>94</v>
      </c>
      <c r="CO189" s="101">
        <f>CL189/CN189</f>
        <v>0.75425531914893618</v>
      </c>
      <c r="CP189" s="51">
        <f>Seilareal/Lwl/Lwl</f>
        <v>0.90349865436370647</v>
      </c>
      <c r="CQ189" s="116">
        <f>Seilareal/Depl^0.667/K$7</f>
        <v>1.4158995674436454</v>
      </c>
      <c r="CR189" s="51">
        <f>Seilareal/Lwl/Lwl/SApRS1</f>
        <v>1.3708959198892086</v>
      </c>
      <c r="CS189" s="204"/>
      <c r="CT189" s="204">
        <f>(ROUND(TBF/CT$6,3)*CT$6)*CT$4</f>
        <v>114.5</v>
      </c>
      <c r="CU189" s="107">
        <f t="shared" si="83"/>
        <v>1.1454659261583893</v>
      </c>
      <c r="CV189" s="62">
        <f t="shared" si="523"/>
        <v>3.395774855748364</v>
      </c>
      <c r="CW189" s="62">
        <f t="shared" si="84"/>
        <v>1.6292086998461313</v>
      </c>
      <c r="CX189" s="62">
        <f t="shared" si="524"/>
        <v>1.7871048890689831</v>
      </c>
      <c r="CY189" s="107">
        <f t="shared" si="85"/>
        <v>1.0042261726404875</v>
      </c>
      <c r="CZ189" s="168" t="str">
        <f t="shared" si="1450"/>
        <v>-</v>
      </c>
      <c r="DA189" s="159">
        <f>DA188</f>
        <v>0</v>
      </c>
      <c r="DB189" s="168">
        <f t="shared" si="1451"/>
        <v>1.1064912280701755</v>
      </c>
      <c r="DC189" s="159">
        <f>DC188</f>
        <v>1.19</v>
      </c>
      <c r="DD189" s="190" t="s">
        <v>134</v>
      </c>
      <c r="DE189" s="62">
        <v>0.9</v>
      </c>
      <c r="DF189" s="62">
        <v>0.88</v>
      </c>
      <c r="DG189" s="62">
        <v>0.92</v>
      </c>
      <c r="DH189" s="150" t="s">
        <v>102</v>
      </c>
      <c r="DI189" s="62">
        <f t="shared" si="88"/>
        <v>2.0246022142804243</v>
      </c>
      <c r="DJ189" s="47">
        <f t="shared" si="89"/>
        <v>11.803278688524591</v>
      </c>
      <c r="DK189" s="48">
        <f t="shared" si="1657"/>
        <v>0</v>
      </c>
      <c r="DM189" s="107">
        <f t="shared" si="1658"/>
        <v>1.122827184572756</v>
      </c>
      <c r="DN189" s="141" t="str">
        <f t="shared" si="1659"/>
        <v>-</v>
      </c>
      <c r="DO189" s="107">
        <f t="shared" si="1660"/>
        <v>5.0668866698810433</v>
      </c>
      <c r="DP189" s="133">
        <f>IF(SeilBeregnet=0,DP188,(SeilBeregnet^0.5/(Depl^0.3333))^DP$3*DP$7)</f>
        <v>3.3965204056173866</v>
      </c>
      <c r="DQ189" s="133">
        <f>IF(SeilBeregnet=0,DQ188,(SeilBeregnet^0.5/Lwl)^DQ$3*DQ$7)</f>
        <v>0</v>
      </c>
      <c r="DR189" s="133">
        <f>IF(SeilBeregnet=0,DR188,(0.1*Loa/Depl^0.3333)^DR$3*DR$7)</f>
        <v>0</v>
      </c>
      <c r="DS189" s="133">
        <f>IF(SeilBeregnet=0,DS188,((Loa)/Bredde)^DS$3*DS$7)</f>
        <v>1.6703662642636565</v>
      </c>
      <c r="DT189" s="107">
        <f>IF(SeilBeregnet=0,DT188,(Lwl)^DT$3)</f>
        <v>1.7871048890689831</v>
      </c>
      <c r="DU189" s="133">
        <f>IF(SeilBeregnet=0,DU188,(Dypg/Loa)^DU$3*5*DU$7)</f>
        <v>1.9955703157132179</v>
      </c>
      <c r="DW189" s="107">
        <f t="shared" si="247"/>
        <v>1.1808927073797828</v>
      </c>
      <c r="DX189" s="107">
        <f t="shared" si="93"/>
        <v>1.1387046121940636</v>
      </c>
      <c r="DZ189" s="107">
        <f t="shared" si="94"/>
        <v>1.1093043051245437</v>
      </c>
      <c r="EA189" s="122" t="str">
        <f t="shared" si="1661"/>
        <v>-</v>
      </c>
      <c r="EB189" s="107">
        <f t="shared" si="1662"/>
        <v>1.1490266076828586</v>
      </c>
      <c r="EC189" s="122" t="str">
        <f t="shared" si="1663"/>
        <v>-</v>
      </c>
      <c r="ED189" s="107">
        <f t="shared" si="67"/>
        <v>3.3962428611000375</v>
      </c>
      <c r="EE189" s="107">
        <f t="shared" si="68"/>
        <v>2.1685350061166324</v>
      </c>
      <c r="EF189" s="107">
        <f t="shared" ref="EF189:EF191" si="1690">IF(SeilBeregnet=0,EF188,((Loa+Lwl)/Bredde)^EF$3)</f>
        <v>1.5179094305190397</v>
      </c>
      <c r="EH189" s="107">
        <f t="shared" si="1664"/>
        <v>1.1350675773429661</v>
      </c>
      <c r="EJ189" s="107">
        <f t="shared" si="69"/>
        <v>3.3962428611000375</v>
      </c>
      <c r="EK189" s="107">
        <f t="shared" ref="EK189:EK191" si="1691">IF(SeilBeregnet=0,EK188,Lwl^EK$3)</f>
        <v>2.1686860967520136</v>
      </c>
      <c r="EL189" s="107">
        <f t="shared" ref="EL189:EL191" si="1692">IF(SeilBeregnet=0,EL188,((Loa+Lwl)/Bredde)^EL$3)</f>
        <v>1.7443634548832085</v>
      </c>
      <c r="EM189" s="107">
        <f t="shared" si="1665"/>
        <v>1.1397268908056288</v>
      </c>
      <c r="EO189" s="107">
        <f t="shared" ref="EO189:EO191" si="1693">IF(SeilBeregnet=0,EO188,(EP189*EQ189)^EO$3)</f>
        <v>5.1551890671967122</v>
      </c>
      <c r="EP189" s="107">
        <f t="shared" si="70"/>
        <v>3.3962428611000375</v>
      </c>
      <c r="EQ189" s="107">
        <f t="shared" ref="EQ189:EQ191" si="1694">IF(SeilBeregnet=0,EQ188,((Loa+Lwl)/Bredde)^EQ$3)</f>
        <v>1.5179094305190397</v>
      </c>
      <c r="ER189" s="107">
        <f t="shared" ref="ER189:ER191" si="1695">IF(SeilBeregnet=0,ER188,Lwl^ER$3)</f>
        <v>1.7871048890689831</v>
      </c>
      <c r="ES189" s="107">
        <f t="shared" si="1666"/>
        <v>1.1397086040989239</v>
      </c>
      <c r="EU189" s="107">
        <f>IF(SeilBeregnet=0,EU188,(EV:EV*EW:EW)^EU$3)</f>
        <v>1.8149028914989125</v>
      </c>
      <c r="EV189" s="107">
        <f t="shared" si="71"/>
        <v>3.3962428611000375</v>
      </c>
      <c r="EW189" s="107">
        <f t="shared" ref="EW189:EW191" si="1696">IF(SeilBeregnet=0,EW188,((Loa+Lwl)/Bredde/6)^EW$3)</f>
        <v>0.96985776350052699</v>
      </c>
      <c r="EX189" s="107">
        <f t="shared" ref="EX189:EX191" si="1697">IF(SeilBeregnet=0,EX188,(Lwl*0.7+Loa*0.3)^EX$3)</f>
        <v>1.8013872842666538</v>
      </c>
      <c r="EY189" s="107">
        <f t="shared" si="1667"/>
        <v>1.0993663757790271</v>
      </c>
      <c r="FA189" s="107">
        <f t="shared" si="1668"/>
        <v>1.8149770478647882</v>
      </c>
      <c r="FB189" s="107">
        <f t="shared" si="72"/>
        <v>3.3965204056173866</v>
      </c>
      <c r="FC189" s="107">
        <f t="shared" ref="FC189:FC191" si="1698">IF(SeilBeregnet=0,FC188,((Loa+Lwl)/Bredde/6)^FC$3)</f>
        <v>0.96985776350052699</v>
      </c>
      <c r="FD189" s="107">
        <f t="shared" ref="FD189:FD191" si="1699">IF(SeilBeregnet=0,FD188,(Lwl*0.7+Loa*0.3)^FD$3)</f>
        <v>1.8013872842666538</v>
      </c>
      <c r="FE189" s="107">
        <f t="shared" si="1669"/>
        <v>1.1050942173512091</v>
      </c>
      <c r="FF189" s="141" t="str">
        <f t="shared" si="1670"/>
        <v>-</v>
      </c>
      <c r="FG189" s="107">
        <f t="shared" si="1671"/>
        <v>3.194848886565762</v>
      </c>
      <c r="FH189" s="133">
        <f t="shared" ref="FH189:FH191" si="1700">IF(SeilBeregnet=0,FH188,(SeilBeregnet^0.5/(Depl^0.3333))^FH$3)</f>
        <v>3.3965204056173866</v>
      </c>
      <c r="FI189" s="133">
        <f t="shared" ref="FI189:FI191" si="1701">IF(SeilBeregnet=0,FI188,((Loa+Lwl)/Bredde/6)^FI$3)</f>
        <v>0.94062408142224407</v>
      </c>
      <c r="FJ189" s="107">
        <f t="shared" ref="FJ189:FJ191" si="1702">IF(SeilBeregnet=0,FJ188,(Lwl*0.07+Loa*0.03)^FJ$3)</f>
        <v>1.0129945126155542</v>
      </c>
      <c r="FK189" s="107">
        <f t="shared" si="1672"/>
        <v>1.146776881335561</v>
      </c>
      <c r="FL189" s="141" t="str">
        <f t="shared" si="1673"/>
        <v>-</v>
      </c>
      <c r="FM189" s="107">
        <f t="shared" si="1674"/>
        <v>5.3923978241955881</v>
      </c>
      <c r="FN189" s="133">
        <f t="shared" ref="FN189:FN191" si="1703">IF(SeilBeregnet=0,FN188,(SeilBeregnet^0.5/(Depl^0.3333))^FN$3)</f>
        <v>3.3965204056173866</v>
      </c>
      <c r="FO189" s="133">
        <f t="shared" ref="FO189:FO191" si="1704">IF(SeilBeregnet=0,FO188,(SeilBeregnet^0.5/Lwl*FO$7)^FO$3)</f>
        <v>0.82551115431454458</v>
      </c>
      <c r="FP189" s="133">
        <f t="shared" ref="FP189:FP191" si="1705">IF(SeilBeregnet=0,FP188,((Loa)/Bredde)^FP$3*FP$7)</f>
        <v>1.6703662642636565</v>
      </c>
      <c r="FQ189" s="107">
        <f t="shared" ref="FQ189:FQ191" si="1706">IF(SeilBeregnet=0,FQ188,(Lwl)^FQ$3)</f>
        <v>1.7871048890689831</v>
      </c>
      <c r="FR189" s="107">
        <f t="shared" si="1675"/>
        <v>1.1063961337370141</v>
      </c>
      <c r="FS189" s="141" t="str">
        <f t="shared" si="1676"/>
        <v>-</v>
      </c>
      <c r="FT189" s="107">
        <f t="shared" si="1677"/>
        <v>5.6734331014263937</v>
      </c>
      <c r="FU189" s="133">
        <f t="shared" ref="FU189:FU191" si="1707">IF(SeilBeregnet=0,FU188,(SeilBeregnet^0.5/(Depl^0.3333))^FU$3)</f>
        <v>3.3965204056173866</v>
      </c>
      <c r="FV189" s="133">
        <f t="shared" ref="FV189:FV191" si="1708">IF(SeilBeregnet=0,FV188,(Loa/Bredde)^FV$3)</f>
        <v>1.6703662642636565</v>
      </c>
      <c r="FW189" s="107">
        <f t="shared" ref="FW189:FW191" si="1709">IF(SeilBeregnet=0,FW188,Lwl^FW$3)</f>
        <v>1.7871048890689831</v>
      </c>
      <c r="FY189">
        <v>0.95</v>
      </c>
      <c r="FZ189" s="62">
        <f t="shared" si="1452"/>
        <v>1.1214111949590821</v>
      </c>
      <c r="GA189" s="62">
        <f t="shared" si="1378"/>
        <v>1.9955703157132179</v>
      </c>
      <c r="GB189" s="107">
        <f t="shared" si="525"/>
        <v>1.1986519440229788</v>
      </c>
      <c r="GC189" s="440"/>
      <c r="GD189" s="17"/>
      <c r="GE189" s="442"/>
      <c r="GF189" s="462"/>
      <c r="GG189" s="17"/>
      <c r="GH189" s="17"/>
      <c r="GI189" s="17"/>
      <c r="GJ189" s="17"/>
      <c r="GL189" s="17"/>
      <c r="GM189" s="442"/>
      <c r="GN189" s="8"/>
      <c r="GO189" s="8"/>
      <c r="GP189" s="8"/>
      <c r="GQ189" s="8"/>
      <c r="GS189" s="17"/>
      <c r="GT189" s="17"/>
      <c r="GU189" s="17"/>
      <c r="GV189" s="629"/>
      <c r="GW189" s="17"/>
      <c r="GX189" s="17"/>
      <c r="GY189" s="17"/>
      <c r="GZ189" s="17"/>
    </row>
    <row r="190" spans="1:208" ht="15.6" x14ac:dyDescent="0.3">
      <c r="A190" s="60" t="s">
        <v>29</v>
      </c>
      <c r="B190" s="218"/>
      <c r="C190" s="14" t="str">
        <f>C188</f>
        <v>Gaffel</v>
      </c>
      <c r="G190" s="54"/>
      <c r="H190" s="204">
        <f>IF(StH=0,0,TBFavrundet)</f>
        <v>112.5</v>
      </c>
      <c r="I190" s="63">
        <f>COUNTA(O190:AG190)</f>
        <v>3</v>
      </c>
      <c r="J190" s="222">
        <f>SUM(O190:AG190)</f>
        <v>84</v>
      </c>
      <c r="K190" s="116">
        <f>Seilareal/Depl^0.667/K$7</f>
        <v>1.2652719538858108</v>
      </c>
      <c r="L190" s="116">
        <f>Seilareal/Lwl/Lwl/L$7</f>
        <v>1.2250559284116334</v>
      </c>
      <c r="M190" s="92">
        <f>RiggF</f>
        <v>0.79642857142857149</v>
      </c>
      <c r="N190" s="242">
        <f>StHfaktor</f>
        <v>1.0042261726404875</v>
      </c>
      <c r="O190" s="143"/>
      <c r="P190" s="143"/>
      <c r="Q190" s="143"/>
      <c r="R190" s="165">
        <v>24</v>
      </c>
      <c r="S190" s="143"/>
      <c r="T190" s="143"/>
      <c r="U190" s="165">
        <v>17</v>
      </c>
      <c r="V190" s="559"/>
      <c r="W190" s="559"/>
      <c r="X190" s="165">
        <v>43</v>
      </c>
      <c r="Y190" s="143"/>
      <c r="Z190" s="143"/>
      <c r="AA190" s="143"/>
      <c r="AB190" s="143"/>
      <c r="AC190" s="143"/>
      <c r="AD190" s="143"/>
      <c r="AE190" s="143"/>
      <c r="AF190" s="143"/>
      <c r="AG190" s="551"/>
      <c r="AH190" s="557">
        <f t="shared" si="1678"/>
        <v>0</v>
      </c>
      <c r="AI190" s="557">
        <f t="shared" si="1678"/>
        <v>10.55</v>
      </c>
      <c r="AJ190" s="337">
        <f t="shared" ref="AJ190" si="1710" xml:space="preserve"> AJ189</f>
        <v>0</v>
      </c>
      <c r="AK190" s="339"/>
      <c r="AL190" s="337">
        <f t="shared" ref="AL190" si="1711" xml:space="preserve"> AL189</f>
        <v>0</v>
      </c>
      <c r="AM190" s="339"/>
      <c r="AN190" s="267" t="str">
        <f t="shared" si="1681"/>
        <v>Los</v>
      </c>
      <c r="AO190" s="45">
        <f>VLOOKUP(AN190,Skrogform!$1:$1048576,3,FALSE)</f>
        <v>0.97</v>
      </c>
      <c r="AP190" s="64">
        <f t="shared" ref="AP190:AW190" si="1712">AP189</f>
        <v>11.3</v>
      </c>
      <c r="AQ190" s="64">
        <f t="shared" si="1712"/>
        <v>10.199999999999999</v>
      </c>
      <c r="AR190" s="64">
        <f t="shared" si="1712"/>
        <v>4.05</v>
      </c>
      <c r="AS190" s="64">
        <f t="shared" si="1712"/>
        <v>1.8</v>
      </c>
      <c r="AT190" s="64">
        <f t="shared" ref="AT190" si="1713">AT189</f>
        <v>15.24</v>
      </c>
      <c r="AU190" s="64">
        <f t="shared" si="1712"/>
        <v>15.24</v>
      </c>
      <c r="AV190" s="64">
        <f t="shared" si="1712"/>
        <v>5.2</v>
      </c>
      <c r="AW190" s="64">
        <f t="shared" si="1712"/>
        <v>0.3</v>
      </c>
      <c r="AX190" s="256">
        <f>AX189</f>
        <v>0</v>
      </c>
      <c r="AY190" s="256">
        <f t="shared" ref="AY190:BB190" si="1714">AY189</f>
        <v>30</v>
      </c>
      <c r="AZ190" s="256">
        <f t="shared" si="1714"/>
        <v>450</v>
      </c>
      <c r="BA190" s="256">
        <f t="shared" si="1714"/>
        <v>0</v>
      </c>
      <c r="BB190" s="256">
        <f t="shared" si="1714"/>
        <v>0</v>
      </c>
      <c r="BC190" s="256"/>
      <c r="BD190" s="66"/>
      <c r="BE190" s="66"/>
      <c r="BF190" s="261"/>
      <c r="BG190" s="66"/>
      <c r="BH190" s="175"/>
      <c r="BI190" s="66"/>
      <c r="BJ190" s="66"/>
      <c r="BK190" s="65" t="str">
        <f t="shared" ref="BK190:BM190" si="1715" xml:space="preserve"> BK189</f>
        <v>Seilrett</v>
      </c>
      <c r="BL190" s="267">
        <f t="shared" si="1715"/>
        <v>3</v>
      </c>
      <c r="BM190" s="267">
        <f t="shared" si="1715"/>
        <v>50</v>
      </c>
      <c r="BN190" s="45">
        <f t="shared" si="1656"/>
        <v>1</v>
      </c>
      <c r="BO190" s="59"/>
      <c r="BP190" s="59"/>
      <c r="BR190" s="49">
        <f t="shared" si="1686"/>
        <v>0</v>
      </c>
      <c r="BS190" s="49">
        <f t="shared" si="1686"/>
        <v>0</v>
      </c>
      <c r="BT190" s="49">
        <f t="shared" si="1686"/>
        <v>0</v>
      </c>
      <c r="BU190" s="49">
        <f t="shared" si="1686"/>
        <v>24</v>
      </c>
      <c r="BV190" s="49">
        <f t="shared" si="1686"/>
        <v>0</v>
      </c>
      <c r="BW190" s="49">
        <f t="shared" si="1686"/>
        <v>0</v>
      </c>
      <c r="BX190" s="49">
        <f t="shared" si="1686"/>
        <v>17</v>
      </c>
      <c r="BY190" s="549">
        <f>IF(COUNT(Q190:U190)&gt;1,MINA(Q190:U190)*BY$9,0)</f>
        <v>-8.5</v>
      </c>
      <c r="BZ190" s="85">
        <f t="shared" si="1687"/>
        <v>0</v>
      </c>
      <c r="CA190" s="85">
        <f t="shared" si="1687"/>
        <v>0</v>
      </c>
      <c r="CB190" s="85">
        <f t="shared" si="1687"/>
        <v>34.4</v>
      </c>
      <c r="CC190" s="85">
        <f t="shared" si="1687"/>
        <v>0</v>
      </c>
      <c r="CD190" s="85">
        <f t="shared" si="1687"/>
        <v>0</v>
      </c>
      <c r="CE190" s="85">
        <f>IF(AC190=0,0,AC190*CE$9)</f>
        <v>0</v>
      </c>
      <c r="CF190" s="85">
        <f t="shared" si="1688"/>
        <v>0</v>
      </c>
      <c r="CG190" s="85">
        <f t="shared" si="1688"/>
        <v>0</v>
      </c>
      <c r="CH190" s="85">
        <f t="shared" si="1689"/>
        <v>0</v>
      </c>
      <c r="CI190" s="85">
        <f t="shared" si="1689"/>
        <v>0</v>
      </c>
      <c r="CJ190" s="85">
        <f t="shared" si="1689"/>
        <v>0</v>
      </c>
      <c r="CK190" s="85">
        <f t="shared" si="1689"/>
        <v>0</v>
      </c>
      <c r="CL190" s="100">
        <f>SUM(BR190:CK190)</f>
        <v>66.900000000000006</v>
      </c>
      <c r="CM190" s="50"/>
      <c r="CN190" s="104">
        <f>J190</f>
        <v>84</v>
      </c>
      <c r="CO190" s="101">
        <f>CL190/CN190</f>
        <v>0.79642857142857149</v>
      </c>
      <c r="CP190" s="51">
        <f>Seilareal/Lwl/Lwl</f>
        <v>0.80738177623990792</v>
      </c>
      <c r="CQ190" s="116">
        <f>Seilareal/Depl^0.667/K$7</f>
        <v>1.2652719538858108</v>
      </c>
      <c r="CR190" s="51">
        <f>Seilareal/Lwl/Lwl/SApRS1</f>
        <v>1.2250559284116334</v>
      </c>
      <c r="CS190" s="204"/>
      <c r="CT190" s="204">
        <f>(ROUND(TBF/CT$6,3)*CT$6)*CT$4</f>
        <v>112.5</v>
      </c>
      <c r="CU190" s="107">
        <f t="shared" si="83"/>
        <v>1.1233130845703401</v>
      </c>
      <c r="CV190" s="62">
        <f t="shared" si="523"/>
        <v>3.2985937330737083</v>
      </c>
      <c r="CW190" s="62">
        <f t="shared" si="84"/>
        <v>1.6292086998461313</v>
      </c>
      <c r="CX190" s="62">
        <f t="shared" si="524"/>
        <v>1.7871048890689831</v>
      </c>
      <c r="CY190" s="107">
        <f t="shared" si="85"/>
        <v>1.0042261726404875</v>
      </c>
      <c r="CZ190" s="168" t="str">
        <f t="shared" si="1450"/>
        <v>-</v>
      </c>
      <c r="DA190" s="158"/>
      <c r="DB190" s="168" t="str">
        <f t="shared" si="1451"/>
        <v>-</v>
      </c>
      <c r="DC190" s="160"/>
      <c r="DD190" s="190" t="s">
        <v>134</v>
      </c>
      <c r="DE190" s="62">
        <v>0.88</v>
      </c>
      <c r="DF190" s="62">
        <v>0.87</v>
      </c>
      <c r="DG190" s="62">
        <v>0.9</v>
      </c>
      <c r="DH190" s="150" t="s">
        <v>102</v>
      </c>
      <c r="DI190" s="62">
        <f t="shared" si="88"/>
        <v>2.0246022142804243</v>
      </c>
      <c r="DJ190" s="47">
        <f t="shared" si="89"/>
        <v>11.803278688524591</v>
      </c>
      <c r="DK190" s="48">
        <f t="shared" si="1657"/>
        <v>0</v>
      </c>
      <c r="DM190" s="107">
        <f t="shared" si="1658"/>
        <v>1.1012870218478563</v>
      </c>
      <c r="DN190" s="141" t="str">
        <f t="shared" si="1659"/>
        <v>-</v>
      </c>
      <c r="DO190" s="107">
        <f t="shared" ref="DO190:DO191" si="1716">SUM(DP190:DS190)^DO$3+DO$7</f>
        <v>4.9696842108762835</v>
      </c>
      <c r="DP190" s="133">
        <f>IF(SeilBeregnet=0,DP189,(SeilBeregnet^0.5/(Depl^0.3333))^DP$3*DP$7)</f>
        <v>3.2993179466126268</v>
      </c>
      <c r="DQ190" s="133">
        <f>IF(SeilBeregnet=0,DQ189,(SeilBeregnet^0.5/Lwl)^DQ$3*DQ$7)</f>
        <v>0</v>
      </c>
      <c r="DR190" s="133">
        <f>IF(SeilBeregnet=0,DR189,(0.1*Loa/Depl^0.3333)^DR$3*DR$7)</f>
        <v>0</v>
      </c>
      <c r="DS190" s="133">
        <f>IF(SeilBeregnet=0,DS189,((Loa)/Bredde)^DS$3*DS$7)</f>
        <v>1.6703662642636565</v>
      </c>
      <c r="DT190" s="107">
        <f>IF(SeilBeregnet=0,DT189,(Lwl)^DT$3)</f>
        <v>1.7871048890689831</v>
      </c>
      <c r="DU190" s="133">
        <f>IF(SeilBeregnet=0,DU189,(Dypg/Loa)^DU$3*5*DU$7)</f>
        <v>1.9955703157132179</v>
      </c>
      <c r="DW190" s="107">
        <f t="shared" si="247"/>
        <v>1.1580547263611753</v>
      </c>
      <c r="DX190" s="107">
        <f t="shared" si="93"/>
        <v>1.1131072531694579</v>
      </c>
      <c r="DZ190" s="107">
        <f t="shared" si="94"/>
        <v>1.0893925634108619</v>
      </c>
      <c r="EA190" s="122" t="str">
        <f t="shared" si="1661"/>
        <v>-</v>
      </c>
      <c r="EB190" s="107">
        <f t="shared" si="1662"/>
        <v>1.1241533319534156</v>
      </c>
      <c r="EC190" s="122" t="str">
        <f t="shared" si="1663"/>
        <v>-</v>
      </c>
      <c r="ED190" s="107">
        <f t="shared" si="67"/>
        <v>3.2990483449327548</v>
      </c>
      <c r="EE190" s="107">
        <f t="shared" si="68"/>
        <v>2.1685350061166324</v>
      </c>
      <c r="EF190" s="107">
        <f t="shared" si="1690"/>
        <v>1.5179094305190397</v>
      </c>
      <c r="EH190" s="107">
        <f t="shared" si="1664"/>
        <v>1.1129247024954989</v>
      </c>
      <c r="EJ190" s="107">
        <f t="shared" si="69"/>
        <v>3.2990483449327548</v>
      </c>
      <c r="EK190" s="107">
        <f t="shared" si="1691"/>
        <v>2.1686860967520136</v>
      </c>
      <c r="EL190" s="107">
        <f t="shared" si="1692"/>
        <v>1.7443634548832085</v>
      </c>
      <c r="EM190" s="107">
        <f t="shared" si="1665"/>
        <v>1.1162269210903522</v>
      </c>
      <c r="EO190" s="107">
        <f t="shared" si="1693"/>
        <v>5.0076565945116585</v>
      </c>
      <c r="EP190" s="107">
        <f t="shared" si="70"/>
        <v>3.2990483449327548</v>
      </c>
      <c r="EQ190" s="107">
        <f t="shared" si="1694"/>
        <v>1.5179094305190397</v>
      </c>
      <c r="ER190" s="107">
        <f t="shared" si="1695"/>
        <v>1.7871048890689831</v>
      </c>
      <c r="ES190" s="107">
        <f t="shared" si="1666"/>
        <v>1.1170356744782903</v>
      </c>
      <c r="EU190" s="107">
        <f>IF(SeilBeregnet=0,EU189,(EV:EV*EW:EW)^EU$3)</f>
        <v>1.7887447133385459</v>
      </c>
      <c r="EV190" s="107">
        <f t="shared" si="71"/>
        <v>3.2990483449327548</v>
      </c>
      <c r="EW190" s="107">
        <f t="shared" si="1696"/>
        <v>0.96985776350052699</v>
      </c>
      <c r="EX190" s="107">
        <f t="shared" si="1697"/>
        <v>1.8013872842666538</v>
      </c>
      <c r="EY190" s="107">
        <f t="shared" si="1667"/>
        <v>1.0835212186326886</v>
      </c>
      <c r="FA190" s="107">
        <f t="shared" si="1668"/>
        <v>1.7888178008894235</v>
      </c>
      <c r="FB190" s="107">
        <f t="shared" si="72"/>
        <v>3.2993179466126268</v>
      </c>
      <c r="FC190" s="107">
        <f t="shared" si="1698"/>
        <v>0.96985776350052699</v>
      </c>
      <c r="FD190" s="107">
        <f t="shared" si="1699"/>
        <v>1.8013872842666538</v>
      </c>
      <c r="FE190" s="107">
        <f t="shared" si="1669"/>
        <v>1.085644211673721</v>
      </c>
      <c r="FF190" s="141" t="str">
        <f t="shared" si="1670"/>
        <v>-</v>
      </c>
      <c r="FG190" s="107">
        <f t="shared" si="1671"/>
        <v>3.1034179128524264</v>
      </c>
      <c r="FH190" s="133">
        <f t="shared" si="1700"/>
        <v>3.2993179466126268</v>
      </c>
      <c r="FI190" s="133">
        <f t="shared" si="1701"/>
        <v>0.94062408142224407</v>
      </c>
      <c r="FJ190" s="107">
        <f t="shared" si="1702"/>
        <v>1.0129945126155542</v>
      </c>
      <c r="FK190" s="107">
        <f t="shared" si="1672"/>
        <v>1.1210811192015271</v>
      </c>
      <c r="FL190" s="141" t="str">
        <f t="shared" si="1673"/>
        <v>-</v>
      </c>
      <c r="FM190" s="107">
        <f t="shared" si="1674"/>
        <v>5.2715706832950495</v>
      </c>
      <c r="FN190" s="133">
        <f t="shared" si="1703"/>
        <v>3.2993179466126268</v>
      </c>
      <c r="FO190" s="133">
        <f t="shared" si="1704"/>
        <v>0.80188647241876609</v>
      </c>
      <c r="FP190" s="133">
        <f t="shared" si="1705"/>
        <v>1.6703662642636565</v>
      </c>
      <c r="FQ190" s="107">
        <f t="shared" si="1706"/>
        <v>1.7871048890689831</v>
      </c>
      <c r="FR190" s="107">
        <f t="shared" si="1675"/>
        <v>1.0878258312118931</v>
      </c>
      <c r="FS190" s="141" t="str">
        <f t="shared" si="1676"/>
        <v>-</v>
      </c>
      <c r="FT190" s="107">
        <f t="shared" si="1677"/>
        <v>5.5110693931013719</v>
      </c>
      <c r="FU190" s="133">
        <f t="shared" si="1707"/>
        <v>3.2993179466126268</v>
      </c>
      <c r="FV190" s="133">
        <f t="shared" si="1708"/>
        <v>1.6703662642636565</v>
      </c>
      <c r="FW190" s="107">
        <f t="shared" si="1709"/>
        <v>1.7871048890689831</v>
      </c>
      <c r="FY190">
        <v>0.95</v>
      </c>
      <c r="FZ190" s="62">
        <f t="shared" si="1452"/>
        <v>1.1059776442106111</v>
      </c>
      <c r="GA190" s="62">
        <f t="shared" si="1378"/>
        <v>1.9955703157132179</v>
      </c>
      <c r="GB190" s="107">
        <f t="shared" si="525"/>
        <v>1.1871066591006647</v>
      </c>
      <c r="GC190" s="440"/>
      <c r="GD190" s="17"/>
      <c r="GE190" s="442"/>
      <c r="GF190" s="462"/>
      <c r="GG190" s="17"/>
      <c r="GH190" s="17"/>
      <c r="GI190" s="17"/>
      <c r="GJ190" s="17"/>
      <c r="GL190" s="17"/>
      <c r="GM190" s="442"/>
      <c r="GN190" s="8"/>
      <c r="GO190" s="8"/>
      <c r="GP190" s="8"/>
      <c r="GQ190" s="8"/>
      <c r="GS190" s="17"/>
      <c r="GT190" s="17"/>
      <c r="GU190" s="17"/>
      <c r="GV190" s="629"/>
      <c r="GW190" s="17"/>
      <c r="GX190" s="17"/>
      <c r="GY190" s="17"/>
      <c r="GZ190" s="17"/>
    </row>
    <row r="191" spans="1:208" ht="15.6" x14ac:dyDescent="0.3">
      <c r="A191" s="60" t="s">
        <v>110</v>
      </c>
      <c r="B191" s="218"/>
      <c r="C191" s="14" t="str">
        <f>C189</f>
        <v>Gaffel</v>
      </c>
      <c r="G191" s="54"/>
      <c r="H191" s="204">
        <f>IF(StH=0,0,TBFavrundet)</f>
        <v>107.5</v>
      </c>
      <c r="I191" s="63">
        <f>COUNTA(O191:AG191)</f>
        <v>3</v>
      </c>
      <c r="J191" s="222">
        <f>SUM(O191:AG191)</f>
        <v>74.400000000000006</v>
      </c>
      <c r="K191" s="116">
        <f>Seilareal/Depl^0.667/K$7</f>
        <v>1.1206694448702896</v>
      </c>
      <c r="L191" s="116">
        <f>Seilareal/Lwl/Lwl/L$7</f>
        <v>1.0850495365931609</v>
      </c>
      <c r="M191" s="92">
        <f>RiggF</f>
        <v>0.78763440860215039</v>
      </c>
      <c r="N191" s="242">
        <f>StHfaktor</f>
        <v>1.0042261726404875</v>
      </c>
      <c r="O191" s="143"/>
      <c r="P191" s="143"/>
      <c r="Q191" s="143"/>
      <c r="R191" s="143"/>
      <c r="S191" s="165">
        <v>14.4</v>
      </c>
      <c r="T191" s="143"/>
      <c r="U191" s="165">
        <v>17</v>
      </c>
      <c r="V191" s="559"/>
      <c r="W191" s="559"/>
      <c r="X191" s="165">
        <v>43</v>
      </c>
      <c r="Y191" s="143"/>
      <c r="Z191" s="143"/>
      <c r="AA191" s="143"/>
      <c r="AB191" s="143"/>
      <c r="AC191" s="143"/>
      <c r="AD191" s="143"/>
      <c r="AE191" s="143"/>
      <c r="AF191" s="143"/>
      <c r="AG191" s="551"/>
      <c r="AH191" s="557">
        <f t="shared" si="1678"/>
        <v>0</v>
      </c>
      <c r="AI191" s="557">
        <f t="shared" si="1678"/>
        <v>10.55</v>
      </c>
      <c r="AJ191" s="337">
        <f t="shared" ref="AJ191" si="1717" xml:space="preserve"> AJ190</f>
        <v>0</v>
      </c>
      <c r="AK191" s="339"/>
      <c r="AL191" s="337">
        <f t="shared" ref="AL191" si="1718" xml:space="preserve"> AL190</f>
        <v>0</v>
      </c>
      <c r="AM191" s="339"/>
      <c r="AN191" s="267" t="str">
        <f t="shared" si="1681"/>
        <v>Los</v>
      </c>
      <c r="AO191" s="45">
        <f>VLOOKUP(AN191,Skrogform!$1:$1048576,3,FALSE)</f>
        <v>0.97</v>
      </c>
      <c r="AP191" s="64">
        <f t="shared" ref="AP191:AW191" si="1719">AP190</f>
        <v>11.3</v>
      </c>
      <c r="AQ191" s="64">
        <f t="shared" si="1719"/>
        <v>10.199999999999999</v>
      </c>
      <c r="AR191" s="64">
        <f t="shared" si="1719"/>
        <v>4.05</v>
      </c>
      <c r="AS191" s="64">
        <f t="shared" si="1719"/>
        <v>1.8</v>
      </c>
      <c r="AT191" s="64">
        <f t="shared" ref="AT191" si="1720">AT190</f>
        <v>15.24</v>
      </c>
      <c r="AU191" s="64">
        <f t="shared" si="1719"/>
        <v>15.24</v>
      </c>
      <c r="AV191" s="64">
        <f t="shared" si="1719"/>
        <v>5.2</v>
      </c>
      <c r="AW191" s="64">
        <f t="shared" si="1719"/>
        <v>0.3</v>
      </c>
      <c r="AX191" s="256">
        <f>AX190</f>
        <v>0</v>
      </c>
      <c r="AY191" s="256">
        <f t="shared" ref="AY191:BB191" si="1721">AY190</f>
        <v>30</v>
      </c>
      <c r="AZ191" s="256">
        <f t="shared" si="1721"/>
        <v>450</v>
      </c>
      <c r="BA191" s="256">
        <f t="shared" si="1721"/>
        <v>0</v>
      </c>
      <c r="BB191" s="256">
        <f t="shared" si="1721"/>
        <v>0</v>
      </c>
      <c r="BC191" s="256"/>
      <c r="BD191" s="66"/>
      <c r="BE191" s="66"/>
      <c r="BF191" s="261"/>
      <c r="BG191" s="66"/>
      <c r="BH191" s="175"/>
      <c r="BI191" s="66"/>
      <c r="BJ191" s="66"/>
      <c r="BK191" s="65" t="str">
        <f t="shared" ref="BK191:BM191" si="1722" xml:space="preserve"> BK190</f>
        <v>Seilrett</v>
      </c>
      <c r="BL191" s="267">
        <f t="shared" si="1722"/>
        <v>3</v>
      </c>
      <c r="BM191" s="267">
        <f t="shared" si="1722"/>
        <v>50</v>
      </c>
      <c r="BN191" s="45">
        <f t="shared" si="1656"/>
        <v>1</v>
      </c>
      <c r="BO191" s="59"/>
      <c r="BP191" s="59"/>
      <c r="BR191" s="49">
        <f t="shared" si="1686"/>
        <v>0</v>
      </c>
      <c r="BS191" s="49">
        <f t="shared" si="1686"/>
        <v>0</v>
      </c>
      <c r="BT191" s="49">
        <f t="shared" si="1686"/>
        <v>0</v>
      </c>
      <c r="BU191" s="49">
        <f t="shared" si="1686"/>
        <v>0</v>
      </c>
      <c r="BV191" s="49">
        <f t="shared" si="1686"/>
        <v>14.4</v>
      </c>
      <c r="BW191" s="49">
        <f t="shared" si="1686"/>
        <v>0</v>
      </c>
      <c r="BX191" s="49">
        <f t="shared" si="1686"/>
        <v>17</v>
      </c>
      <c r="BY191" s="549">
        <f>IF(COUNT(Q191:U191)&gt;1,MINA(Q191:U191)*BY$9,0)</f>
        <v>-7.2</v>
      </c>
      <c r="BZ191" s="85">
        <f t="shared" si="1687"/>
        <v>0</v>
      </c>
      <c r="CA191" s="85">
        <f t="shared" si="1687"/>
        <v>0</v>
      </c>
      <c r="CB191" s="85">
        <f t="shared" si="1687"/>
        <v>34.4</v>
      </c>
      <c r="CC191" s="85">
        <f t="shared" si="1687"/>
        <v>0</v>
      </c>
      <c r="CD191" s="85">
        <f t="shared" si="1687"/>
        <v>0</v>
      </c>
      <c r="CE191" s="85">
        <f>IF(AC191=0,0,AC191*CE$9)</f>
        <v>0</v>
      </c>
      <c r="CF191" s="85">
        <f t="shared" si="1688"/>
        <v>0</v>
      </c>
      <c r="CG191" s="85">
        <f t="shared" si="1688"/>
        <v>0</v>
      </c>
      <c r="CH191" s="85">
        <f t="shared" si="1689"/>
        <v>0</v>
      </c>
      <c r="CI191" s="85">
        <f t="shared" si="1689"/>
        <v>0</v>
      </c>
      <c r="CJ191" s="85">
        <f t="shared" si="1689"/>
        <v>0</v>
      </c>
      <c r="CK191" s="85">
        <f t="shared" si="1689"/>
        <v>0</v>
      </c>
      <c r="CL191" s="100">
        <f>SUM(BR191:CK191)</f>
        <v>58.599999999999994</v>
      </c>
      <c r="CM191" s="50"/>
      <c r="CN191" s="104">
        <f>J191</f>
        <v>74.400000000000006</v>
      </c>
      <c r="CO191" s="101">
        <f>CL191/CN191</f>
        <v>0.78763440860215039</v>
      </c>
      <c r="CP191" s="51">
        <f>Seilareal/Lwl/Lwl</f>
        <v>0.71510957324106128</v>
      </c>
      <c r="CQ191" s="116">
        <f>Seilareal/Depl^0.667/K$7</f>
        <v>1.1206694448702896</v>
      </c>
      <c r="CR191" s="51">
        <f>Seilareal/Lwl/Lwl/SApRS1</f>
        <v>1.0850495365931609</v>
      </c>
      <c r="CS191" s="204"/>
      <c r="CT191" s="204">
        <f>(ROUND(TBF/CT$6,3)*CT$6)*CT$4</f>
        <v>107.5</v>
      </c>
      <c r="CU191" s="107">
        <f t="shared" si="83"/>
        <v>1.0751246999837458</v>
      </c>
      <c r="CV191" s="62">
        <f t="shared" si="523"/>
        <v>3.0871986713887245</v>
      </c>
      <c r="CW191" s="62">
        <f t="shared" si="84"/>
        <v>1.6292086998461313</v>
      </c>
      <c r="CX191" s="62">
        <f t="shared" si="524"/>
        <v>1.7871048890689831</v>
      </c>
      <c r="CY191" s="107">
        <f t="shared" si="85"/>
        <v>1.0042261726404875</v>
      </c>
      <c r="CZ191" s="168" t="str">
        <f t="shared" si="1450"/>
        <v>-</v>
      </c>
      <c r="DA191" s="158"/>
      <c r="DB191" s="168" t="str">
        <f t="shared" si="1451"/>
        <v>-</v>
      </c>
      <c r="DC191" s="160"/>
      <c r="DD191" s="190" t="s">
        <v>134</v>
      </c>
      <c r="DE191" s="62">
        <v>0.78</v>
      </c>
      <c r="DF191" s="62">
        <v>0.81</v>
      </c>
      <c r="DG191" s="62">
        <v>0.81</v>
      </c>
      <c r="DH191" s="150" t="s">
        <v>102</v>
      </c>
      <c r="DI191" s="62">
        <f t="shared" si="88"/>
        <v>2.0246022142804243</v>
      </c>
      <c r="DJ191" s="47">
        <f t="shared" si="89"/>
        <v>11.803278688524591</v>
      </c>
      <c r="DK191" s="48">
        <f t="shared" si="1657"/>
        <v>0</v>
      </c>
      <c r="DM191" s="107">
        <f t="shared" si="1658"/>
        <v>1.0544313784614445</v>
      </c>
      <c r="DN191" s="141" t="str">
        <f t="shared" si="1659"/>
        <v>-</v>
      </c>
      <c r="DO191" s="107">
        <f t="shared" si="1716"/>
        <v>4.758242736938648</v>
      </c>
      <c r="DP191" s="133">
        <f>IF(SeilBeregnet=0,DP190,(SeilBeregnet^0.5/(Depl^0.3333))^DP$3*DP$7)</f>
        <v>3.0878764726749912</v>
      </c>
      <c r="DQ191" s="133">
        <f>IF(SeilBeregnet=0,DQ190,(SeilBeregnet^0.5/Lwl)^DQ$3*DQ$7)</f>
        <v>0</v>
      </c>
      <c r="DR191" s="133">
        <f>IF(SeilBeregnet=0,DR190,(0.1*Loa/Depl^0.3333)^DR$3*DR$7)</f>
        <v>0</v>
      </c>
      <c r="DS191" s="133">
        <f>IF(SeilBeregnet=0,DS190,((Loa)/Bredde)^DS$3*DS$7)</f>
        <v>1.6703662642636565</v>
      </c>
      <c r="DT191" s="107">
        <f>IF(SeilBeregnet=0,DT190,(Lwl)^DT$3)</f>
        <v>1.7871048890689831</v>
      </c>
      <c r="DU191" s="133">
        <f>IF(SeilBeregnet=0,DU190,(Dypg/Loa)^DU$3*5*DU$7)</f>
        <v>1.9955703157132179</v>
      </c>
      <c r="DW191" s="107">
        <f t="shared" si="247"/>
        <v>1.1083759793646863</v>
      </c>
      <c r="DX191" s="107">
        <f t="shared" si="93"/>
        <v>1.0574261173577766</v>
      </c>
      <c r="DZ191" s="107">
        <f t="shared" si="94"/>
        <v>1.0460791734028967</v>
      </c>
      <c r="EA191" s="122" t="str">
        <f t="shared" si="1661"/>
        <v>-</v>
      </c>
      <c r="EB191" s="107">
        <f t="shared" si="1662"/>
        <v>1.0700472719242851</v>
      </c>
      <c r="EC191" s="122" t="str">
        <f t="shared" si="1663"/>
        <v>-</v>
      </c>
      <c r="ED191" s="107">
        <f t="shared" si="67"/>
        <v>3.0876241488014697</v>
      </c>
      <c r="EE191" s="107">
        <f t="shared" si="68"/>
        <v>2.1685350061166324</v>
      </c>
      <c r="EF191" s="107">
        <f t="shared" si="1690"/>
        <v>1.5179094305190397</v>
      </c>
      <c r="EH191" s="107">
        <f t="shared" si="1664"/>
        <v>1.0647579982484823</v>
      </c>
      <c r="EJ191" s="107">
        <f t="shared" si="69"/>
        <v>3.0876241488014697</v>
      </c>
      <c r="EK191" s="107">
        <f t="shared" si="1691"/>
        <v>2.1686860967520136</v>
      </c>
      <c r="EL191" s="107">
        <f t="shared" si="1692"/>
        <v>1.7443634548832085</v>
      </c>
      <c r="EM191" s="107">
        <f t="shared" si="1665"/>
        <v>1.0651081707525174</v>
      </c>
      <c r="EO191" s="107">
        <f t="shared" si="1693"/>
        <v>4.6867338133640732</v>
      </c>
      <c r="EP191" s="107">
        <f t="shared" si="70"/>
        <v>3.0876241488014697</v>
      </c>
      <c r="EQ191" s="107">
        <f t="shared" si="1694"/>
        <v>1.5179094305190397</v>
      </c>
      <c r="ER191" s="107">
        <f t="shared" si="1695"/>
        <v>1.7871048890689831</v>
      </c>
      <c r="ES191" s="107">
        <f t="shared" si="1666"/>
        <v>1.0665328052144405</v>
      </c>
      <c r="EU191" s="107">
        <f>IF(SeilBeregnet=0,EU190,(EV:EV*EW:EW)^EU$3)</f>
        <v>1.73047861919378</v>
      </c>
      <c r="EV191" s="107">
        <f t="shared" si="71"/>
        <v>3.0876241488014697</v>
      </c>
      <c r="EW191" s="107">
        <f t="shared" si="1696"/>
        <v>0.96985776350052699</v>
      </c>
      <c r="EX191" s="107">
        <f t="shared" si="1697"/>
        <v>1.8013872842666538</v>
      </c>
      <c r="EY191" s="107">
        <f t="shared" si="1667"/>
        <v>1.0482268868804108</v>
      </c>
      <c r="FA191" s="107">
        <f t="shared" si="1668"/>
        <v>1.7305493260102305</v>
      </c>
      <c r="FB191" s="107">
        <f t="shared" si="72"/>
        <v>3.0878764726749912</v>
      </c>
      <c r="FC191" s="107">
        <f t="shared" si="1698"/>
        <v>0.96985776350052699</v>
      </c>
      <c r="FD191" s="107">
        <f t="shared" si="1699"/>
        <v>1.8013872842666538</v>
      </c>
      <c r="FE191" s="107">
        <f t="shared" si="1669"/>
        <v>1.0433352216476339</v>
      </c>
      <c r="FF191" s="141" t="str">
        <f t="shared" si="1670"/>
        <v>-</v>
      </c>
      <c r="FG191" s="107">
        <f t="shared" si="1671"/>
        <v>2.9045309706552729</v>
      </c>
      <c r="FH191" s="133">
        <f t="shared" si="1700"/>
        <v>3.0878764726749912</v>
      </c>
      <c r="FI191" s="133">
        <f t="shared" si="1701"/>
        <v>0.94062408142224407</v>
      </c>
      <c r="FJ191" s="107">
        <f t="shared" si="1702"/>
        <v>1.0129945126155542</v>
      </c>
      <c r="FK191" s="107">
        <f t="shared" si="1672"/>
        <v>1.0651859301785316</v>
      </c>
      <c r="FL191" s="141" t="str">
        <f t="shared" si="1673"/>
        <v>-</v>
      </c>
      <c r="FM191" s="107">
        <f t="shared" si="1674"/>
        <v>5.0087391765074569</v>
      </c>
      <c r="FN191" s="133">
        <f t="shared" si="1703"/>
        <v>3.0878764726749912</v>
      </c>
      <c r="FO191" s="133">
        <f t="shared" si="1704"/>
        <v>0.75049643956880929</v>
      </c>
      <c r="FP191" s="133">
        <f t="shared" si="1705"/>
        <v>1.6703662642636565</v>
      </c>
      <c r="FQ191" s="107">
        <f t="shared" si="1706"/>
        <v>1.7871048890689831</v>
      </c>
      <c r="FR191" s="107">
        <f t="shared" si="1675"/>
        <v>1.0474304319845225</v>
      </c>
      <c r="FS191" s="141" t="str">
        <f t="shared" si="1676"/>
        <v>-</v>
      </c>
      <c r="FT191" s="107">
        <f t="shared" si="1677"/>
        <v>5.1578846881697622</v>
      </c>
      <c r="FU191" s="133">
        <f t="shared" si="1707"/>
        <v>3.0878764726749912</v>
      </c>
      <c r="FV191" s="133">
        <f t="shared" si="1708"/>
        <v>1.6703662642636565</v>
      </c>
      <c r="FW191" s="107">
        <f t="shared" si="1709"/>
        <v>1.7871048890689831</v>
      </c>
      <c r="FY191">
        <v>0.95</v>
      </c>
      <c r="FZ191" s="62">
        <f t="shared" si="1452"/>
        <v>1.0724055231782794</v>
      </c>
      <c r="GA191" s="62">
        <f t="shared" si="1378"/>
        <v>1.9955703157132179</v>
      </c>
      <c r="GB191" s="107">
        <f t="shared" si="525"/>
        <v>1.1611856430367216</v>
      </c>
      <c r="GC191" s="440"/>
      <c r="GD191" s="17"/>
      <c r="GE191" s="442"/>
      <c r="GF191" s="462"/>
      <c r="GG191" s="17"/>
      <c r="GH191" s="17"/>
      <c r="GI191" s="17"/>
      <c r="GJ191" s="17"/>
      <c r="GL191" s="17"/>
      <c r="GM191" s="442"/>
      <c r="GN191" s="8"/>
      <c r="GO191" s="8"/>
      <c r="GP191" s="8"/>
      <c r="GQ191" s="8"/>
      <c r="GS191" s="17"/>
      <c r="GT191" s="17"/>
      <c r="GU191" s="17"/>
      <c r="GV191" s="629"/>
      <c r="GW191" s="17"/>
      <c r="GX191" s="17"/>
      <c r="GY191" s="17"/>
      <c r="GZ191" s="17"/>
    </row>
    <row r="192" spans="1:208" ht="15.6" x14ac:dyDescent="0.3">
      <c r="A192" s="52" t="s">
        <v>52</v>
      </c>
      <c r="B192" s="218">
        <f t="shared" si="10"/>
        <v>34.940944881889763</v>
      </c>
      <c r="C192" s="53" t="s">
        <v>19</v>
      </c>
      <c r="D192" s="53"/>
      <c r="E192" s="53"/>
      <c r="F192" s="53"/>
      <c r="G192" s="54"/>
      <c r="H192" s="112">
        <f>J193</f>
        <v>89.6</v>
      </c>
      <c r="I192" s="601">
        <f>H193/100</f>
        <v>1.1300000000000001</v>
      </c>
      <c r="J192" s="651">
        <f>IF(DC193=0,"-",DC193)</f>
        <v>1.17</v>
      </c>
      <c r="K192" s="123" t="str">
        <f>A192</f>
        <v>Else</v>
      </c>
      <c r="L192" s="116"/>
      <c r="M192" s="116"/>
      <c r="N192" s="92"/>
      <c r="O192" s="165"/>
      <c r="P192" s="165"/>
      <c r="Q192" s="165"/>
      <c r="R192" s="165">
        <v>22.4</v>
      </c>
      <c r="S192" s="165">
        <v>11.4</v>
      </c>
      <c r="T192" s="165"/>
      <c r="U192" s="165">
        <v>17</v>
      </c>
      <c r="V192" s="559"/>
      <c r="W192" s="559"/>
      <c r="X192" s="165">
        <v>39.200000000000003</v>
      </c>
      <c r="Y192" s="177">
        <f>StorS-StorS/6</f>
        <v>32.666666666666671</v>
      </c>
      <c r="Z192" s="177">
        <f>StorS-StorS/6*1.9</f>
        <v>26.786666666666669</v>
      </c>
      <c r="AA192" s="165">
        <v>11</v>
      </c>
      <c r="AB192" s="165"/>
      <c r="AC192" s="165"/>
      <c r="AD192" s="165"/>
      <c r="AE192" s="165"/>
      <c r="AF192" s="165"/>
      <c r="AG192" s="552"/>
      <c r="AH192" s="244"/>
      <c r="AI192" s="244">
        <v>9.85</v>
      </c>
      <c r="AJ192" s="554"/>
      <c r="AK192" s="339"/>
      <c r="AL192" s="268"/>
      <c r="AM192" s="339"/>
      <c r="AN192" s="268" t="s">
        <v>221</v>
      </c>
      <c r="AO192" s="45">
        <f>VLOOKUP(AN192,Skrogform!$1:$1048576,3,FALSE)</f>
        <v>0.97</v>
      </c>
      <c r="AP192" s="55">
        <v>10.65</v>
      </c>
      <c r="AQ192" s="55">
        <v>9.4</v>
      </c>
      <c r="AR192" s="55">
        <v>3.6</v>
      </c>
      <c r="AS192" s="55">
        <v>1.95</v>
      </c>
      <c r="AT192" s="637">
        <f>AU192</f>
        <v>14</v>
      </c>
      <c r="AU192" s="55">
        <v>14</v>
      </c>
      <c r="AV192" s="55">
        <v>5</v>
      </c>
      <c r="AW192" s="55"/>
      <c r="AX192" s="253"/>
      <c r="AY192" s="253">
        <v>30</v>
      </c>
      <c r="AZ192" s="253">
        <v>450</v>
      </c>
      <c r="BA192" s="253"/>
      <c r="BB192" s="253"/>
      <c r="BC192" s="244">
        <f>Depl+Diesel/1000*0.84+Vann/1000</f>
        <v>14</v>
      </c>
      <c r="BD192" s="95">
        <f>Bredde/(Loa+Lwl)*2</f>
        <v>0.35910224438902744</v>
      </c>
      <c r="BE192" s="95">
        <f>(Kjøl+Ballast)/Depl</f>
        <v>0.35714285714285715</v>
      </c>
      <c r="BF192" s="260">
        <f>BF$7*((Depl-Kjøl-Ballast-VektMotor/1000-VektAnnet/1000)/Lwl/Lwl/Bredde)</f>
        <v>1.0143492922310826</v>
      </c>
      <c r="BG192" s="95">
        <f>BG$7*(Depl/Loa/Lwl/Lwl)</f>
        <v>1.0948054629269504</v>
      </c>
      <c r="BH192" s="174">
        <f>BH$7*(Depl/Loa/Lwl/Bredde)</f>
        <v>1.0566584257316949</v>
      </c>
      <c r="BI192" s="95">
        <f>BI$7*Bredde/(Loa+Lwl)*2</f>
        <v>1.0244067251226772</v>
      </c>
      <c r="BJ192" s="95">
        <f>BJ$7*(Dypg/Lwl)</f>
        <v>1.1346438482886216</v>
      </c>
      <c r="BK192" s="56" t="s">
        <v>21</v>
      </c>
      <c r="BL192" s="268">
        <v>3</v>
      </c>
      <c r="BM192" s="268">
        <v>60</v>
      </c>
      <c r="BN192" s="45">
        <f t="shared" ref="BN192:BN210" si="1723">IF((BK192="Fast"),(1.006248-(0.06415*((BM192/100*SQRT(BL192))/POWER(AU192,(1/3))))),1)</f>
        <v>1</v>
      </c>
      <c r="BO192" s="59"/>
      <c r="BP192" s="59"/>
      <c r="BR192" s="209"/>
      <c r="BS192" s="209"/>
      <c r="BT192" s="209" t="str">
        <f>$A192</f>
        <v>Else</v>
      </c>
      <c r="BU192" s="10"/>
      <c r="BV192" s="10"/>
      <c r="BW192" s="10"/>
      <c r="BX192" s="10"/>
      <c r="BY192" s="549"/>
      <c r="BZ192" s="10"/>
      <c r="CA192" s="10"/>
      <c r="CB192" s="209" t="str">
        <f>$A192</f>
        <v>Else</v>
      </c>
      <c r="CC192" s="10"/>
      <c r="CD192" s="10"/>
      <c r="CE192" s="10"/>
      <c r="CF192" s="10"/>
      <c r="CG192" s="10"/>
      <c r="CH192" s="10"/>
      <c r="CI192" s="10"/>
      <c r="CJ192" s="10"/>
      <c r="CK192" s="10"/>
      <c r="CL192" s="209"/>
      <c r="CM192" s="10"/>
      <c r="CN192" s="209" t="str">
        <f>$A192</f>
        <v>Else</v>
      </c>
      <c r="CO192" s="207"/>
      <c r="CP192" s="207"/>
      <c r="CQ192" s="116"/>
      <c r="CR192" s="207"/>
      <c r="CS192" s="203"/>
      <c r="CT192" s="203" t="s">
        <v>23</v>
      </c>
      <c r="CU192" s="107" t="str">
        <f t="shared" si="83"/>
        <v>-</v>
      </c>
      <c r="CV192" s="62" t="str">
        <f t="shared" si="523"/>
        <v>-</v>
      </c>
      <c r="CW192" s="62" t="str">
        <f t="shared" si="84"/>
        <v>-</v>
      </c>
      <c r="CX192" s="62" t="str">
        <f t="shared" si="524"/>
        <v>-</v>
      </c>
      <c r="CY192" s="107" t="str">
        <f t="shared" si="85"/>
        <v>-</v>
      </c>
      <c r="CZ192" s="168">
        <f t="shared" ref="CZ192:CZ202" si="1724">IF(DA192=0,"-",IF(CP192="TBF","-",CZ$7*DA192))</f>
        <v>1.0849411764705883</v>
      </c>
      <c r="DA192" s="158">
        <v>0.87</v>
      </c>
      <c r="DB192" s="168" t="str">
        <f t="shared" ref="DB192:DB202" si="1725">IF(DC192=0,"-",IF(CT192="TBF","-",DB$7*DC192))</f>
        <v>-</v>
      </c>
      <c r="DC192" s="160">
        <v>1.17</v>
      </c>
      <c r="DD192" s="190" t="s">
        <v>134</v>
      </c>
      <c r="DE192" s="29" t="s">
        <v>23</v>
      </c>
      <c r="DF192" s="29" t="s">
        <v>23</v>
      </c>
      <c r="DG192" s="29" t="s">
        <v>23</v>
      </c>
      <c r="DH192" s="149">
        <v>2022</v>
      </c>
      <c r="DI192" s="62" t="str">
        <f t="shared" si="542"/>
        <v>-</v>
      </c>
      <c r="DJ192" s="47">
        <f t="shared" si="543"/>
        <v>13.928571428571429</v>
      </c>
      <c r="DK192" s="48">
        <f t="shared" ref="DK192:DK218" si="1726">DJ$7*IF(DJ192&lt;DJ$5,-0.04,IF(DJ192&lt;DJ$5*1.1,-0.03,IF(DJ192&lt;DJ$5*1.2,-0.02,IF(DJ192&lt;DJ$5*1.3,-0.01,0))))</f>
        <v>0</v>
      </c>
      <c r="DM192" s="107" t="str">
        <f t="shared" si="1658"/>
        <v>-</v>
      </c>
      <c r="DN192" s="141" t="str">
        <f t="shared" si="58"/>
        <v>-</v>
      </c>
      <c r="DO192" s="107" t="e">
        <f t="shared" ref="DO192:DO218" si="1727">SUM(DP192:DS192)^DO$3+DO$7</f>
        <v>#REF!</v>
      </c>
      <c r="DP192" s="133" t="e">
        <f>IF(SeilBeregnet=0,#REF!,(SeilBeregnet^0.5/(Depl^0.3333))^DP$3*DP$7)</f>
        <v>#REF!</v>
      </c>
      <c r="DQ192" s="133" t="e">
        <f>IF(SeilBeregnet=0,#REF!,(SeilBeregnet^0.5/Lwl)^DQ$3*DQ$7)</f>
        <v>#REF!</v>
      </c>
      <c r="DR192" s="133" t="e">
        <f>IF(SeilBeregnet=0,#REF!,(0.1*Loa/Depl^0.3333)^DR$3*DR$7)</f>
        <v>#REF!</v>
      </c>
      <c r="DS192" s="133" t="e">
        <f>IF(SeilBeregnet=0,#REF!,((Loa)/Bredde)^DS$3*DS$7)</f>
        <v>#REF!</v>
      </c>
      <c r="DT192" s="107" t="e">
        <f>IF(SeilBeregnet=0,#REF!,(Lwl)^DT$3)</f>
        <v>#REF!</v>
      </c>
      <c r="DU192" s="133" t="e">
        <f>IF(SeilBeregnet=0,#REF!,(Dypg/Loa)^DU$3*5*DU$7)</f>
        <v>#REF!</v>
      </c>
      <c r="DW192" s="107" t="str">
        <f t="shared" si="417"/>
        <v>-</v>
      </c>
      <c r="DX192" s="107" t="str">
        <f t="shared" si="544"/>
        <v>-</v>
      </c>
      <c r="DZ192" s="107" t="str">
        <f t="shared" si="545"/>
        <v>-</v>
      </c>
      <c r="EA192" s="122" t="str">
        <f t="shared" si="65"/>
        <v>-</v>
      </c>
      <c r="EB192" s="107" t="str">
        <f t="shared" ref="EB192:EB218" si="1728">IF(SeilBeregnet=0,"-",EB$7*(EB$4*ED192*EE192*EF192*PropF+EB$6)+ErfaringsF+Dyp_F)</f>
        <v>-</v>
      </c>
      <c r="EC192" s="122" t="str">
        <f t="shared" si="66"/>
        <v>-</v>
      </c>
      <c r="ED192" s="107" t="e">
        <f>IF(SeilBeregnet=0,#REF!,SeilBeregnet^0.5/Depl^0.33333)</f>
        <v>#REF!</v>
      </c>
      <c r="EE192" s="107" t="e">
        <f>IF(SeilBeregnet=0,#REF!,Lwl^0.3333)</f>
        <v>#REF!</v>
      </c>
      <c r="EF192" s="107" t="e">
        <f>IF(SeilBeregnet=0,#REF!,((Loa+Lwl)/Bredde)^EF$3)</f>
        <v>#REF!</v>
      </c>
      <c r="EH192" s="107" t="str">
        <f t="shared" ref="EH192:EH218" si="1729">IF(SeilBeregnet=0,"-",EH$7*(EH$4*EJ192*EK192*EL192*PropF+EH$6)+ErfaringsF+Dyp_F)</f>
        <v>-</v>
      </c>
      <c r="EJ192" s="107" t="e">
        <f>IF(SeilBeregnet=0,#REF!,SeilBeregnet^0.5/Depl^0.33333)</f>
        <v>#REF!</v>
      </c>
      <c r="EK192" s="107" t="e">
        <f>IF(SeilBeregnet=0,#REF!,Lwl^EK$3)</f>
        <v>#REF!</v>
      </c>
      <c r="EL192" s="107" t="e">
        <f>IF(SeilBeregnet=0,#REF!,((Loa+Lwl)/Bredde)^EL$3)</f>
        <v>#REF!</v>
      </c>
      <c r="EM192" s="107" t="str">
        <f t="shared" ref="EM192:EM218" si="1730">IF(SeilBeregnet=0,"-",EM$7*(EM$4*EO192+EM$6)*ER192*PropF+ErfaringsF+Dyp_F)</f>
        <v>-</v>
      </c>
      <c r="EO192" s="107" t="e">
        <f>IF(SeilBeregnet=0,#REF!,(EP192*EQ192)^EO$3)</f>
        <v>#REF!</v>
      </c>
      <c r="EP192" s="107" t="e">
        <f>IF(SeilBeregnet=0,#REF!,SeilBeregnet^0.5/Depl^0.33333)</f>
        <v>#REF!</v>
      </c>
      <c r="EQ192" s="107" t="e">
        <f>IF(SeilBeregnet=0,#REF!,((Loa+Lwl)/Bredde)^EQ$3)</f>
        <v>#REF!</v>
      </c>
      <c r="ER192" s="107" t="e">
        <f>IF(SeilBeregnet=0,#REF!,Lwl^ER$3)</f>
        <v>#REF!</v>
      </c>
      <c r="ES192" s="107" t="str">
        <f t="shared" si="1666"/>
        <v>-</v>
      </c>
      <c r="EU192" s="107" t="e">
        <f>IF(SeilBeregnet=0,#REF!,(EV:EV*EW:EW)^EU$3)</f>
        <v>#REF!</v>
      </c>
      <c r="EV192" s="107" t="e">
        <f>IF(SeilBeregnet=0,#REF!,SeilBeregnet^0.5/Depl^0.33333)</f>
        <v>#REF!</v>
      </c>
      <c r="EW192" s="107" t="e">
        <f>IF(SeilBeregnet=0,#REF!,((Loa+Lwl)/Bredde/6)^EW$3)</f>
        <v>#REF!</v>
      </c>
      <c r="EX192" s="107" t="e">
        <f>IF(SeilBeregnet=0,#REF!,(Lwl*0.7+Loa*0.3)^EX$3)</f>
        <v>#REF!</v>
      </c>
      <c r="EY192" s="107" t="str">
        <f t="shared" si="1667"/>
        <v>-</v>
      </c>
      <c r="FA192" s="107" t="e">
        <f t="shared" si="1668"/>
        <v>#REF!</v>
      </c>
      <c r="FB192" s="107" t="e">
        <f>IF(SeilBeregnet=0,#REF!,SeilBeregnet^0.5/Depl^0.3333)</f>
        <v>#REF!</v>
      </c>
      <c r="FC192" s="107" t="e">
        <f>IF(SeilBeregnet=0,#REF!,((Loa+Lwl)/Bredde/6)^FC$3)</f>
        <v>#REF!</v>
      </c>
      <c r="FD192" s="107" t="e">
        <f>IF(SeilBeregnet=0,#REF!,(Lwl*0.7+Loa*0.3)^FD$3)</f>
        <v>#REF!</v>
      </c>
      <c r="FE192" s="107" t="str">
        <f t="shared" si="1669"/>
        <v>-</v>
      </c>
      <c r="FF192" s="141" t="str">
        <f t="shared" si="45"/>
        <v>-</v>
      </c>
      <c r="FG192" s="107" t="e">
        <f t="shared" si="1671"/>
        <v>#REF!</v>
      </c>
      <c r="FH192" s="133" t="e">
        <f>IF(SeilBeregnet=0,#REF!,(SeilBeregnet^0.5/(Depl^0.3333))^FH$3)</f>
        <v>#REF!</v>
      </c>
      <c r="FI192" s="133" t="e">
        <f>IF(SeilBeregnet=0,#REF!,((Loa+Lwl)/Bredde/6)^FI$3)</f>
        <v>#REF!</v>
      </c>
      <c r="FJ192" s="107" t="e">
        <f>IF(SeilBeregnet=0,#REF!,(Lwl*0.07+Loa*0.03)^FJ$3)</f>
        <v>#REF!</v>
      </c>
      <c r="FK192" s="107" t="str">
        <f t="shared" si="1672"/>
        <v>-</v>
      </c>
      <c r="FL192" s="141" t="str">
        <f t="shared" si="46"/>
        <v>-</v>
      </c>
      <c r="FM192" s="107" t="e">
        <f t="shared" si="1674"/>
        <v>#REF!</v>
      </c>
      <c r="FN192" s="133" t="e">
        <f>IF(SeilBeregnet=0,#REF!,(SeilBeregnet^0.5/(Depl^0.3333))^FN$3)</f>
        <v>#REF!</v>
      </c>
      <c r="FO192" s="133" t="e">
        <f>IF(SeilBeregnet=0,#REF!,(SeilBeregnet^0.5/Lwl*FO$7)^FO$3)</f>
        <v>#REF!</v>
      </c>
      <c r="FP192" s="133" t="e">
        <f>IF(SeilBeregnet=0,#REF!,((Loa)/Bredde)^FP$3*FP$7)</f>
        <v>#REF!</v>
      </c>
      <c r="FQ192" s="107" t="e">
        <f>IF(SeilBeregnet=0,#REF!,(Lwl)^FQ$3)</f>
        <v>#REF!</v>
      </c>
      <c r="FR192" s="107" t="str">
        <f t="shared" si="1675"/>
        <v>-</v>
      </c>
      <c r="FS192" s="141" t="str">
        <f t="shared" si="47"/>
        <v>-</v>
      </c>
      <c r="FT192" s="107" t="e">
        <f t="shared" si="1677"/>
        <v>#REF!</v>
      </c>
      <c r="FU192" s="133" t="e">
        <f>IF(SeilBeregnet=0,#REF!,(SeilBeregnet^0.5/(Depl^0.3333))^FU$3)</f>
        <v>#REF!</v>
      </c>
      <c r="FV192" s="133" t="e">
        <f>IF(SeilBeregnet=0,#REF!,(Loa/Bredde)^FV$3)</f>
        <v>#REF!</v>
      </c>
      <c r="FW192" s="107" t="e">
        <f>IF(SeilBeregnet=0,#REF!,Lwl^FW$3)</f>
        <v>#REF!</v>
      </c>
      <c r="FY192">
        <v>0.95</v>
      </c>
      <c r="FZ192" s="62" t="str">
        <f t="shared" si="1452"/>
        <v>-</v>
      </c>
      <c r="GA192" s="62">
        <f t="shared" si="1378"/>
        <v>2.1395010606990579</v>
      </c>
      <c r="GB192" s="107" t="str">
        <f t="shared" si="525"/>
        <v>-</v>
      </c>
      <c r="GC192" s="441"/>
      <c r="GD192" s="57"/>
      <c r="GE192" s="436"/>
      <c r="GF192" s="464" t="s">
        <v>191</v>
      </c>
      <c r="GG192" s="437"/>
      <c r="GH192" s="437"/>
      <c r="GI192" s="437"/>
      <c r="GJ192" s="437"/>
      <c r="GL192" s="57" t="s">
        <v>478</v>
      </c>
      <c r="GM192" s="436" t="s">
        <v>478</v>
      </c>
      <c r="GN192" s="58" t="s">
        <v>478</v>
      </c>
      <c r="GO192" s="58" t="s">
        <v>478</v>
      </c>
      <c r="GP192" s="58" t="s">
        <v>478</v>
      </c>
      <c r="GQ192" s="58" t="s">
        <v>478</v>
      </c>
      <c r="GS192" s="437"/>
      <c r="GT192" s="437"/>
      <c r="GU192" s="437"/>
      <c r="GV192" s="634"/>
      <c r="GW192" s="437"/>
      <c r="GX192" s="437"/>
      <c r="GY192" s="437"/>
      <c r="GZ192" s="437"/>
    </row>
    <row r="193" spans="1:208" ht="15.6" x14ac:dyDescent="0.3">
      <c r="A193" s="60" t="s">
        <v>28</v>
      </c>
      <c r="B193" s="218"/>
      <c r="C193" s="61" t="str">
        <f>C192</f>
        <v>Gaffel</v>
      </c>
      <c r="D193" s="61"/>
      <c r="E193" s="61"/>
      <c r="F193" s="61"/>
      <c r="G193" s="54"/>
      <c r="H193" s="204">
        <f>IF(StH=0,0,TBFavrundet)</f>
        <v>113.00000000000001</v>
      </c>
      <c r="I193" s="63">
        <f>COUNTA(O193:AG193)</f>
        <v>4</v>
      </c>
      <c r="J193" s="222">
        <f>SUM(O193:AG193)</f>
        <v>89.6</v>
      </c>
      <c r="K193" s="116">
        <f>Seilareal/Depl^0.667/K$7</f>
        <v>1.4282235120168205</v>
      </c>
      <c r="L193" s="116">
        <f>Seilareal/Lwl/Lwl/L$7</f>
        <v>1.5386125702966202</v>
      </c>
      <c r="M193" s="92">
        <f>RiggF</f>
        <v>0.7439732142857145</v>
      </c>
      <c r="N193" s="242">
        <f>StHfaktor</f>
        <v>1.0058623373751678</v>
      </c>
      <c r="O193" s="143"/>
      <c r="P193" s="143"/>
      <c r="Q193" s="143"/>
      <c r="R193" s="165">
        <v>22.4</v>
      </c>
      <c r="S193" s="143"/>
      <c r="T193" s="143"/>
      <c r="U193" s="165">
        <v>17</v>
      </c>
      <c r="V193" s="559"/>
      <c r="W193" s="559"/>
      <c r="X193" s="165">
        <v>39.200000000000003</v>
      </c>
      <c r="Y193" s="143"/>
      <c r="Z193" s="143"/>
      <c r="AA193" s="165">
        <v>11</v>
      </c>
      <c r="AB193" s="143"/>
      <c r="AC193" s="143"/>
      <c r="AD193" s="143"/>
      <c r="AE193" s="143"/>
      <c r="AF193" s="143"/>
      <c r="AG193" s="551"/>
      <c r="AH193" s="557">
        <f t="shared" ref="AH193:AI197" si="1731">AH192</f>
        <v>0</v>
      </c>
      <c r="AI193" s="557">
        <f t="shared" si="1731"/>
        <v>9.85</v>
      </c>
      <c r="AJ193" s="337">
        <f t="shared" ref="AJ193:AL197" si="1732" xml:space="preserve"> AJ192</f>
        <v>0</v>
      </c>
      <c r="AK193" s="339"/>
      <c r="AL193" s="337">
        <f t="shared" si="1732"/>
        <v>0</v>
      </c>
      <c r="AM193" s="339"/>
      <c r="AN193" s="267" t="str">
        <f t="shared" ref="AN193" si="1733" xml:space="preserve"> AN192</f>
        <v>los</v>
      </c>
      <c r="AO193" s="45">
        <f>VLOOKUP(AN193,Skrogform!$1:$1048576,3,FALSE)</f>
        <v>0.97</v>
      </c>
      <c r="AP193" s="64">
        <f t="shared" ref="AP193:AZ193" si="1734">AP192</f>
        <v>10.65</v>
      </c>
      <c r="AQ193" s="64">
        <f t="shared" si="1734"/>
        <v>9.4</v>
      </c>
      <c r="AR193" s="64">
        <f t="shared" si="1734"/>
        <v>3.6</v>
      </c>
      <c r="AS193" s="64">
        <f t="shared" si="1734"/>
        <v>1.95</v>
      </c>
      <c r="AT193" s="64">
        <f t="shared" ref="AT193" si="1735">AT192</f>
        <v>14</v>
      </c>
      <c r="AU193" s="64">
        <f t="shared" si="1734"/>
        <v>14</v>
      </c>
      <c r="AV193" s="64">
        <f t="shared" si="1734"/>
        <v>5</v>
      </c>
      <c r="AW193" s="64">
        <f t="shared" si="1734"/>
        <v>0</v>
      </c>
      <c r="AX193" s="256">
        <f>AX192</f>
        <v>0</v>
      </c>
      <c r="AY193" s="256">
        <f t="shared" si="1734"/>
        <v>30</v>
      </c>
      <c r="AZ193" s="256">
        <f t="shared" si="1734"/>
        <v>450</v>
      </c>
      <c r="BA193" s="256">
        <f t="shared" ref="BA193:BB193" si="1736">BA192</f>
        <v>0</v>
      </c>
      <c r="BB193" s="256">
        <f t="shared" si="1736"/>
        <v>0</v>
      </c>
      <c r="BC193" s="256"/>
      <c r="BD193" s="66"/>
      <c r="BE193" s="66"/>
      <c r="BF193" s="261"/>
      <c r="BG193" s="66"/>
      <c r="BH193" s="175"/>
      <c r="BI193" s="66"/>
      <c r="BJ193" s="66"/>
      <c r="BK193" s="65" t="str">
        <f t="shared" ref="BK193:BM193" si="1737" xml:space="preserve"> BK192</f>
        <v>Seilrett</v>
      </c>
      <c r="BL193" s="267">
        <f t="shared" si="1737"/>
        <v>3</v>
      </c>
      <c r="BM193" s="267">
        <f t="shared" si="1737"/>
        <v>60</v>
      </c>
      <c r="BN193" s="45">
        <f t="shared" si="1723"/>
        <v>1</v>
      </c>
      <c r="BO193" s="59"/>
      <c r="BP193" s="59"/>
      <c r="BR193" s="49">
        <f t="shared" ref="BR193:BX197" si="1738">IF(O193=0,0,O193*BR$9)</f>
        <v>0</v>
      </c>
      <c r="BS193" s="49">
        <f t="shared" si="1738"/>
        <v>0</v>
      </c>
      <c r="BT193" s="49">
        <f t="shared" si="1738"/>
        <v>0</v>
      </c>
      <c r="BU193" s="49">
        <f t="shared" si="1738"/>
        <v>22.4</v>
      </c>
      <c r="BV193" s="49">
        <f t="shared" si="1738"/>
        <v>0</v>
      </c>
      <c r="BW193" s="49">
        <f t="shared" si="1738"/>
        <v>0</v>
      </c>
      <c r="BX193" s="49">
        <f t="shared" si="1738"/>
        <v>17</v>
      </c>
      <c r="BY193" s="549">
        <f>IF(COUNT(Q193:U193)&gt;1,MINA(Q193:U193)*BY$9,0)</f>
        <v>-8.5</v>
      </c>
      <c r="BZ193" s="85">
        <f t="shared" ref="BZ193:CD197" si="1739">IF(V193=0,0,V193*BZ$9)</f>
        <v>0</v>
      </c>
      <c r="CA193" s="85">
        <f t="shared" si="1739"/>
        <v>0</v>
      </c>
      <c r="CB193" s="85">
        <f t="shared" si="1739"/>
        <v>31.360000000000003</v>
      </c>
      <c r="CC193" s="85">
        <f t="shared" si="1739"/>
        <v>0</v>
      </c>
      <c r="CD193" s="85">
        <f t="shared" si="1739"/>
        <v>0</v>
      </c>
      <c r="CE193" s="85">
        <f>IF(AC193=0,0,AC193*CE$9)</f>
        <v>0</v>
      </c>
      <c r="CF193" s="85">
        <f t="shared" ref="CF193:CG197" si="1740">IF(AA193=0,0,AA193*CF$9)</f>
        <v>4.4000000000000004</v>
      </c>
      <c r="CG193" s="85">
        <f t="shared" si="1740"/>
        <v>0</v>
      </c>
      <c r="CH193" s="85">
        <f t="shared" ref="CH193:CK197" si="1741">IF(AD193=0,0,AD193*CH$9)</f>
        <v>0</v>
      </c>
      <c r="CI193" s="85">
        <f t="shared" si="1741"/>
        <v>0</v>
      </c>
      <c r="CJ193" s="85">
        <f t="shared" si="1741"/>
        <v>0</v>
      </c>
      <c r="CK193" s="85">
        <f t="shared" si="1741"/>
        <v>0</v>
      </c>
      <c r="CL193" s="100">
        <f>SUM(BR193:CK193)</f>
        <v>66.660000000000011</v>
      </c>
      <c r="CM193" s="50"/>
      <c r="CN193" s="104">
        <f>J193</f>
        <v>89.6</v>
      </c>
      <c r="CO193" s="101">
        <f>CL193/CN193</f>
        <v>0.7439732142857145</v>
      </c>
      <c r="CP193" s="51">
        <f>Seilareal/Lwl/Lwl</f>
        <v>1.0140334993209597</v>
      </c>
      <c r="CQ193" s="116">
        <f>Seilareal/Depl^0.667/K$7</f>
        <v>1.4282235120168205</v>
      </c>
      <c r="CR193" s="51">
        <f>Seilareal/Lwl/Lwl/SApRS1</f>
        <v>1.5386125702966202</v>
      </c>
      <c r="CS193" s="204"/>
      <c r="CT193" s="204">
        <f>(ROUND(TBF/CT$6,3)*CT$6)*CT$4</f>
        <v>113.00000000000001</v>
      </c>
      <c r="CU193" s="107">
        <f t="shared" si="83"/>
        <v>1.1301604281659887</v>
      </c>
      <c r="CV193" s="62">
        <f t="shared" si="523"/>
        <v>3.3913693197878274</v>
      </c>
      <c r="CW193" s="62">
        <f t="shared" si="84"/>
        <v>1.6687486995417322</v>
      </c>
      <c r="CX193" s="62">
        <f t="shared" si="524"/>
        <v>1.7509831362269537</v>
      </c>
      <c r="CY193" s="107">
        <f t="shared" si="85"/>
        <v>1.0058623373751678</v>
      </c>
      <c r="CZ193" s="168">
        <f t="shared" si="1724"/>
        <v>1.0849411764705883</v>
      </c>
      <c r="DA193" s="159">
        <f>DA192</f>
        <v>0.87</v>
      </c>
      <c r="DB193" s="168">
        <f t="shared" si="1725"/>
        <v>1.0878947368421052</v>
      </c>
      <c r="DC193" s="159">
        <f>DC192</f>
        <v>1.17</v>
      </c>
      <c r="DD193" s="190" t="s">
        <v>134</v>
      </c>
      <c r="DE193" s="62">
        <v>0.85</v>
      </c>
      <c r="DF193" s="62">
        <v>0.85</v>
      </c>
      <c r="DG193" s="62">
        <v>0.88</v>
      </c>
      <c r="DH193" s="150" t="s">
        <v>102</v>
      </c>
      <c r="DI193" s="62">
        <f t="shared" si="542"/>
        <v>2.1892069393047362</v>
      </c>
      <c r="DJ193" s="47">
        <f t="shared" si="543"/>
        <v>13.928571428571429</v>
      </c>
      <c r="DK193" s="48">
        <f t="shared" si="1726"/>
        <v>0</v>
      </c>
      <c r="DM193" s="107">
        <f t="shared" si="1658"/>
        <v>1.1090287214064252</v>
      </c>
      <c r="DN193" s="141" t="str">
        <f t="shared" si="58"/>
        <v>-</v>
      </c>
      <c r="DO193" s="107">
        <f t="shared" si="1727"/>
        <v>5.1078618784498051</v>
      </c>
      <c r="DP193" s="133">
        <f>IF(SeilBeregnet=0,DP192,(SeilBeregnet^0.5/(Depl^0.3333))^DP$3*DP$7)</f>
        <v>3.3878812584039473</v>
      </c>
      <c r="DQ193" s="133">
        <f>IF(SeilBeregnet=0,DQ192,(SeilBeregnet^0.5/Lwl)^DQ$3*DQ$7)</f>
        <v>0</v>
      </c>
      <c r="DR193" s="133">
        <f>IF(SeilBeregnet=0,DR192,(0.1*Loa/Depl^0.3333)^DR$3*DR$7)</f>
        <v>0</v>
      </c>
      <c r="DS193" s="133">
        <f>IF(SeilBeregnet=0,DS192,((Loa)/Bredde)^DS$3*DS$7)</f>
        <v>1.7199806200458578</v>
      </c>
      <c r="DT193" s="107">
        <f>IF(SeilBeregnet=0,DT192,(Lwl)^DT$3)</f>
        <v>1.7509831362269537</v>
      </c>
      <c r="DU193" s="133">
        <f>IF(SeilBeregnet=0,DU192,(Dypg/Loa)^DU$3*5*DU$7)</f>
        <v>2.1395010606990579</v>
      </c>
      <c r="DW193" s="107">
        <f t="shared" si="417"/>
        <v>1.1651138434700914</v>
      </c>
      <c r="DX193" s="107">
        <f t="shared" si="544"/>
        <v>1.1572519672682264</v>
      </c>
      <c r="DZ193" s="107">
        <f t="shared" si="545"/>
        <v>1.1303809573130585</v>
      </c>
      <c r="EA193" s="122" t="str">
        <f t="shared" si="65"/>
        <v>-</v>
      </c>
      <c r="EB193" s="107">
        <f t="shared" si="1728"/>
        <v>1.1337118261562564</v>
      </c>
      <c r="EC193" s="122" t="str">
        <f t="shared" si="66"/>
        <v>-</v>
      </c>
      <c r="ED193" s="107">
        <f t="shared" si="67"/>
        <v>3.3876130446355535</v>
      </c>
      <c r="EE193" s="107">
        <f t="shared" si="68"/>
        <v>2.110296669863859</v>
      </c>
      <c r="EF193" s="107">
        <f>IF(SeilBeregnet=0,EF192,((Loa+Lwl)/Bredde)^EF$3)</f>
        <v>1.5362184229738891</v>
      </c>
      <c r="EH193" s="107">
        <f t="shared" si="1729"/>
        <v>1.1244747413692462</v>
      </c>
      <c r="EJ193" s="107">
        <f t="shared" si="69"/>
        <v>3.3876130446355535</v>
      </c>
      <c r="EK193" s="107">
        <f>IF(SeilBeregnet=0,EK192,Lwl^EK$3)</f>
        <v>2.1104385314977292</v>
      </c>
      <c r="EL193" s="107">
        <f>IF(SeilBeregnet=0,EL192,((Loa+Lwl)/Bredde)^EL$3)</f>
        <v>1.7724708369944617</v>
      </c>
      <c r="EM193" s="107">
        <f t="shared" si="1730"/>
        <v>1.1243257371832676</v>
      </c>
      <c r="EO193" s="107">
        <f>IF(SeilBeregnet=0,EO192,(EP193*EQ193)^EO$3)</f>
        <v>5.2041135690758047</v>
      </c>
      <c r="EP193" s="107">
        <f t="shared" si="70"/>
        <v>3.3876130446355535</v>
      </c>
      <c r="EQ193" s="107">
        <f>IF(SeilBeregnet=0,EQ192,((Loa+Lwl)/Bredde)^EQ$3)</f>
        <v>1.5362184229738891</v>
      </c>
      <c r="ER193" s="107">
        <f>IF(SeilBeregnet=0,ER192,Lwl^ER$3)</f>
        <v>1.7509831362269537</v>
      </c>
      <c r="ES193" s="107">
        <f t="shared" si="1666"/>
        <v>1.1260156119759621</v>
      </c>
      <c r="EU193" s="107">
        <f>IF(SeilBeregnet=0,EU192,(EV:EV*EW:EW)^EU$3)</f>
        <v>1.8234945787348651</v>
      </c>
      <c r="EV193" s="107">
        <f t="shared" si="71"/>
        <v>3.3876130446355535</v>
      </c>
      <c r="EW193" s="107">
        <f>IF(SeilBeregnet=0,EW192,((Loa+Lwl)/Bredde/6)^EW$3)</f>
        <v>0.98155616797524992</v>
      </c>
      <c r="EX193" s="107">
        <f>IF(SeilBeregnet=0,EX192,(Lwl*0.7+Loa*0.3)^EX$3)</f>
        <v>1.7681910643854912</v>
      </c>
      <c r="EY193" s="107">
        <f t="shared" si="1667"/>
        <v>1.0842141718856206</v>
      </c>
      <c r="FA193" s="107">
        <f t="shared" si="1668"/>
        <v>1.8235667647646319</v>
      </c>
      <c r="FB193" s="107">
        <f t="shared" si="72"/>
        <v>3.3878812584039473</v>
      </c>
      <c r="FC193" s="107">
        <f>IF(SeilBeregnet=0,FC192,((Loa+Lwl)/Bredde/6)^FC$3)</f>
        <v>0.98155616797524992</v>
      </c>
      <c r="FD193" s="107">
        <f>IF(SeilBeregnet=0,FD192,(Lwl*0.7+Loa*0.3)^FD$3)</f>
        <v>1.7681910643854912</v>
      </c>
      <c r="FE193" s="107">
        <f t="shared" si="1669"/>
        <v>1.0991818286883162</v>
      </c>
      <c r="FF193" s="141" t="str">
        <f t="shared" si="45"/>
        <v>-</v>
      </c>
      <c r="FG193" s="107">
        <f t="shared" si="1671"/>
        <v>3.2640627050073263</v>
      </c>
      <c r="FH193" s="133">
        <f>IF(SeilBeregnet=0,FH192,(SeilBeregnet^0.5/(Depl^0.3333))^FH$3)</f>
        <v>3.3878812584039473</v>
      </c>
      <c r="FI193" s="133">
        <f>IF(SeilBeregnet=0,FI192,((Loa+Lwl)/Bredde/6)^FI$3)</f>
        <v>0.96345251089025696</v>
      </c>
      <c r="FJ193" s="107">
        <f>IF(SeilBeregnet=0,FJ192,(Lwl*0.07+Loa*0.03)^FJ$3)</f>
        <v>0.99432690633627108</v>
      </c>
      <c r="FK193" s="107">
        <f t="shared" si="1672"/>
        <v>1.1411076340797717</v>
      </c>
      <c r="FL193" s="141" t="str">
        <f t="shared" si="46"/>
        <v>-</v>
      </c>
      <c r="FM193" s="107">
        <f t="shared" si="1674"/>
        <v>5.4764318306604522</v>
      </c>
      <c r="FN193" s="133">
        <f>IF(SeilBeregnet=0,FN192,(SeilBeregnet^0.5/(Depl^0.3333))^FN$3)</f>
        <v>3.3878812584039473</v>
      </c>
      <c r="FO193" s="133">
        <f>IF(SeilBeregnet=0,FO192,(SeilBeregnet^0.5/Lwl*FO$7)^FO$3)</f>
        <v>0.8685699522106467</v>
      </c>
      <c r="FP193" s="133">
        <f>IF(SeilBeregnet=0,FP192,((Loa)/Bredde)^FP$3*FP$7)</f>
        <v>1.7199806200458578</v>
      </c>
      <c r="FQ193" s="107">
        <f>IF(SeilBeregnet=0,FQ192,(Lwl)^FQ$3)</f>
        <v>1.7509831362269537</v>
      </c>
      <c r="FR193" s="107">
        <f t="shared" si="1675"/>
        <v>1.101252419607365</v>
      </c>
      <c r="FS193" s="141" t="str">
        <f t="shared" si="47"/>
        <v>-</v>
      </c>
      <c r="FT193" s="107">
        <f t="shared" si="1677"/>
        <v>5.8270901074713626</v>
      </c>
      <c r="FU193" s="133">
        <f>IF(SeilBeregnet=0,FU192,(SeilBeregnet^0.5/(Depl^0.3333))^FU$3)</f>
        <v>3.3878812584039473</v>
      </c>
      <c r="FV193" s="133">
        <f>IF(SeilBeregnet=0,FV192,(Loa/Bredde)^FV$3)</f>
        <v>1.7199806200458578</v>
      </c>
      <c r="FW193" s="107">
        <f>IF(SeilBeregnet=0,FW192,Lwl^FW$3)</f>
        <v>1.7509831362269537</v>
      </c>
      <c r="FY193">
        <v>0.95</v>
      </c>
      <c r="FZ193" s="62">
        <f t="shared" si="1452"/>
        <v>1.1275144280803977</v>
      </c>
      <c r="GA193" s="62">
        <f t="shared" si="1378"/>
        <v>2.1395010606990579</v>
      </c>
      <c r="GB193" s="107">
        <f t="shared" si="525"/>
        <v>1.2505914309702555</v>
      </c>
      <c r="GC193" s="440"/>
      <c r="GD193" s="17"/>
      <c r="GE193" s="442"/>
      <c r="GF193" s="462"/>
      <c r="GG193" s="17"/>
      <c r="GH193" s="17"/>
      <c r="GI193" s="17"/>
      <c r="GJ193" s="17"/>
      <c r="GL193" s="17"/>
      <c r="GM193" s="442"/>
      <c r="GN193" s="8"/>
      <c r="GO193" s="8"/>
      <c r="GP193" s="8"/>
      <c r="GQ193" s="8"/>
      <c r="GS193" s="17"/>
      <c r="GT193" s="17"/>
      <c r="GU193" s="17"/>
      <c r="GV193" s="629"/>
      <c r="GW193" s="17"/>
      <c r="GX193" s="17"/>
      <c r="GY193" s="17"/>
      <c r="GZ193" s="17"/>
    </row>
    <row r="194" spans="1:208" ht="15.6" x14ac:dyDescent="0.3">
      <c r="A194" s="60" t="s">
        <v>29</v>
      </c>
      <c r="B194" s="218"/>
      <c r="C194" s="61" t="str">
        <f t="shared" ref="C194:C195" si="1742">C193</f>
        <v>Gaffel</v>
      </c>
      <c r="D194" s="61"/>
      <c r="E194" s="61"/>
      <c r="F194" s="61"/>
      <c r="G194" s="54"/>
      <c r="H194" s="204">
        <f>IF(StH=0,0,TBFavrundet)</f>
        <v>110.5</v>
      </c>
      <c r="I194" s="63">
        <f>COUNTA(O194:AG194)</f>
        <v>3</v>
      </c>
      <c r="J194" s="222">
        <f>SUM(O194:AG194)</f>
        <v>78.599999999999994</v>
      </c>
      <c r="K194" s="116">
        <f>Seilareal/Depl^0.667/K$7</f>
        <v>1.2528835719254696</v>
      </c>
      <c r="L194" s="116">
        <f>Seilareal/Lwl/Lwl/L$7</f>
        <v>1.3497204020682405</v>
      </c>
      <c r="M194" s="92">
        <f>RiggF</f>
        <v>0.79211195928753197</v>
      </c>
      <c r="N194" s="242">
        <f>StHfaktor</f>
        <v>1.0058623373751678</v>
      </c>
      <c r="O194" s="143"/>
      <c r="P194" s="143"/>
      <c r="Q194" s="143"/>
      <c r="R194" s="165">
        <v>22.4</v>
      </c>
      <c r="S194" s="143"/>
      <c r="T194" s="143"/>
      <c r="U194" s="165">
        <v>17</v>
      </c>
      <c r="V194" s="559"/>
      <c r="W194" s="559"/>
      <c r="X194" s="165">
        <v>39.200000000000003</v>
      </c>
      <c r="Y194" s="143"/>
      <c r="Z194" s="143"/>
      <c r="AA194" s="143"/>
      <c r="AB194" s="143"/>
      <c r="AC194" s="143"/>
      <c r="AD194" s="143"/>
      <c r="AE194" s="143"/>
      <c r="AF194" s="143"/>
      <c r="AG194" s="551"/>
      <c r="AH194" s="557">
        <f t="shared" si="1731"/>
        <v>0</v>
      </c>
      <c r="AI194" s="557">
        <f t="shared" si="1731"/>
        <v>9.85</v>
      </c>
      <c r="AJ194" s="337">
        <f t="shared" si="1732"/>
        <v>0</v>
      </c>
      <c r="AK194" s="339"/>
      <c r="AL194" s="337">
        <f t="shared" si="1732"/>
        <v>0</v>
      </c>
      <c r="AM194" s="339"/>
      <c r="AN194" s="267" t="str">
        <f t="shared" ref="AN194" si="1743" xml:space="preserve"> AN193</f>
        <v>los</v>
      </c>
      <c r="AO194" s="45">
        <f>VLOOKUP(AN194,Skrogform!$1:$1048576,3,FALSE)</f>
        <v>0.97</v>
      </c>
      <c r="AP194" s="64">
        <f t="shared" ref="AP194:AZ194" si="1744">AP193</f>
        <v>10.65</v>
      </c>
      <c r="AQ194" s="64">
        <f t="shared" si="1744"/>
        <v>9.4</v>
      </c>
      <c r="AR194" s="64">
        <f t="shared" si="1744"/>
        <v>3.6</v>
      </c>
      <c r="AS194" s="64">
        <f t="shared" si="1744"/>
        <v>1.95</v>
      </c>
      <c r="AT194" s="64">
        <f t="shared" ref="AT194" si="1745">AT193</f>
        <v>14</v>
      </c>
      <c r="AU194" s="64">
        <f t="shared" si="1744"/>
        <v>14</v>
      </c>
      <c r="AV194" s="64">
        <f t="shared" si="1744"/>
        <v>5</v>
      </c>
      <c r="AW194" s="64">
        <f t="shared" si="1744"/>
        <v>0</v>
      </c>
      <c r="AX194" s="256">
        <f>AX193</f>
        <v>0</v>
      </c>
      <c r="AY194" s="256">
        <f t="shared" si="1744"/>
        <v>30</v>
      </c>
      <c r="AZ194" s="256">
        <f t="shared" si="1744"/>
        <v>450</v>
      </c>
      <c r="BA194" s="256">
        <f t="shared" ref="BA194:BB194" si="1746">BA193</f>
        <v>0</v>
      </c>
      <c r="BB194" s="256">
        <f t="shared" si="1746"/>
        <v>0</v>
      </c>
      <c r="BC194" s="256"/>
      <c r="BD194" s="66"/>
      <c r="BE194" s="66"/>
      <c r="BF194" s="261"/>
      <c r="BG194" s="66"/>
      <c r="BH194" s="175"/>
      <c r="BI194" s="66"/>
      <c r="BJ194" s="66"/>
      <c r="BK194" s="65" t="str">
        <f t="shared" ref="BK194:BM194" si="1747" xml:space="preserve"> BK193</f>
        <v>Seilrett</v>
      </c>
      <c r="BL194" s="267">
        <f t="shared" si="1747"/>
        <v>3</v>
      </c>
      <c r="BM194" s="267">
        <f t="shared" si="1747"/>
        <v>60</v>
      </c>
      <c r="BN194" s="45">
        <f t="shared" si="1723"/>
        <v>1</v>
      </c>
      <c r="BO194" s="59"/>
      <c r="BP194" s="59"/>
      <c r="BR194" s="49">
        <f t="shared" si="1738"/>
        <v>0</v>
      </c>
      <c r="BS194" s="49">
        <f t="shared" si="1738"/>
        <v>0</v>
      </c>
      <c r="BT194" s="49">
        <f t="shared" si="1738"/>
        <v>0</v>
      </c>
      <c r="BU194" s="49">
        <f t="shared" si="1738"/>
        <v>22.4</v>
      </c>
      <c r="BV194" s="49">
        <f t="shared" si="1738"/>
        <v>0</v>
      </c>
      <c r="BW194" s="49">
        <f t="shared" si="1738"/>
        <v>0</v>
      </c>
      <c r="BX194" s="49">
        <f t="shared" si="1738"/>
        <v>17</v>
      </c>
      <c r="BY194" s="549">
        <f>IF(COUNT(Q194:U194)&gt;1,MINA(Q194:U194)*BY$9,0)</f>
        <v>-8.5</v>
      </c>
      <c r="BZ194" s="85">
        <f t="shared" si="1739"/>
        <v>0</v>
      </c>
      <c r="CA194" s="85">
        <f t="shared" si="1739"/>
        <v>0</v>
      </c>
      <c r="CB194" s="85">
        <f t="shared" si="1739"/>
        <v>31.360000000000003</v>
      </c>
      <c r="CC194" s="85">
        <f t="shared" si="1739"/>
        <v>0</v>
      </c>
      <c r="CD194" s="85">
        <f t="shared" si="1739"/>
        <v>0</v>
      </c>
      <c r="CE194" s="85">
        <f>IF(AC194=0,0,AC194*CE$9)</f>
        <v>0</v>
      </c>
      <c r="CF194" s="85">
        <f t="shared" si="1740"/>
        <v>0</v>
      </c>
      <c r="CG194" s="85">
        <f t="shared" si="1740"/>
        <v>0</v>
      </c>
      <c r="CH194" s="85">
        <f t="shared" si="1741"/>
        <v>0</v>
      </c>
      <c r="CI194" s="85">
        <f t="shared" si="1741"/>
        <v>0</v>
      </c>
      <c r="CJ194" s="85">
        <f t="shared" si="1741"/>
        <v>0</v>
      </c>
      <c r="CK194" s="85">
        <f t="shared" si="1741"/>
        <v>0</v>
      </c>
      <c r="CL194" s="100">
        <f>SUM(BR194:CK194)</f>
        <v>62.260000000000005</v>
      </c>
      <c r="CM194" s="50"/>
      <c r="CN194" s="104">
        <f>J194</f>
        <v>78.599999999999994</v>
      </c>
      <c r="CO194" s="101">
        <f>CL194/CN194</f>
        <v>0.79211195928753197</v>
      </c>
      <c r="CP194" s="51">
        <f>Seilareal/Lwl/Lwl</f>
        <v>0.88954277953825245</v>
      </c>
      <c r="CQ194" s="116">
        <f>Seilareal/Depl^0.667/K$7</f>
        <v>1.2528835719254696</v>
      </c>
      <c r="CR194" s="51">
        <f>Seilareal/Lwl/Lwl/SApRS1</f>
        <v>1.3497204020682405</v>
      </c>
      <c r="CS194" s="204"/>
      <c r="CT194" s="204">
        <f>(ROUND(TBF/CT$6,3)*CT$6)*CT$4</f>
        <v>110.5</v>
      </c>
      <c r="CU194" s="107">
        <f t="shared" si="83"/>
        <v>1.104735327804188</v>
      </c>
      <c r="CV194" s="62">
        <f t="shared" si="523"/>
        <v>3.2775323765736779</v>
      </c>
      <c r="CW194" s="62">
        <f t="shared" si="84"/>
        <v>1.6687486995417322</v>
      </c>
      <c r="CX194" s="62">
        <f t="shared" si="524"/>
        <v>1.7509831362269537</v>
      </c>
      <c r="CY194" s="107">
        <f t="shared" si="85"/>
        <v>1.0058623373751678</v>
      </c>
      <c r="CZ194" s="168" t="str">
        <f t="shared" si="1724"/>
        <v>-</v>
      </c>
      <c r="DA194" s="158"/>
      <c r="DB194" s="168" t="str">
        <f t="shared" si="1725"/>
        <v>-</v>
      </c>
      <c r="DC194" s="160"/>
      <c r="DD194" s="190" t="s">
        <v>134</v>
      </c>
      <c r="DE194" s="62">
        <v>0.82</v>
      </c>
      <c r="DF194" s="62">
        <v>0.84</v>
      </c>
      <c r="DG194" s="62">
        <v>0.86</v>
      </c>
      <c r="DH194" s="150" t="s">
        <v>102</v>
      </c>
      <c r="DI194" s="62">
        <f t="shared" si="542"/>
        <v>2.1892069393047362</v>
      </c>
      <c r="DJ194" s="47">
        <f t="shared" si="543"/>
        <v>13.928571428571429</v>
      </c>
      <c r="DK194" s="48">
        <f t="shared" si="1726"/>
        <v>0</v>
      </c>
      <c r="DM194" s="107">
        <f t="shared" si="1658"/>
        <v>1.0843376481850531</v>
      </c>
      <c r="DN194" s="141" t="str">
        <f t="shared" si="58"/>
        <v>-</v>
      </c>
      <c r="DO194" s="107">
        <f t="shared" si="1727"/>
        <v>4.994142017808576</v>
      </c>
      <c r="DP194" s="133">
        <f>IF(SeilBeregnet=0,DP193,(SeilBeregnet^0.5/(Depl^0.3333))^DP$3*DP$7)</f>
        <v>3.2741613977627182</v>
      </c>
      <c r="DQ194" s="133">
        <f>IF(SeilBeregnet=0,DQ193,(SeilBeregnet^0.5/Lwl)^DQ$3*DQ$7)</f>
        <v>0</v>
      </c>
      <c r="DR194" s="133">
        <f>IF(SeilBeregnet=0,DR193,(0.1*Loa/Depl^0.3333)^DR$3*DR$7)</f>
        <v>0</v>
      </c>
      <c r="DS194" s="133">
        <f>IF(SeilBeregnet=0,DS193,((Loa)/Bredde)^DS$3*DS$7)</f>
        <v>1.7199806200458578</v>
      </c>
      <c r="DT194" s="107">
        <f>IF(SeilBeregnet=0,DT193,(Lwl)^DT$3)</f>
        <v>1.7509831362269537</v>
      </c>
      <c r="DU194" s="133">
        <f>IF(SeilBeregnet=0,DU193,(Dypg/Loa)^DU$3*5*DU$7)</f>
        <v>2.1395010606990579</v>
      </c>
      <c r="DW194" s="107">
        <f t="shared" si="417"/>
        <v>1.1389023997981318</v>
      </c>
      <c r="DX194" s="107">
        <f t="shared" si="544"/>
        <v>1.1266059666859067</v>
      </c>
      <c r="DZ194" s="107">
        <f t="shared" si="545"/>
        <v>1.1063187806107753</v>
      </c>
      <c r="EA194" s="122" t="str">
        <f t="shared" si="65"/>
        <v>-</v>
      </c>
      <c r="EB194" s="107">
        <f t="shared" si="1728"/>
        <v>1.105051749793629</v>
      </c>
      <c r="EC194" s="122" t="str">
        <f t="shared" si="66"/>
        <v>-</v>
      </c>
      <c r="ED194" s="107">
        <f t="shared" si="67"/>
        <v>3.2739021870348788</v>
      </c>
      <c r="EE194" s="107">
        <f t="shared" si="68"/>
        <v>2.110296669863859</v>
      </c>
      <c r="EF194" s="107">
        <f>IF(SeilBeregnet=0,EF193,((Loa+Lwl)/Bredde)^EF$3)</f>
        <v>1.5362184229738891</v>
      </c>
      <c r="EH194" s="107">
        <f t="shared" si="1729"/>
        <v>1.0988586827006384</v>
      </c>
      <c r="EJ194" s="107">
        <f t="shared" si="69"/>
        <v>3.2739021870348788</v>
      </c>
      <c r="EK194" s="107">
        <f>IF(SeilBeregnet=0,EK193,Lwl^EK$3)</f>
        <v>2.1104385314977292</v>
      </c>
      <c r="EL194" s="107">
        <f>IF(SeilBeregnet=0,EL193,((Loa+Lwl)/Bredde)^EL$3)</f>
        <v>1.7724708369944617</v>
      </c>
      <c r="EM194" s="107">
        <f t="shared" si="1730"/>
        <v>1.0970631852620778</v>
      </c>
      <c r="EO194" s="107">
        <f>IF(SeilBeregnet=0,EO193,(EP194*EQ194)^EO$3)</f>
        <v>5.0294288547374881</v>
      </c>
      <c r="EP194" s="107">
        <f t="shared" si="70"/>
        <v>3.2739021870348788</v>
      </c>
      <c r="EQ194" s="107">
        <f>IF(SeilBeregnet=0,EQ193,((Loa+Lwl)/Bredde)^EQ$3)</f>
        <v>1.5362184229738891</v>
      </c>
      <c r="ER194" s="107">
        <f>IF(SeilBeregnet=0,ER193,Lwl^ER$3)</f>
        <v>1.7509831362269537</v>
      </c>
      <c r="ES194" s="107">
        <f t="shared" si="1666"/>
        <v>1.0997555305888549</v>
      </c>
      <c r="EU194" s="107">
        <f>IF(SeilBeregnet=0,EU193,(EV:EV*EW:EW)^EU$3)</f>
        <v>1.7926290427837395</v>
      </c>
      <c r="EV194" s="107">
        <f t="shared" si="71"/>
        <v>3.2739021870348788</v>
      </c>
      <c r="EW194" s="107">
        <f>IF(SeilBeregnet=0,EW193,((Loa+Lwl)/Bredde/6)^EW$3)</f>
        <v>0.98155616797524992</v>
      </c>
      <c r="EX194" s="107">
        <f>IF(SeilBeregnet=0,EX193,(Lwl*0.7+Loa*0.3)^EX$3)</f>
        <v>1.7681910643854912</v>
      </c>
      <c r="EY194" s="107">
        <f t="shared" si="1667"/>
        <v>1.0658621285665373</v>
      </c>
      <c r="FA194" s="107">
        <f t="shared" si="1668"/>
        <v>1.7927000069505388</v>
      </c>
      <c r="FB194" s="107">
        <f t="shared" si="72"/>
        <v>3.2741613977627182</v>
      </c>
      <c r="FC194" s="107">
        <f>IF(SeilBeregnet=0,FC193,((Loa+Lwl)/Bredde/6)^FC$3)</f>
        <v>0.98155616797524992</v>
      </c>
      <c r="FD194" s="107">
        <f>IF(SeilBeregnet=0,FD193,(Lwl*0.7+Loa*0.3)^FD$3)</f>
        <v>1.7681910643854912</v>
      </c>
      <c r="FE194" s="107">
        <f t="shared" si="1669"/>
        <v>1.0763039834412373</v>
      </c>
      <c r="FF194" s="141" t="str">
        <f t="shared" si="45"/>
        <v>-</v>
      </c>
      <c r="FG194" s="107">
        <f t="shared" si="1671"/>
        <v>3.1544990197344442</v>
      </c>
      <c r="FH194" s="133">
        <f>IF(SeilBeregnet=0,FH193,(SeilBeregnet^0.5/(Depl^0.3333))^FH$3)</f>
        <v>3.2741613977627182</v>
      </c>
      <c r="FI194" s="133">
        <f>IF(SeilBeregnet=0,FI193,((Loa+Lwl)/Bredde/6)^FI$3)</f>
        <v>0.96345251089025696</v>
      </c>
      <c r="FJ194" s="107">
        <f>IF(SeilBeregnet=0,FJ193,(Lwl*0.07+Loa*0.03)^FJ$3)</f>
        <v>0.99432690633627108</v>
      </c>
      <c r="FK194" s="107">
        <f t="shared" si="1672"/>
        <v>1.1113372304488267</v>
      </c>
      <c r="FL194" s="141" t="str">
        <f t="shared" si="46"/>
        <v>-</v>
      </c>
      <c r="FM194" s="107">
        <f t="shared" si="1674"/>
        <v>5.333556977152357</v>
      </c>
      <c r="FN194" s="133">
        <f>IF(SeilBeregnet=0,FN193,(SeilBeregnet^0.5/(Depl^0.3333))^FN$3)</f>
        <v>3.2741613977627182</v>
      </c>
      <c r="FO194" s="133">
        <f>IF(SeilBeregnet=0,FO193,(SeilBeregnet^0.5/Lwl*FO$7)^FO$3)</f>
        <v>0.83941495934378141</v>
      </c>
      <c r="FP194" s="133">
        <f>IF(SeilBeregnet=0,FP193,((Loa)/Bredde)^FP$3*FP$7)</f>
        <v>1.7199806200458578</v>
      </c>
      <c r="FQ194" s="107">
        <f>IF(SeilBeregnet=0,FQ193,(Lwl)^FQ$3)</f>
        <v>1.7509831362269537</v>
      </c>
      <c r="FR194" s="107">
        <f t="shared" si="1675"/>
        <v>1.0793333654505171</v>
      </c>
      <c r="FS194" s="141" t="str">
        <f t="shared" si="47"/>
        <v>-</v>
      </c>
      <c r="FT194" s="107">
        <f t="shared" si="1677"/>
        <v>5.6314941510541328</v>
      </c>
      <c r="FU194" s="133">
        <f>IF(SeilBeregnet=0,FU193,(SeilBeregnet^0.5/(Depl^0.3333))^FU$3)</f>
        <v>3.2741613977627182</v>
      </c>
      <c r="FV194" s="133">
        <f>IF(SeilBeregnet=0,FV193,(Loa/Bredde)^FV$3)</f>
        <v>1.7199806200458578</v>
      </c>
      <c r="FW194" s="107">
        <f>IF(SeilBeregnet=0,FW193,Lwl^FW$3)</f>
        <v>1.7509831362269537</v>
      </c>
      <c r="FY194">
        <v>0.95</v>
      </c>
      <c r="FZ194" s="62">
        <f t="shared" si="1452"/>
        <v>1.1098231963814404</v>
      </c>
      <c r="GA194" s="62">
        <f t="shared" si="1378"/>
        <v>2.1395010606990579</v>
      </c>
      <c r="GB194" s="107">
        <f t="shared" si="525"/>
        <v>1.2364391552721548</v>
      </c>
      <c r="GC194" s="440"/>
      <c r="GD194" s="17"/>
      <c r="GE194" s="442"/>
      <c r="GF194" s="462"/>
      <c r="GG194" s="17"/>
      <c r="GH194" s="17"/>
      <c r="GI194" s="17"/>
      <c r="GJ194" s="17"/>
      <c r="GL194" s="17"/>
      <c r="GM194" s="442"/>
      <c r="GN194" s="8"/>
      <c r="GO194" s="8"/>
      <c r="GP194" s="8"/>
      <c r="GQ194" s="8"/>
      <c r="GS194" s="17"/>
      <c r="GT194" s="17"/>
      <c r="GU194" s="17"/>
      <c r="GV194" s="629"/>
      <c r="GW194" s="17"/>
      <c r="GX194" s="17"/>
      <c r="GY194" s="17"/>
      <c r="GZ194" s="17"/>
    </row>
    <row r="195" spans="1:208" ht="15.6" x14ac:dyDescent="0.3">
      <c r="A195" s="60" t="s">
        <v>30</v>
      </c>
      <c r="B195" s="218"/>
      <c r="C195" s="61" t="str">
        <f t="shared" si="1742"/>
        <v>Gaffel</v>
      </c>
      <c r="D195" s="61"/>
      <c r="E195" s="61"/>
      <c r="F195" s="61"/>
      <c r="G195" s="54"/>
      <c r="H195" s="204">
        <f>IF(StH=0,0,TBFavrundet)</f>
        <v>105.5</v>
      </c>
      <c r="I195" s="63">
        <f>COUNTA(O195:AG195)</f>
        <v>3</v>
      </c>
      <c r="J195" s="222">
        <f>SUM(O195:AG195)</f>
        <v>67.599999999999994</v>
      </c>
      <c r="K195" s="116">
        <f>Seilareal/Depl^0.667/K$7</f>
        <v>1.0775436318341189</v>
      </c>
      <c r="L195" s="116">
        <f>Seilareal/Lwl/Lwl/L$7</f>
        <v>1.1608282338398608</v>
      </c>
      <c r="M195" s="92">
        <f>RiggF</f>
        <v>0.79970414201183437</v>
      </c>
      <c r="N195" s="242">
        <f>StHfaktor</f>
        <v>1.0058623373751678</v>
      </c>
      <c r="O195" s="143"/>
      <c r="P195" s="143"/>
      <c r="Q195" s="143"/>
      <c r="R195" s="143"/>
      <c r="S195" s="165">
        <v>11.4</v>
      </c>
      <c r="T195" s="143"/>
      <c r="U195" s="165">
        <v>17</v>
      </c>
      <c r="V195" s="559"/>
      <c r="W195" s="559"/>
      <c r="X195" s="165">
        <v>39.200000000000003</v>
      </c>
      <c r="Y195" s="143"/>
      <c r="Z195" s="143"/>
      <c r="AA195" s="143"/>
      <c r="AB195" s="143"/>
      <c r="AC195" s="143"/>
      <c r="AD195" s="143"/>
      <c r="AE195" s="143"/>
      <c r="AF195" s="143"/>
      <c r="AG195" s="551"/>
      <c r="AH195" s="557">
        <f t="shared" si="1731"/>
        <v>0</v>
      </c>
      <c r="AI195" s="557">
        <f t="shared" si="1731"/>
        <v>9.85</v>
      </c>
      <c r="AJ195" s="337">
        <f t="shared" si="1732"/>
        <v>0</v>
      </c>
      <c r="AK195" s="339"/>
      <c r="AL195" s="337">
        <f t="shared" si="1732"/>
        <v>0</v>
      </c>
      <c r="AM195" s="339"/>
      <c r="AN195" s="267" t="str">
        <f t="shared" ref="AN195" si="1748" xml:space="preserve"> AN194</f>
        <v>los</v>
      </c>
      <c r="AO195" s="45">
        <f>VLOOKUP(AN195,Skrogform!$1:$1048576,3,FALSE)</f>
        <v>0.97</v>
      </c>
      <c r="AP195" s="64">
        <f t="shared" ref="AP195:AZ195" si="1749">AP194</f>
        <v>10.65</v>
      </c>
      <c r="AQ195" s="64">
        <f t="shared" si="1749"/>
        <v>9.4</v>
      </c>
      <c r="AR195" s="64">
        <f t="shared" si="1749"/>
        <v>3.6</v>
      </c>
      <c r="AS195" s="64">
        <f t="shared" si="1749"/>
        <v>1.95</v>
      </c>
      <c r="AT195" s="64">
        <f t="shared" ref="AT195" si="1750">AT194</f>
        <v>14</v>
      </c>
      <c r="AU195" s="64">
        <f t="shared" si="1749"/>
        <v>14</v>
      </c>
      <c r="AV195" s="64">
        <f t="shared" si="1749"/>
        <v>5</v>
      </c>
      <c r="AW195" s="64">
        <f t="shared" si="1749"/>
        <v>0</v>
      </c>
      <c r="AX195" s="256">
        <f>AX194</f>
        <v>0</v>
      </c>
      <c r="AY195" s="256">
        <f t="shared" si="1749"/>
        <v>30</v>
      </c>
      <c r="AZ195" s="256">
        <f t="shared" si="1749"/>
        <v>450</v>
      </c>
      <c r="BA195" s="256">
        <f t="shared" ref="BA195:BB195" si="1751">BA194</f>
        <v>0</v>
      </c>
      <c r="BB195" s="256">
        <f t="shared" si="1751"/>
        <v>0</v>
      </c>
      <c r="BC195" s="256"/>
      <c r="BD195" s="66"/>
      <c r="BE195" s="66"/>
      <c r="BF195" s="261"/>
      <c r="BG195" s="66"/>
      <c r="BH195" s="175"/>
      <c r="BI195" s="66"/>
      <c r="BJ195" s="66"/>
      <c r="BK195" s="65" t="str">
        <f t="shared" ref="BK195:BM195" si="1752" xml:space="preserve"> BK194</f>
        <v>Seilrett</v>
      </c>
      <c r="BL195" s="267">
        <f t="shared" si="1752"/>
        <v>3</v>
      </c>
      <c r="BM195" s="267">
        <f t="shared" si="1752"/>
        <v>60</v>
      </c>
      <c r="BN195" s="45">
        <f t="shared" si="1723"/>
        <v>1</v>
      </c>
      <c r="BO195" s="59"/>
      <c r="BP195" s="59"/>
      <c r="BR195" s="49">
        <f t="shared" si="1738"/>
        <v>0</v>
      </c>
      <c r="BS195" s="49">
        <f t="shared" si="1738"/>
        <v>0</v>
      </c>
      <c r="BT195" s="49">
        <f t="shared" si="1738"/>
        <v>0</v>
      </c>
      <c r="BU195" s="49">
        <f t="shared" si="1738"/>
        <v>0</v>
      </c>
      <c r="BV195" s="49">
        <f t="shared" si="1738"/>
        <v>11.4</v>
      </c>
      <c r="BW195" s="49">
        <f t="shared" si="1738"/>
        <v>0</v>
      </c>
      <c r="BX195" s="49">
        <f t="shared" si="1738"/>
        <v>17</v>
      </c>
      <c r="BY195" s="549">
        <f>IF(COUNT(Q195:U195)&gt;1,MINA(Q195:U195)*BY$9,0)</f>
        <v>-5.7</v>
      </c>
      <c r="BZ195" s="85">
        <f t="shared" si="1739"/>
        <v>0</v>
      </c>
      <c r="CA195" s="85">
        <f t="shared" si="1739"/>
        <v>0</v>
      </c>
      <c r="CB195" s="85">
        <f t="shared" si="1739"/>
        <v>31.360000000000003</v>
      </c>
      <c r="CC195" s="85">
        <f t="shared" si="1739"/>
        <v>0</v>
      </c>
      <c r="CD195" s="85">
        <f t="shared" si="1739"/>
        <v>0</v>
      </c>
      <c r="CE195" s="85">
        <f>IF(AC195=0,0,AC195*CE$9)</f>
        <v>0</v>
      </c>
      <c r="CF195" s="85">
        <f t="shared" si="1740"/>
        <v>0</v>
      </c>
      <c r="CG195" s="85">
        <f t="shared" si="1740"/>
        <v>0</v>
      </c>
      <c r="CH195" s="85">
        <f t="shared" si="1741"/>
        <v>0</v>
      </c>
      <c r="CI195" s="85">
        <f t="shared" si="1741"/>
        <v>0</v>
      </c>
      <c r="CJ195" s="85">
        <f t="shared" si="1741"/>
        <v>0</v>
      </c>
      <c r="CK195" s="85">
        <f t="shared" si="1741"/>
        <v>0</v>
      </c>
      <c r="CL195" s="100">
        <f>SUM(BR195:CK195)</f>
        <v>54.06</v>
      </c>
      <c r="CM195" s="50"/>
      <c r="CN195" s="104">
        <f>J195</f>
        <v>67.599999999999994</v>
      </c>
      <c r="CO195" s="101">
        <f>CL195/CN195</f>
        <v>0.79970414201183437</v>
      </c>
      <c r="CP195" s="51">
        <f>Seilareal/Lwl/Lwl</f>
        <v>0.76505205975554536</v>
      </c>
      <c r="CQ195" s="116">
        <f>Seilareal/Depl^0.667/K$7</f>
        <v>1.0775436318341189</v>
      </c>
      <c r="CR195" s="51">
        <f>Seilareal/Lwl/Lwl/SApRS1</f>
        <v>1.1608282338398608</v>
      </c>
      <c r="CS195" s="204"/>
      <c r="CT195" s="204">
        <f>(ROUND(TBF/CT$6,3)*CT$6)*CT$4</f>
        <v>105.5</v>
      </c>
      <c r="CU195" s="107">
        <f t="shared" si="83"/>
        <v>1.0548280563159622</v>
      </c>
      <c r="CV195" s="62">
        <f t="shared" si="523"/>
        <v>3.0540803095401885</v>
      </c>
      <c r="CW195" s="62">
        <f t="shared" si="84"/>
        <v>1.6687486995417322</v>
      </c>
      <c r="CX195" s="62">
        <f t="shared" si="524"/>
        <v>1.7509831362269537</v>
      </c>
      <c r="CY195" s="107">
        <f t="shared" si="85"/>
        <v>1.0058623373751678</v>
      </c>
      <c r="CZ195" s="168" t="str">
        <f t="shared" si="1724"/>
        <v>-</v>
      </c>
      <c r="DA195" s="158"/>
      <c r="DB195" s="168" t="str">
        <f t="shared" si="1725"/>
        <v>-</v>
      </c>
      <c r="DC195" s="160"/>
      <c r="DD195" s="190" t="s">
        <v>134</v>
      </c>
      <c r="DE195" s="62">
        <v>0.78</v>
      </c>
      <c r="DF195" s="62">
        <v>0.81</v>
      </c>
      <c r="DG195" s="62">
        <v>0.82</v>
      </c>
      <c r="DH195" s="150" t="s">
        <v>102</v>
      </c>
      <c r="DI195" s="62">
        <f t="shared" si="542"/>
        <v>2.1892069393047362</v>
      </c>
      <c r="DJ195" s="47">
        <f t="shared" si="543"/>
        <v>13.928571428571429</v>
      </c>
      <c r="DK195" s="48">
        <f t="shared" si="1726"/>
        <v>0</v>
      </c>
      <c r="DM195" s="107">
        <f t="shared" si="1658"/>
        <v>1.0358712084440302</v>
      </c>
      <c r="DN195" s="141" t="str">
        <f t="shared" si="58"/>
        <v>-</v>
      </c>
      <c r="DO195" s="107">
        <f t="shared" si="1727"/>
        <v>4.7709197737323272</v>
      </c>
      <c r="DP195" s="133">
        <f>IF(SeilBeregnet=0,DP194,(SeilBeregnet^0.5/(Depl^0.3333))^DP$3*DP$7)</f>
        <v>3.050939153686469</v>
      </c>
      <c r="DQ195" s="133">
        <f>IF(SeilBeregnet=0,DQ194,(SeilBeregnet^0.5/Lwl)^DQ$3*DQ$7)</f>
        <v>0</v>
      </c>
      <c r="DR195" s="133">
        <f>IF(SeilBeregnet=0,DR194,(0.1*Loa/Depl^0.3333)^DR$3*DR$7)</f>
        <v>0</v>
      </c>
      <c r="DS195" s="133">
        <f>IF(SeilBeregnet=0,DS194,((Loa)/Bredde)^DS$3*DS$7)</f>
        <v>1.7199806200458578</v>
      </c>
      <c r="DT195" s="107">
        <f>IF(SeilBeregnet=0,DT194,(Lwl)^DT$3)</f>
        <v>1.7509831362269537</v>
      </c>
      <c r="DU195" s="133">
        <f>IF(SeilBeregnet=0,DU194,(Dypg/Loa)^DU$3*5*DU$7)</f>
        <v>2.1395010606990579</v>
      </c>
      <c r="DW195" s="107">
        <f t="shared" si="417"/>
        <v>1.0874516044494458</v>
      </c>
      <c r="DX195" s="107">
        <f t="shared" si="544"/>
        <v>1.0664505199295178</v>
      </c>
      <c r="DZ195" s="107">
        <f t="shared" si="545"/>
        <v>1.0590868103062354</v>
      </c>
      <c r="EA195" s="122" t="str">
        <f t="shared" si="65"/>
        <v>-</v>
      </c>
      <c r="EB195" s="107">
        <f t="shared" si="1728"/>
        <v>1.0487945004003518</v>
      </c>
      <c r="EC195" s="122" t="str">
        <f t="shared" si="66"/>
        <v>-</v>
      </c>
      <c r="ED195" s="107">
        <f t="shared" si="67"/>
        <v>3.0506976151480325</v>
      </c>
      <c r="EE195" s="107">
        <f t="shared" si="68"/>
        <v>2.110296669863859</v>
      </c>
      <c r="EF195" s="107">
        <f>IF(SeilBeregnet=0,EF194,((Loa+Lwl)/Bredde)^EF$3)</f>
        <v>1.5362184229738891</v>
      </c>
      <c r="EH195" s="107">
        <f t="shared" si="1729"/>
        <v>1.0485765765834385</v>
      </c>
      <c r="EJ195" s="107">
        <f t="shared" si="69"/>
        <v>3.0506976151480325</v>
      </c>
      <c r="EK195" s="107">
        <f>IF(SeilBeregnet=0,EK194,Lwl^EK$3)</f>
        <v>2.1104385314977292</v>
      </c>
      <c r="EL195" s="107">
        <f>IF(SeilBeregnet=0,EL194,((Loa+Lwl)/Bredde)^EL$3)</f>
        <v>1.7724708369944617</v>
      </c>
      <c r="EM195" s="107">
        <f t="shared" si="1730"/>
        <v>1.0435491553927265</v>
      </c>
      <c r="EO195" s="107">
        <f>IF(SeilBeregnet=0,EO194,(EP195*EQ195)^EO$3)</f>
        <v>4.6865378793129153</v>
      </c>
      <c r="EP195" s="107">
        <f t="shared" si="70"/>
        <v>3.0506976151480325</v>
      </c>
      <c r="EQ195" s="107">
        <f>IF(SeilBeregnet=0,EQ194,((Loa+Lwl)/Bredde)^EQ$3)</f>
        <v>1.5362184229738891</v>
      </c>
      <c r="ER195" s="107">
        <f>IF(SeilBeregnet=0,ER194,Lwl^ER$3)</f>
        <v>1.7509831362269537</v>
      </c>
      <c r="ES195" s="107">
        <f t="shared" si="1666"/>
        <v>1.0468478123745935</v>
      </c>
      <c r="EU195" s="107">
        <f>IF(SeilBeregnet=0,EU194,(EV:EV*EW:EW)^EU$3)</f>
        <v>1.7304424465367048</v>
      </c>
      <c r="EV195" s="107">
        <f t="shared" si="71"/>
        <v>3.0506976151480325</v>
      </c>
      <c r="EW195" s="107">
        <f>IF(SeilBeregnet=0,EW194,((Loa+Lwl)/Bredde/6)^EW$3)</f>
        <v>0.98155616797524992</v>
      </c>
      <c r="EX195" s="107">
        <f>IF(SeilBeregnet=0,EX194,(Lwl*0.7+Loa*0.3)^EX$3)</f>
        <v>1.7681910643854912</v>
      </c>
      <c r="EY195" s="107">
        <f t="shared" si="1667"/>
        <v>1.028887196072281</v>
      </c>
      <c r="FA195" s="107">
        <f t="shared" si="1668"/>
        <v>1.7305109489448898</v>
      </c>
      <c r="FB195" s="107">
        <f t="shared" si="72"/>
        <v>3.050939153686469</v>
      </c>
      <c r="FC195" s="107">
        <f>IF(SeilBeregnet=0,FC194,((Loa+Lwl)/Bredde/6)^FC$3)</f>
        <v>0.98155616797524992</v>
      </c>
      <c r="FD195" s="107">
        <f>IF(SeilBeregnet=0,FD194,(Lwl*0.7+Loa*0.3)^FD$3)</f>
        <v>1.7681910643854912</v>
      </c>
      <c r="FE195" s="107">
        <f t="shared" si="1669"/>
        <v>1.0313967532803285</v>
      </c>
      <c r="FF195" s="141" t="str">
        <f t="shared" si="45"/>
        <v>-</v>
      </c>
      <c r="FG195" s="107">
        <f t="shared" si="1671"/>
        <v>2.9394349881926241</v>
      </c>
      <c r="FH195" s="133">
        <f>IF(SeilBeregnet=0,FH194,(SeilBeregnet^0.5/(Depl^0.3333))^FH$3)</f>
        <v>3.050939153686469</v>
      </c>
      <c r="FI195" s="133">
        <f>IF(SeilBeregnet=0,FI194,((Loa+Lwl)/Bredde/6)^FI$3)</f>
        <v>0.96345251089025696</v>
      </c>
      <c r="FJ195" s="107">
        <f>IF(SeilBeregnet=0,FJ194,(Lwl*0.07+Loa*0.03)^FJ$3)</f>
        <v>0.99432690633627108</v>
      </c>
      <c r="FK195" s="107">
        <f t="shared" si="1672"/>
        <v>1.0529005047257749</v>
      </c>
      <c r="FL195" s="141" t="str">
        <f t="shared" si="46"/>
        <v>-</v>
      </c>
      <c r="FM195" s="107">
        <f t="shared" si="1674"/>
        <v>5.0531060054196377</v>
      </c>
      <c r="FN195" s="133">
        <f>IF(SeilBeregnet=0,FN194,(SeilBeregnet^0.5/(Depl^0.3333))^FN$3)</f>
        <v>3.050939153686469</v>
      </c>
      <c r="FO195" s="133">
        <f>IF(SeilBeregnet=0,FO194,(SeilBeregnet^0.5/Lwl*FO$7)^FO$3)</f>
        <v>0.78218623168731061</v>
      </c>
      <c r="FP195" s="133">
        <f>IF(SeilBeregnet=0,FP194,((Loa)/Bredde)^FP$3*FP$7)</f>
        <v>1.7199806200458578</v>
      </c>
      <c r="FQ195" s="107">
        <f>IF(SeilBeregnet=0,FQ194,(Lwl)^FQ$3)</f>
        <v>1.7509831362269537</v>
      </c>
      <c r="FR195" s="107">
        <f t="shared" si="1675"/>
        <v>1.0363081592171339</v>
      </c>
      <c r="FS195" s="141" t="str">
        <f t="shared" si="47"/>
        <v>-</v>
      </c>
      <c r="FT195" s="107">
        <f t="shared" si="1677"/>
        <v>5.247556217279838</v>
      </c>
      <c r="FU195" s="133">
        <f>IF(SeilBeregnet=0,FU194,(SeilBeregnet^0.5/(Depl^0.3333))^FU$3)</f>
        <v>3.050939153686469</v>
      </c>
      <c r="FV195" s="133">
        <f>IF(SeilBeregnet=0,FV194,(Loa/Bredde)^FV$3)</f>
        <v>1.7199806200458578</v>
      </c>
      <c r="FW195" s="107">
        <f>IF(SeilBeregnet=0,FW194,Lwl^FW$3)</f>
        <v>1.7509831362269537</v>
      </c>
      <c r="FY195">
        <v>0.95</v>
      </c>
      <c r="FZ195" s="62">
        <f t="shared" si="1452"/>
        <v>1.075096839718263</v>
      </c>
      <c r="GA195" s="62">
        <f t="shared" si="1378"/>
        <v>2.1395010606990579</v>
      </c>
      <c r="GB195" s="107">
        <f t="shared" si="525"/>
        <v>1.2076763750687911</v>
      </c>
      <c r="GC195" s="440"/>
      <c r="GD195" s="17"/>
      <c r="GE195" s="442"/>
      <c r="GF195" s="462"/>
      <c r="GG195" s="17"/>
      <c r="GH195" s="17"/>
      <c r="GI195" s="17"/>
      <c r="GJ195" s="17"/>
      <c r="GL195" s="17"/>
      <c r="GM195" s="442"/>
      <c r="GN195" s="8"/>
      <c r="GO195" s="8"/>
      <c r="GP195" s="8"/>
      <c r="GQ195" s="8"/>
      <c r="GS195" s="17"/>
      <c r="GT195" s="17"/>
      <c r="GU195" s="17"/>
      <c r="GV195" s="629"/>
      <c r="GW195" s="17"/>
      <c r="GX195" s="17"/>
      <c r="GY195" s="17"/>
      <c r="GZ195" s="17"/>
    </row>
    <row r="196" spans="1:208" ht="15.6" x14ac:dyDescent="0.3">
      <c r="A196" s="60" t="s">
        <v>34</v>
      </c>
      <c r="B196" s="218"/>
      <c r="C196" s="61" t="str">
        <f>C194</f>
        <v>Gaffel</v>
      </c>
      <c r="D196" s="61"/>
      <c r="E196" s="61"/>
      <c r="F196" s="61"/>
      <c r="G196" s="54"/>
      <c r="H196" s="204">
        <f>TBFavrundet</f>
        <v>101.50000000000001</v>
      </c>
      <c r="I196" s="63">
        <f>COUNTA(O196:AG196)</f>
        <v>3</v>
      </c>
      <c r="J196" s="222">
        <f>SUM(O196:AG196)</f>
        <v>61.1</v>
      </c>
      <c r="K196" s="116">
        <f>Seilareal/Depl^0.667/K$7</f>
        <v>0.97393366723468466</v>
      </c>
      <c r="L196" s="116">
        <f>Seilareal/Lwl/Lwl/L$7</f>
        <v>1.049210134432182</v>
      </c>
      <c r="M196" s="92">
        <f>RiggF</f>
        <v>0.78896890343698856</v>
      </c>
      <c r="N196" s="242">
        <f>StHfaktor</f>
        <v>1.0058623373751678</v>
      </c>
      <c r="O196" s="143"/>
      <c r="P196" s="143"/>
      <c r="Q196" s="143"/>
      <c r="R196" s="143"/>
      <c r="S196" s="165">
        <v>11.4</v>
      </c>
      <c r="T196" s="143"/>
      <c r="U196" s="165">
        <v>17</v>
      </c>
      <c r="V196" s="559"/>
      <c r="W196" s="559"/>
      <c r="X196" s="143"/>
      <c r="Y196" s="177">
        <v>32.700000000000003</v>
      </c>
      <c r="Z196" s="143"/>
      <c r="AA196" s="143"/>
      <c r="AB196" s="143"/>
      <c r="AC196" s="143"/>
      <c r="AD196" s="143"/>
      <c r="AE196" s="143"/>
      <c r="AF196" s="143"/>
      <c r="AG196" s="551"/>
      <c r="AH196" s="557">
        <f t="shared" si="1731"/>
        <v>0</v>
      </c>
      <c r="AI196" s="557">
        <f t="shared" si="1731"/>
        <v>9.85</v>
      </c>
      <c r="AJ196" s="337">
        <f t="shared" si="1732"/>
        <v>0</v>
      </c>
      <c r="AK196" s="339"/>
      <c r="AL196" s="337">
        <f t="shared" si="1732"/>
        <v>0</v>
      </c>
      <c r="AM196" s="339"/>
      <c r="AN196" s="267" t="str">
        <f t="shared" ref="AN196" si="1753" xml:space="preserve"> AN195</f>
        <v>los</v>
      </c>
      <c r="AO196" s="45">
        <f>VLOOKUP(AN196,Skrogform!$1:$1048576,3,FALSE)</f>
        <v>0.97</v>
      </c>
      <c r="AP196" s="64">
        <f t="shared" ref="AP196:AZ196" si="1754">AP195</f>
        <v>10.65</v>
      </c>
      <c r="AQ196" s="64">
        <f t="shared" si="1754"/>
        <v>9.4</v>
      </c>
      <c r="AR196" s="64">
        <f t="shared" si="1754"/>
        <v>3.6</v>
      </c>
      <c r="AS196" s="64">
        <f t="shared" si="1754"/>
        <v>1.95</v>
      </c>
      <c r="AT196" s="64">
        <f t="shared" ref="AT196" si="1755">AT195</f>
        <v>14</v>
      </c>
      <c r="AU196" s="64">
        <f t="shared" si="1754"/>
        <v>14</v>
      </c>
      <c r="AV196" s="64">
        <f t="shared" si="1754"/>
        <v>5</v>
      </c>
      <c r="AW196" s="64">
        <f t="shared" si="1754"/>
        <v>0</v>
      </c>
      <c r="AX196" s="256">
        <f>AX195</f>
        <v>0</v>
      </c>
      <c r="AY196" s="256">
        <f t="shared" si="1754"/>
        <v>30</v>
      </c>
      <c r="AZ196" s="256">
        <f t="shared" si="1754"/>
        <v>450</v>
      </c>
      <c r="BA196" s="256">
        <f t="shared" ref="BA196:BB196" si="1756">BA195</f>
        <v>0</v>
      </c>
      <c r="BB196" s="256">
        <f t="shared" si="1756"/>
        <v>0</v>
      </c>
      <c r="BC196" s="256"/>
      <c r="BD196" s="66"/>
      <c r="BE196" s="66"/>
      <c r="BF196" s="261"/>
      <c r="BG196" s="66"/>
      <c r="BH196" s="175"/>
      <c r="BI196" s="66"/>
      <c r="BJ196" s="66"/>
      <c r="BK196" s="65" t="str">
        <f t="shared" ref="BK196:BM196" si="1757" xml:space="preserve"> BK195</f>
        <v>Seilrett</v>
      </c>
      <c r="BL196" s="267">
        <f t="shared" si="1757"/>
        <v>3</v>
      </c>
      <c r="BM196" s="267">
        <f t="shared" si="1757"/>
        <v>60</v>
      </c>
      <c r="BN196" s="45">
        <f t="shared" si="1723"/>
        <v>1</v>
      </c>
      <c r="BO196" s="59"/>
      <c r="BP196" s="59"/>
      <c r="BR196" s="49">
        <f t="shared" si="1738"/>
        <v>0</v>
      </c>
      <c r="BS196" s="49">
        <f t="shared" si="1738"/>
        <v>0</v>
      </c>
      <c r="BT196" s="49">
        <f t="shared" si="1738"/>
        <v>0</v>
      </c>
      <c r="BU196" s="49">
        <f t="shared" si="1738"/>
        <v>0</v>
      </c>
      <c r="BV196" s="49">
        <f t="shared" si="1738"/>
        <v>11.4</v>
      </c>
      <c r="BW196" s="49">
        <f t="shared" si="1738"/>
        <v>0</v>
      </c>
      <c r="BX196" s="49">
        <f t="shared" si="1738"/>
        <v>17</v>
      </c>
      <c r="BY196" s="549">
        <f>IF(COUNT(Q196:U196)&gt;1,MINA(Q196:U196)*BY$9,0)</f>
        <v>-5.7</v>
      </c>
      <c r="BZ196" s="85">
        <f t="shared" si="1739"/>
        <v>0</v>
      </c>
      <c r="CA196" s="85">
        <f t="shared" si="1739"/>
        <v>0</v>
      </c>
      <c r="CB196" s="85">
        <f t="shared" si="1739"/>
        <v>0</v>
      </c>
      <c r="CC196" s="85">
        <f t="shared" si="1739"/>
        <v>25.506000000000004</v>
      </c>
      <c r="CD196" s="85">
        <f t="shared" si="1739"/>
        <v>0</v>
      </c>
      <c r="CE196" s="85">
        <f>IF(AC196=0,0,AC196*CE$9)</f>
        <v>0</v>
      </c>
      <c r="CF196" s="85">
        <f t="shared" si="1740"/>
        <v>0</v>
      </c>
      <c r="CG196" s="85">
        <f t="shared" si="1740"/>
        <v>0</v>
      </c>
      <c r="CH196" s="85">
        <f t="shared" si="1741"/>
        <v>0</v>
      </c>
      <c r="CI196" s="85">
        <f t="shared" si="1741"/>
        <v>0</v>
      </c>
      <c r="CJ196" s="85">
        <f t="shared" si="1741"/>
        <v>0</v>
      </c>
      <c r="CK196" s="85">
        <f t="shared" si="1741"/>
        <v>0</v>
      </c>
      <c r="CL196" s="100">
        <f>SUM(BR196:CK196)</f>
        <v>48.206000000000003</v>
      </c>
      <c r="CM196" s="50"/>
      <c r="CN196" s="104">
        <f>J196</f>
        <v>61.1</v>
      </c>
      <c r="CO196" s="101">
        <f>CL196/CN196</f>
        <v>0.78896890343698856</v>
      </c>
      <c r="CP196" s="51">
        <f>Seilareal/Lwl/Lwl</f>
        <v>0.6914893617021276</v>
      </c>
      <c r="CQ196" s="116">
        <f>Seilareal/Depl^0.667/K$7</f>
        <v>0.97393366723468466</v>
      </c>
      <c r="CR196" s="51">
        <f>Seilareal/Lwl/Lwl/SApRS1</f>
        <v>1.049210134432182</v>
      </c>
      <c r="CS196" s="204"/>
      <c r="CT196" s="204">
        <f>(ROUND(TBF/CT$6,3)*CT$6)*CT$4</f>
        <v>101.50000000000001</v>
      </c>
      <c r="CU196" s="107">
        <f t="shared" si="83"/>
        <v>1.0168378133155731</v>
      </c>
      <c r="CV196" s="62">
        <f t="shared" si="523"/>
        <v>2.8839848891254651</v>
      </c>
      <c r="CW196" s="62">
        <f t="shared" si="84"/>
        <v>1.6687486995417322</v>
      </c>
      <c r="CX196" s="62">
        <f t="shared" si="524"/>
        <v>1.7509831362269537</v>
      </c>
      <c r="CY196" s="107">
        <f t="shared" si="85"/>
        <v>1.0058623373751678</v>
      </c>
      <c r="CZ196" s="168" t="str">
        <f t="shared" si="1724"/>
        <v>-</v>
      </c>
      <c r="DA196" s="158"/>
      <c r="DB196" s="168" t="str">
        <f t="shared" si="1725"/>
        <v>-</v>
      </c>
      <c r="DC196" s="160"/>
      <c r="DD196" s="190" t="s">
        <v>134</v>
      </c>
      <c r="DE196" s="62" t="s">
        <v>102</v>
      </c>
      <c r="DF196" s="62" t="s">
        <v>102</v>
      </c>
      <c r="DG196" s="62" t="s">
        <v>102</v>
      </c>
      <c r="DH196" s="150" t="s">
        <v>102</v>
      </c>
      <c r="DI196" s="62">
        <f t="shared" si="542"/>
        <v>2.1892069393047362</v>
      </c>
      <c r="DJ196" s="47">
        <f t="shared" si="543"/>
        <v>13.928571428571429</v>
      </c>
      <c r="DK196" s="48">
        <f t="shared" si="1726"/>
        <v>0</v>
      </c>
      <c r="DM196" s="107">
        <f t="shared" si="1658"/>
        <v>0.99897775047248849</v>
      </c>
      <c r="DN196" s="141" t="str">
        <f t="shared" ref="DN196" si="1758">IF($DY196=0,"-",(DM196-$DW196)*100)</f>
        <v>-</v>
      </c>
      <c r="DO196" s="107">
        <f t="shared" si="1727"/>
        <v>4.6009992983653341</v>
      </c>
      <c r="DP196" s="133">
        <f>IF(SeilBeregnet=0,DP194,(SeilBeregnet^0.5/(Depl^0.3333))^DP$3*DP$7)</f>
        <v>2.8810186783194762</v>
      </c>
      <c r="DQ196" s="133">
        <f>IF(SeilBeregnet=0,DQ194,(SeilBeregnet^0.5/Lwl)^DQ$3*DQ$7)</f>
        <v>0</v>
      </c>
      <c r="DR196" s="133">
        <f>IF(SeilBeregnet=0,DR194,(0.1*Loa/Depl^0.3333)^DR$3*DR$7)</f>
        <v>0</v>
      </c>
      <c r="DS196" s="133">
        <f>IF(SeilBeregnet=0,DS194,((Loa)/Bredde)^DS$3*DS$7)</f>
        <v>1.7199806200458578</v>
      </c>
      <c r="DT196" s="107">
        <f>IF(SeilBeregnet=0,DT194,(Lwl)^DT$3)</f>
        <v>1.7509831362269537</v>
      </c>
      <c r="DU196" s="133">
        <f>IF(SeilBeregnet=0,DU194,(Dypg/Loa)^DU$3*5*DU$7)</f>
        <v>2.1395010606990579</v>
      </c>
      <c r="DW196" s="107">
        <f t="shared" si="417"/>
        <v>1.0482864054799723</v>
      </c>
      <c r="DX196" s="107">
        <f t="shared" si="544"/>
        <v>1.0206591959014883</v>
      </c>
      <c r="DZ196" s="107">
        <f t="shared" si="545"/>
        <v>1.0231330509491456</v>
      </c>
      <c r="EA196" s="122" t="str">
        <f t="shared" ref="EA196" si="1759">IF($DY196=0,"-",DZ196-$DW196)</f>
        <v>-</v>
      </c>
      <c r="EB196" s="107">
        <f t="shared" si="1728"/>
        <v>1.005970548874805</v>
      </c>
      <c r="EC196" s="122" t="str">
        <f t="shared" ref="EC196" si="1760">IF($DY196=0,"-",EB196-$DW196)</f>
        <v>-</v>
      </c>
      <c r="ED196" s="107">
        <f>IF(SeilBeregnet=0,ED194,SeilBeregnet^0.5/Depl^0.33333)</f>
        <v>2.8807905921447889</v>
      </c>
      <c r="EE196" s="107">
        <f>IF(SeilBeregnet=0,EE194,Lwl^0.3333)</f>
        <v>2.110296669863859</v>
      </c>
      <c r="EF196" s="107">
        <f>IF(SeilBeregnet=0,EF194,((Loa+Lwl)/Bredde)^EF$3)</f>
        <v>1.5362184229738891</v>
      </c>
      <c r="EH196" s="107">
        <f t="shared" si="1729"/>
        <v>1.0103010032451036</v>
      </c>
      <c r="EJ196" s="107">
        <f>IF(SeilBeregnet=0,EJ194,SeilBeregnet^0.5/Depl^0.33333)</f>
        <v>2.8807905921447889</v>
      </c>
      <c r="EK196" s="107">
        <f>IF(SeilBeregnet=0,EK194,Lwl^EK$3)</f>
        <v>2.1104385314977292</v>
      </c>
      <c r="EL196" s="107">
        <f>IF(SeilBeregnet=0,EL194,((Loa+Lwl)/Bredde)^EL$3)</f>
        <v>1.7724708369944617</v>
      </c>
      <c r="EM196" s="107">
        <f t="shared" si="1730"/>
        <v>1.0028133880778098</v>
      </c>
      <c r="EO196" s="107">
        <f>IF(SeilBeregnet=0,EO194,(EP196*EQ196)^EO$3)</f>
        <v>4.4255235803826842</v>
      </c>
      <c r="EP196" s="107">
        <f>IF(SeilBeregnet=0,EP194,SeilBeregnet^0.5/Depl^0.33333)</f>
        <v>2.8807905921447889</v>
      </c>
      <c r="EQ196" s="107">
        <f>IF(SeilBeregnet=0,EQ194,((Loa+Lwl)/Bredde)^EQ$3)</f>
        <v>1.5362184229738891</v>
      </c>
      <c r="ER196" s="107">
        <f>IF(SeilBeregnet=0,ER194,Lwl^ER$3)</f>
        <v>1.7509831362269537</v>
      </c>
      <c r="ES196" s="107">
        <f t="shared" si="1666"/>
        <v>1.0052626043518862</v>
      </c>
      <c r="EU196" s="107">
        <f>IF(SeilBeregnet=0,EU194,(EV:EV*EW:EW)^EU$3)</f>
        <v>1.6815640857144845</v>
      </c>
      <c r="EV196" s="107">
        <f>IF(SeilBeregnet=0,EV194,SeilBeregnet^0.5/Depl^0.33333)</f>
        <v>2.8807905921447889</v>
      </c>
      <c r="EW196" s="107">
        <f>IF(SeilBeregnet=0,EW194,((Loa+Lwl)/Bredde/6)^EW$3)</f>
        <v>0.98155616797524992</v>
      </c>
      <c r="EX196" s="107">
        <f>IF(SeilBeregnet=0,EX194,(Lwl*0.7+Loa*0.3)^EX$3)</f>
        <v>1.7681910643854912</v>
      </c>
      <c r="EY196" s="107">
        <f t="shared" si="1667"/>
        <v>0.99982507978194468</v>
      </c>
      <c r="FA196" s="107">
        <f t="shared" si="1668"/>
        <v>1.6816306531924257</v>
      </c>
      <c r="FB196" s="107">
        <f>IF(SeilBeregnet=0,FB194,SeilBeregnet^0.5/Depl^0.3333)</f>
        <v>2.8810186783194762</v>
      </c>
      <c r="FC196" s="107">
        <f>IF(SeilBeregnet=0,FC194,((Loa+Lwl)/Bredde/6)^FC$3)</f>
        <v>0.98155616797524992</v>
      </c>
      <c r="FD196" s="107">
        <f>IF(SeilBeregnet=0,FD194,(Lwl*0.7+Loa*0.3)^FD$3)</f>
        <v>1.7681910643854912</v>
      </c>
      <c r="FE196" s="107">
        <f t="shared" si="1669"/>
        <v>0.9972126246871672</v>
      </c>
      <c r="FF196" s="141" t="str">
        <f t="shared" ref="FF196" si="1761">IF($DY196=0,"-",(FE196-$DW196)*100)</f>
        <v>-</v>
      </c>
      <c r="FG196" s="107">
        <f t="shared" si="1671"/>
        <v>2.7757246795486288</v>
      </c>
      <c r="FH196" s="133">
        <f>IF(SeilBeregnet=0,FH194,(SeilBeregnet^0.5/(Depl^0.3333))^FH$3)</f>
        <v>2.8810186783194762</v>
      </c>
      <c r="FI196" s="133">
        <f>IF(SeilBeregnet=0,FI194,((Loa+Lwl)/Bredde/6)^FI$3)</f>
        <v>0.96345251089025696</v>
      </c>
      <c r="FJ196" s="107">
        <f>IF(SeilBeregnet=0,FJ194,(Lwl*0.07+Loa*0.03)^FJ$3)</f>
        <v>0.99432690633627108</v>
      </c>
      <c r="FK196" s="107">
        <f t="shared" si="1672"/>
        <v>1.0084174996612805</v>
      </c>
      <c r="FL196" s="141" t="str">
        <f t="shared" ref="FL196" si="1762">IF($DY196=0,"-",(FK196-$DW196)*100)</f>
        <v>-</v>
      </c>
      <c r="FM196" s="107">
        <f t="shared" si="1674"/>
        <v>4.8396220731566828</v>
      </c>
      <c r="FN196" s="133">
        <f>IF(SeilBeregnet=0,FN194,(SeilBeregnet^0.5/(Depl^0.3333))^FN$3)</f>
        <v>2.8810186783194762</v>
      </c>
      <c r="FO196" s="133">
        <f>IF(SeilBeregnet=0,FO194,(SeilBeregnet^0.5/Lwl*FO$7)^FO$3)</f>
        <v>0.73862277479134819</v>
      </c>
      <c r="FP196" s="133">
        <f>IF(SeilBeregnet=0,FP194,((Loa)/Bredde)^FP$3*FP$7)</f>
        <v>1.7199806200458578</v>
      </c>
      <c r="FQ196" s="107">
        <f>IF(SeilBeregnet=0,FQ194,(Lwl)^FQ$3)</f>
        <v>1.7509831362269537</v>
      </c>
      <c r="FR196" s="107">
        <f t="shared" si="1675"/>
        <v>1.0035566584596998</v>
      </c>
      <c r="FS196" s="141" t="str">
        <f t="shared" ref="FS196" si="1763">IF($DY196=0,"-",(FR196-$DW196)*100)</f>
        <v>-</v>
      </c>
      <c r="FT196" s="107">
        <f t="shared" si="1677"/>
        <v>4.9552962926996305</v>
      </c>
      <c r="FU196" s="133">
        <f>IF(SeilBeregnet=0,FU194,(SeilBeregnet^0.5/(Depl^0.3333))^FU$3)</f>
        <v>2.8810186783194762</v>
      </c>
      <c r="FV196" s="133">
        <f>IF(SeilBeregnet=0,FV194,(Loa/Bredde)^FV$3)</f>
        <v>1.7199806200458578</v>
      </c>
      <c r="FW196" s="107">
        <f>IF(SeilBeregnet=0,FW194,Lwl^FW$3)</f>
        <v>1.7509831362269537</v>
      </c>
      <c r="FY196">
        <v>0.95</v>
      </c>
      <c r="FZ196" s="62">
        <f t="shared" si="1452"/>
        <v>1.0486625609285773</v>
      </c>
      <c r="GA196" s="62">
        <f t="shared" si="1378"/>
        <v>2.1395010606990579</v>
      </c>
      <c r="GB196" s="107">
        <f t="shared" si="525"/>
        <v>1.1848264653874723</v>
      </c>
      <c r="GC196" s="440"/>
      <c r="GD196" s="17"/>
      <c r="GE196" s="442"/>
      <c r="GF196" s="462"/>
      <c r="GG196" s="17"/>
      <c r="GH196" s="17"/>
      <c r="GI196" s="17"/>
      <c r="GJ196" s="17"/>
      <c r="GL196" s="17"/>
      <c r="GM196" s="442"/>
      <c r="GN196" s="8"/>
      <c r="GO196" s="8"/>
      <c r="GP196" s="8"/>
      <c r="GQ196" s="8"/>
      <c r="GS196" s="17"/>
      <c r="GT196" s="17"/>
      <c r="GU196" s="17"/>
      <c r="GV196" s="629"/>
      <c r="GW196" s="17"/>
      <c r="GX196" s="17"/>
      <c r="GY196" s="17"/>
      <c r="GZ196" s="17"/>
    </row>
    <row r="197" spans="1:208" ht="15.6" x14ac:dyDescent="0.3">
      <c r="A197" s="60" t="s">
        <v>35</v>
      </c>
      <c r="B197" s="218"/>
      <c r="C197" s="61" t="str">
        <f>C195</f>
        <v>Gaffel</v>
      </c>
      <c r="D197" s="61"/>
      <c r="E197" s="61"/>
      <c r="F197" s="61"/>
      <c r="G197" s="54"/>
      <c r="H197" s="204">
        <f>TBFavrundet</f>
        <v>98</v>
      </c>
      <c r="I197" s="63">
        <f>COUNTA(O197:AG197)</f>
        <v>2</v>
      </c>
      <c r="J197" s="222">
        <f>SUM(O197:AG197)</f>
        <v>49.7</v>
      </c>
      <c r="K197" s="116">
        <f>Seilareal/Depl^0.667/K$7</f>
        <v>0.79221772932183032</v>
      </c>
      <c r="L197" s="116">
        <f>Seilareal/Lwl/Lwl/L$7</f>
        <v>0.8534491600864067</v>
      </c>
      <c r="M197" s="92">
        <f>RiggF</f>
        <v>0.8552515090543259</v>
      </c>
      <c r="N197" s="242">
        <f>StHfaktor</f>
        <v>1.0058623373751678</v>
      </c>
      <c r="O197" s="143"/>
      <c r="P197" s="143"/>
      <c r="Q197" s="143"/>
      <c r="R197" s="143"/>
      <c r="S197" s="143"/>
      <c r="T197" s="143"/>
      <c r="U197" s="165">
        <v>17</v>
      </c>
      <c r="V197" s="559"/>
      <c r="W197" s="559"/>
      <c r="X197" s="143"/>
      <c r="Y197" s="177">
        <v>32.700000000000003</v>
      </c>
      <c r="Z197" s="143"/>
      <c r="AA197" s="143"/>
      <c r="AB197" s="143"/>
      <c r="AC197" s="143"/>
      <c r="AD197" s="143"/>
      <c r="AE197" s="143"/>
      <c r="AF197" s="143"/>
      <c r="AG197" s="551"/>
      <c r="AH197" s="557">
        <f t="shared" si="1731"/>
        <v>0</v>
      </c>
      <c r="AI197" s="557">
        <f t="shared" si="1731"/>
        <v>9.85</v>
      </c>
      <c r="AJ197" s="337">
        <f t="shared" si="1732"/>
        <v>0</v>
      </c>
      <c r="AK197" s="339"/>
      <c r="AL197" s="337">
        <f t="shared" si="1732"/>
        <v>0</v>
      </c>
      <c r="AM197" s="339"/>
      <c r="AN197" s="267" t="str">
        <f t="shared" ref="AN197" si="1764" xml:space="preserve"> AN196</f>
        <v>los</v>
      </c>
      <c r="AO197" s="45">
        <f>VLOOKUP(AN197,Skrogform!$1:$1048576,3,FALSE)</f>
        <v>0.97</v>
      </c>
      <c r="AP197" s="64">
        <f t="shared" ref="AP197:AZ197" si="1765">AP196</f>
        <v>10.65</v>
      </c>
      <c r="AQ197" s="64">
        <f t="shared" si="1765"/>
        <v>9.4</v>
      </c>
      <c r="AR197" s="64">
        <f t="shared" si="1765"/>
        <v>3.6</v>
      </c>
      <c r="AS197" s="64">
        <f t="shared" si="1765"/>
        <v>1.95</v>
      </c>
      <c r="AT197" s="64">
        <f t="shared" ref="AT197" si="1766">AT196</f>
        <v>14</v>
      </c>
      <c r="AU197" s="64">
        <f t="shared" si="1765"/>
        <v>14</v>
      </c>
      <c r="AV197" s="64">
        <f t="shared" si="1765"/>
        <v>5</v>
      </c>
      <c r="AW197" s="64">
        <f t="shared" si="1765"/>
        <v>0</v>
      </c>
      <c r="AX197" s="256">
        <f>AX196</f>
        <v>0</v>
      </c>
      <c r="AY197" s="256">
        <f t="shared" si="1765"/>
        <v>30</v>
      </c>
      <c r="AZ197" s="256">
        <f t="shared" si="1765"/>
        <v>450</v>
      </c>
      <c r="BA197" s="256">
        <f t="shared" ref="BA197:BB197" si="1767">BA196</f>
        <v>0</v>
      </c>
      <c r="BB197" s="256">
        <f t="shared" si="1767"/>
        <v>0</v>
      </c>
      <c r="BC197" s="256"/>
      <c r="BD197" s="66"/>
      <c r="BE197" s="66"/>
      <c r="BF197" s="261"/>
      <c r="BG197" s="66"/>
      <c r="BH197" s="175"/>
      <c r="BI197" s="66"/>
      <c r="BJ197" s="66"/>
      <c r="BK197" s="65" t="str">
        <f t="shared" ref="BK197:BM197" si="1768" xml:space="preserve"> BK196</f>
        <v>Seilrett</v>
      </c>
      <c r="BL197" s="267">
        <f t="shared" si="1768"/>
        <v>3</v>
      </c>
      <c r="BM197" s="267">
        <f t="shared" si="1768"/>
        <v>60</v>
      </c>
      <c r="BN197" s="45">
        <f t="shared" si="1723"/>
        <v>1</v>
      </c>
      <c r="BO197" s="59"/>
      <c r="BP197" s="59"/>
      <c r="BR197" s="49">
        <f t="shared" si="1738"/>
        <v>0</v>
      </c>
      <c r="BS197" s="49">
        <f t="shared" si="1738"/>
        <v>0</v>
      </c>
      <c r="BT197" s="49">
        <f t="shared" si="1738"/>
        <v>0</v>
      </c>
      <c r="BU197" s="49">
        <f t="shared" si="1738"/>
        <v>0</v>
      </c>
      <c r="BV197" s="49">
        <f t="shared" si="1738"/>
        <v>0</v>
      </c>
      <c r="BW197" s="49">
        <f t="shared" si="1738"/>
        <v>0</v>
      </c>
      <c r="BX197" s="49">
        <f t="shared" si="1738"/>
        <v>17</v>
      </c>
      <c r="BY197" s="549">
        <f>IF(COUNT(Q197:U197)&gt;1,MINA(Q197:U197)*BY$9,0)</f>
        <v>0</v>
      </c>
      <c r="BZ197" s="85">
        <f t="shared" si="1739"/>
        <v>0</v>
      </c>
      <c r="CA197" s="85">
        <f t="shared" si="1739"/>
        <v>0</v>
      </c>
      <c r="CB197" s="85">
        <f t="shared" si="1739"/>
        <v>0</v>
      </c>
      <c r="CC197" s="85">
        <f t="shared" si="1739"/>
        <v>25.506000000000004</v>
      </c>
      <c r="CD197" s="85">
        <f t="shared" si="1739"/>
        <v>0</v>
      </c>
      <c r="CE197" s="85">
        <f>IF(AC197=0,0,AC197*CE$9)</f>
        <v>0</v>
      </c>
      <c r="CF197" s="85">
        <f t="shared" si="1740"/>
        <v>0</v>
      </c>
      <c r="CG197" s="85">
        <f t="shared" si="1740"/>
        <v>0</v>
      </c>
      <c r="CH197" s="85">
        <f t="shared" si="1741"/>
        <v>0</v>
      </c>
      <c r="CI197" s="85">
        <f t="shared" si="1741"/>
        <v>0</v>
      </c>
      <c r="CJ197" s="85">
        <f t="shared" si="1741"/>
        <v>0</v>
      </c>
      <c r="CK197" s="85">
        <f t="shared" si="1741"/>
        <v>0</v>
      </c>
      <c r="CL197" s="100">
        <f>SUM(BR197:CK197)</f>
        <v>42.506</v>
      </c>
      <c r="CM197" s="50"/>
      <c r="CN197" s="104">
        <f>J197</f>
        <v>49.7</v>
      </c>
      <c r="CO197" s="101">
        <f>CL197/CN197</f>
        <v>0.8552515090543259</v>
      </c>
      <c r="CP197" s="51">
        <f>Seilareal/Lwl/Lwl</f>
        <v>0.56247170665459489</v>
      </c>
      <c r="CQ197" s="116">
        <f>Seilareal/Depl^0.667/K$7</f>
        <v>0.79221772932183032</v>
      </c>
      <c r="CR197" s="51">
        <f>Seilareal/Lwl/Lwl/SApRS1</f>
        <v>0.8534491600864067</v>
      </c>
      <c r="CS197" s="204"/>
      <c r="CT197" s="204">
        <f>(ROUND(TBF/CT$6,3)*CT$6)*CT$4</f>
        <v>98</v>
      </c>
      <c r="CU197" s="107">
        <f t="shared" si="83"/>
        <v>0.97755848676284407</v>
      </c>
      <c r="CV197" s="62">
        <f t="shared" si="523"/>
        <v>2.7081177970532928</v>
      </c>
      <c r="CW197" s="62">
        <f t="shared" si="998"/>
        <v>1.6687486995417322</v>
      </c>
      <c r="CX197" s="62">
        <f t="shared" si="524"/>
        <v>1.7509831362269537</v>
      </c>
      <c r="CY197" s="107">
        <f t="shared" si="999"/>
        <v>1.0058623373751678</v>
      </c>
      <c r="CZ197" s="168" t="str">
        <f t="shared" si="1724"/>
        <v>-</v>
      </c>
      <c r="DA197" s="158"/>
      <c r="DB197" s="168" t="str">
        <f t="shared" si="1725"/>
        <v>-</v>
      </c>
      <c r="DC197" s="160"/>
      <c r="DD197" s="190" t="s">
        <v>134</v>
      </c>
      <c r="DE197" s="62" t="s">
        <v>102</v>
      </c>
      <c r="DF197" s="62" t="s">
        <v>102</v>
      </c>
      <c r="DG197" s="62" t="s">
        <v>102</v>
      </c>
      <c r="DH197" s="150" t="s">
        <v>102</v>
      </c>
      <c r="DI197" s="62">
        <f t="shared" si="542"/>
        <v>2.1892069393047362</v>
      </c>
      <c r="DJ197" s="47">
        <f t="shared" si="543"/>
        <v>13.928571428571429</v>
      </c>
      <c r="DK197" s="48">
        <f t="shared" si="1726"/>
        <v>0</v>
      </c>
      <c r="DM197" s="107">
        <f t="shared" si="1658"/>
        <v>0.96083242501856303</v>
      </c>
      <c r="DN197" s="141" t="str">
        <f t="shared" si="58"/>
        <v>-</v>
      </c>
      <c r="DO197" s="107">
        <f t="shared" si="1727"/>
        <v>4.4253130875699291</v>
      </c>
      <c r="DP197" s="133">
        <f>IF(SeilBeregnet=0,DP195,(SeilBeregnet^0.5/(Depl^0.3333))^DP$3*DP$7)</f>
        <v>2.7053324675240713</v>
      </c>
      <c r="DQ197" s="133">
        <f>IF(SeilBeregnet=0,DQ195,(SeilBeregnet^0.5/Lwl)^DQ$3*DQ$7)</f>
        <v>0</v>
      </c>
      <c r="DR197" s="133">
        <f>IF(SeilBeregnet=0,DR195,(0.1*Loa/Depl^0.3333)^DR$3*DR$7)</f>
        <v>0</v>
      </c>
      <c r="DS197" s="133">
        <f>IF(SeilBeregnet=0,DS195,((Loa)/Bredde)^DS$3*DS$7)</f>
        <v>1.7199806200458578</v>
      </c>
      <c r="DT197" s="107">
        <f>IF(SeilBeregnet=0,DT195,(Lwl)^DT$3)</f>
        <v>1.7509831362269537</v>
      </c>
      <c r="DU197" s="133">
        <f>IF(SeilBeregnet=0,DU195,(Dypg/Loa)^DU$3*5*DU$7)</f>
        <v>2.1395010606990579</v>
      </c>
      <c r="DW197" s="107">
        <f t="shared" si="417"/>
        <v>1.0077922543946849</v>
      </c>
      <c r="DX197" s="107">
        <f t="shared" si="544"/>
        <v>0.97331408232165739</v>
      </c>
      <c r="DZ197" s="107">
        <f t="shared" si="545"/>
        <v>0.98595930992909198</v>
      </c>
      <c r="EA197" s="122" t="str">
        <f t="shared" si="65"/>
        <v>-</v>
      </c>
      <c r="EB197" s="107">
        <f t="shared" si="1728"/>
        <v>0.96169349657395597</v>
      </c>
      <c r="EC197" s="122" t="str">
        <f t="shared" si="66"/>
        <v>-</v>
      </c>
      <c r="ED197" s="107">
        <f>IF(SeilBeregnet=0,ED195,SeilBeregnet^0.5/Depl^0.33333)</f>
        <v>2.7051182901782531</v>
      </c>
      <c r="EE197" s="107">
        <f>IF(SeilBeregnet=0,EE195,Lwl^0.3333)</f>
        <v>2.110296669863859</v>
      </c>
      <c r="EF197" s="107">
        <f>IF(SeilBeregnet=0,EF195,((Loa+Lwl)/Bredde)^EF$3)</f>
        <v>1.5362184229738891</v>
      </c>
      <c r="EH197" s="107">
        <f t="shared" si="1729"/>
        <v>0.97072666453571521</v>
      </c>
      <c r="EJ197" s="107">
        <f>IF(SeilBeregnet=0,EJ195,SeilBeregnet^0.5/Depl^0.33333)</f>
        <v>2.7051182901782531</v>
      </c>
      <c r="EK197" s="107">
        <f>IF(SeilBeregnet=0,EK195,Lwl^EK$3)</f>
        <v>2.1104385314977292</v>
      </c>
      <c r="EL197" s="107">
        <f>IF(SeilBeregnet=0,EL195,((Loa+Lwl)/Bredde)^EL$3)</f>
        <v>1.7724708369944617</v>
      </c>
      <c r="EM197" s="107">
        <f t="shared" si="1730"/>
        <v>0.96069537617874912</v>
      </c>
      <c r="EO197" s="107">
        <f>IF(SeilBeregnet=0,EO195,(EP197*EQ197)^EO$3)</f>
        <v>4.1556525536954592</v>
      </c>
      <c r="EP197" s="107">
        <f>IF(SeilBeregnet=0,EP195,SeilBeregnet^0.5/Depl^0.33333)</f>
        <v>2.7051182901782531</v>
      </c>
      <c r="EQ197" s="107">
        <f>IF(SeilBeregnet=0,EQ195,((Loa+Lwl)/Bredde)^EQ$3)</f>
        <v>1.5362184229738891</v>
      </c>
      <c r="ER197" s="107">
        <f>IF(SeilBeregnet=0,ER195,Lwl^ER$3)</f>
        <v>1.7509831362269537</v>
      </c>
      <c r="ES197" s="107">
        <f t="shared" si="1666"/>
        <v>0.96095534303022423</v>
      </c>
      <c r="EU197" s="107">
        <f>IF(SeilBeregnet=0,EU195,(EV:EV*EW:EW)^EU$3)</f>
        <v>1.6294862818775511</v>
      </c>
      <c r="EV197" s="107">
        <f>IF(SeilBeregnet=0,EV195,SeilBeregnet^0.5/Depl^0.33333)</f>
        <v>2.7051182901782531</v>
      </c>
      <c r="EW197" s="107">
        <f>IF(SeilBeregnet=0,EW195,((Loa+Lwl)/Bredde/6)^EW$3)</f>
        <v>0.98155616797524992</v>
      </c>
      <c r="EX197" s="107">
        <f>IF(SeilBeregnet=0,EX195,(Lwl*0.7+Loa*0.3)^EX$3)</f>
        <v>1.7681910643854912</v>
      </c>
      <c r="EY197" s="107">
        <f t="shared" si="1667"/>
        <v>0.9688606373212183</v>
      </c>
      <c r="FA197" s="107">
        <f t="shared" si="1668"/>
        <v>1.629550787770039</v>
      </c>
      <c r="FB197" s="107">
        <f>IF(SeilBeregnet=0,FB195,SeilBeregnet^0.5/Depl^0.3333)</f>
        <v>2.7053324675240713</v>
      </c>
      <c r="FC197" s="107">
        <f>IF(SeilBeregnet=0,FC195,((Loa+Lwl)/Bredde/6)^FC$3)</f>
        <v>0.98155616797524992</v>
      </c>
      <c r="FD197" s="107">
        <f>IF(SeilBeregnet=0,FD195,(Lwl*0.7+Loa*0.3)^FD$3)</f>
        <v>1.7681910643854912</v>
      </c>
      <c r="FE197" s="107">
        <f t="shared" si="1669"/>
        <v>0.96186856147816091</v>
      </c>
      <c r="FF197" s="141" t="str">
        <f t="shared" si="45"/>
        <v>-</v>
      </c>
      <c r="FG197" s="107">
        <f t="shared" si="1671"/>
        <v>2.6064593586290012</v>
      </c>
      <c r="FH197" s="133">
        <f>IF(SeilBeregnet=0,FH195,(SeilBeregnet^0.5/(Depl^0.3333))^FH$3)</f>
        <v>2.7053324675240713</v>
      </c>
      <c r="FI197" s="133">
        <f>IF(SeilBeregnet=0,FI195,((Loa+Lwl)/Bredde/6)^FI$3)</f>
        <v>0.96345251089025696</v>
      </c>
      <c r="FJ197" s="107">
        <f>IF(SeilBeregnet=0,FJ195,(Lwl*0.07+Loa*0.03)^FJ$3)</f>
        <v>0.99432690633627108</v>
      </c>
      <c r="FK197" s="107">
        <f t="shared" si="1672"/>
        <v>0.96242509887676675</v>
      </c>
      <c r="FL197" s="141" t="str">
        <f t="shared" si="46"/>
        <v>-</v>
      </c>
      <c r="FM197" s="107">
        <f t="shared" si="1674"/>
        <v>4.6188942118205132</v>
      </c>
      <c r="FN197" s="133">
        <f>IF(SeilBeregnet=0,FN195,(SeilBeregnet^0.5/(Depl^0.3333))^FN$3)</f>
        <v>2.7053324675240713</v>
      </c>
      <c r="FO197" s="133">
        <f>IF(SeilBeregnet=0,FO195,(SeilBeregnet^0.5/Lwl*FO$7)^FO$3)</f>
        <v>0.69358112425058416</v>
      </c>
      <c r="FP197" s="133">
        <f>IF(SeilBeregnet=0,FP195,((Loa)/Bredde)^FP$3*FP$7)</f>
        <v>1.7199806200458578</v>
      </c>
      <c r="FQ197" s="107">
        <f>IF(SeilBeregnet=0,FQ195,(Lwl)^FQ$3)</f>
        <v>1.7509831362269537</v>
      </c>
      <c r="FR197" s="107">
        <f t="shared" si="1675"/>
        <v>0.96969383496236106</v>
      </c>
      <c r="FS197" s="141" t="str">
        <f t="shared" si="47"/>
        <v>-</v>
      </c>
      <c r="FT197" s="107">
        <f t="shared" si="1677"/>
        <v>4.6531194149222426</v>
      </c>
      <c r="FU197" s="133">
        <f>IF(SeilBeregnet=0,FU195,(SeilBeregnet^0.5/(Depl^0.3333))^FU$3)</f>
        <v>2.7053324675240713</v>
      </c>
      <c r="FV197" s="133">
        <f>IF(SeilBeregnet=0,FV195,(Loa/Bredde)^FV$3)</f>
        <v>1.7199806200458578</v>
      </c>
      <c r="FW197" s="107">
        <f>IF(SeilBeregnet=0,FW195,Lwl^FW$3)</f>
        <v>1.7509831362269537</v>
      </c>
      <c r="FY197">
        <v>0.95</v>
      </c>
      <c r="FZ197" s="62">
        <f t="shared" si="1452"/>
        <v>1.0213313151464618</v>
      </c>
      <c r="GA197" s="62">
        <f t="shared" si="1378"/>
        <v>2.1395010606990579</v>
      </c>
      <c r="GB197" s="107">
        <f t="shared" si="525"/>
        <v>1.1602358218081013</v>
      </c>
      <c r="GC197" s="440"/>
      <c r="GD197" s="17"/>
      <c r="GE197" s="442"/>
      <c r="GF197" s="462"/>
      <c r="GG197" s="17"/>
      <c r="GH197" s="17"/>
      <c r="GI197" s="17"/>
      <c r="GJ197" s="17"/>
      <c r="GL197" s="17"/>
      <c r="GM197" s="442"/>
      <c r="GN197" s="8"/>
      <c r="GO197" s="8"/>
      <c r="GP197" s="8"/>
      <c r="GQ197" s="8"/>
      <c r="GS197" s="17"/>
      <c r="GT197" s="17"/>
      <c r="GU197" s="17"/>
      <c r="GV197" s="629"/>
      <c r="GW197" s="17"/>
      <c r="GX197" s="17"/>
      <c r="GY197" s="17"/>
      <c r="GZ197" s="17"/>
    </row>
    <row r="198" spans="1:208" ht="15.6" x14ac:dyDescent="0.3">
      <c r="A198" s="52" t="s">
        <v>905</v>
      </c>
      <c r="B198" s="218">
        <f t="shared" si="10"/>
        <v>39.370078740157481</v>
      </c>
      <c r="C198" s="53" t="s">
        <v>19</v>
      </c>
      <c r="D198" s="53"/>
      <c r="E198" s="53"/>
      <c r="F198" s="53"/>
      <c r="G198" s="54"/>
      <c r="H198" s="112">
        <f>J199</f>
        <v>96.800000000000011</v>
      </c>
      <c r="I198" s="601">
        <f>H199/100</f>
        <v>1.1850000000000001</v>
      </c>
      <c r="J198" s="651">
        <f>IF(DC199=0,"-",DC199)</f>
        <v>1.22</v>
      </c>
      <c r="K198" s="123" t="str">
        <f>A198</f>
        <v>Godbonden</v>
      </c>
      <c r="L198" s="116"/>
      <c r="M198" s="116"/>
      <c r="N198" s="92"/>
      <c r="O198" s="165"/>
      <c r="P198" s="165"/>
      <c r="Q198" s="165"/>
      <c r="R198" s="165">
        <v>21.4</v>
      </c>
      <c r="S198" s="165"/>
      <c r="T198" s="165"/>
      <c r="U198" s="165">
        <v>15.8</v>
      </c>
      <c r="V198" s="559"/>
      <c r="W198" s="559"/>
      <c r="X198" s="165">
        <v>46.7</v>
      </c>
      <c r="Y198" s="177">
        <f>StorS-StorS/6</f>
        <v>38.916666666666671</v>
      </c>
      <c r="Z198" s="165"/>
      <c r="AA198" s="165">
        <v>12.9</v>
      </c>
      <c r="AB198" s="165"/>
      <c r="AC198" s="165"/>
      <c r="AD198" s="165"/>
      <c r="AE198" s="165"/>
      <c r="AF198" s="165"/>
      <c r="AG198" s="552"/>
      <c r="AH198" s="244"/>
      <c r="AI198" s="244">
        <v>11</v>
      </c>
      <c r="AJ198" s="554"/>
      <c r="AK198" s="339"/>
      <c r="AL198" s="268"/>
      <c r="AM198" s="339"/>
      <c r="AN198" s="268" t="s">
        <v>211</v>
      </c>
      <c r="AO198" s="45">
        <f>VLOOKUP(AN198,Skrogform!$1:$1048576,3,FALSE)</f>
        <v>0.98</v>
      </c>
      <c r="AP198" s="55">
        <v>12</v>
      </c>
      <c r="AQ198" s="55">
        <v>10.4</v>
      </c>
      <c r="AR198" s="55">
        <v>3.7</v>
      </c>
      <c r="AS198" s="55">
        <v>2.1</v>
      </c>
      <c r="AT198" s="637">
        <f>AU198</f>
        <v>15.8</v>
      </c>
      <c r="AU198" s="55">
        <v>15.8</v>
      </c>
      <c r="AV198" s="55">
        <v>5.5</v>
      </c>
      <c r="AW198" s="55">
        <v>0.2</v>
      </c>
      <c r="AX198" s="253"/>
      <c r="AY198" s="253">
        <v>50</v>
      </c>
      <c r="AZ198" s="254">
        <f>AY198*7</f>
        <v>350</v>
      </c>
      <c r="BA198" s="253"/>
      <c r="BB198" s="253"/>
      <c r="BC198" s="244">
        <f>Depl+Diesel/1000*0.84+Vann/1000</f>
        <v>15.8</v>
      </c>
      <c r="BD198" s="95">
        <f>Bredde/(Loa+Lwl)*2</f>
        <v>0.3303571428571429</v>
      </c>
      <c r="BE198" s="95">
        <f>(Kjøl+Ballast)/Depl</f>
        <v>0.36075949367088606</v>
      </c>
      <c r="BF198" s="260">
        <f>BF$7*((Depl-Kjøl-Ballast-VektMotor/1000-VektAnnet/1000)/Lwl/Lwl/Bredde)</f>
        <v>0.91942400147929004</v>
      </c>
      <c r="BG198" s="95">
        <f>BG$7*(Depl/Loa/Lwl/Lwl)</f>
        <v>0.89582545210798814</v>
      </c>
      <c r="BH198" s="174">
        <f>BH$7*(Depl/Loa/Lwl/Bredde)</f>
        <v>0.93073774038461543</v>
      </c>
      <c r="BI198" s="95">
        <f>BI$7*Bredde/(Loa+Lwl)*2</f>
        <v>0.94240591397849471</v>
      </c>
      <c r="BJ198" s="95">
        <f>BJ$7*(Dypg/Lwl)</f>
        <v>1.1044314381270903</v>
      </c>
      <c r="BK198" s="56" t="s">
        <v>21</v>
      </c>
      <c r="BL198" s="268">
        <v>4</v>
      </c>
      <c r="BM198" s="268">
        <v>51</v>
      </c>
      <c r="BN198" s="45">
        <f t="shared" si="1723"/>
        <v>1</v>
      </c>
      <c r="BO198" s="59"/>
      <c r="BP198" s="59"/>
      <c r="BR198" s="209"/>
      <c r="BS198" s="209"/>
      <c r="BT198" s="209" t="str">
        <f>$A198</f>
        <v>Godbonden</v>
      </c>
      <c r="BU198" s="10"/>
      <c r="BV198" s="10"/>
      <c r="BW198" s="10"/>
      <c r="BX198" s="10">
        <f>IF(U198=0,0,U198*BX$9)</f>
        <v>15.8</v>
      </c>
      <c r="BY198" s="549"/>
      <c r="BZ198" s="10"/>
      <c r="CA198" s="10"/>
      <c r="CB198" s="209" t="str">
        <f>$A198</f>
        <v>Godbonden</v>
      </c>
      <c r="CC198" s="10"/>
      <c r="CD198" s="10"/>
      <c r="CE198" s="10"/>
      <c r="CF198" s="10"/>
      <c r="CG198" s="10"/>
      <c r="CH198" s="10"/>
      <c r="CI198" s="10"/>
      <c r="CJ198" s="10"/>
      <c r="CK198" s="10"/>
      <c r="CL198" s="209"/>
      <c r="CM198" s="10"/>
      <c r="CN198" s="209" t="str">
        <f>$A198</f>
        <v>Godbonden</v>
      </c>
      <c r="CO198" s="207"/>
      <c r="CP198" s="207"/>
      <c r="CQ198" s="116"/>
      <c r="CR198" s="207"/>
      <c r="CS198" s="203"/>
      <c r="CT198" s="203" t="s">
        <v>23</v>
      </c>
      <c r="CU198" s="107" t="str">
        <f t="shared" si="36"/>
        <v>-</v>
      </c>
      <c r="CV198" s="62" t="str">
        <f t="shared" si="523"/>
        <v>-</v>
      </c>
      <c r="CW198" s="62" t="str">
        <f t="shared" si="14"/>
        <v>-</v>
      </c>
      <c r="CX198" s="62" t="str">
        <f t="shared" si="524"/>
        <v>-</v>
      </c>
      <c r="CY198" s="107" t="str">
        <f t="shared" si="16"/>
        <v>-</v>
      </c>
      <c r="CZ198" s="168" t="str">
        <f>IF(DA198=0,"-",IF(CP198="TBF","-",CZ$7*DA198))</f>
        <v>-</v>
      </c>
      <c r="DA198" s="158"/>
      <c r="DB198" s="168" t="str">
        <f>IF(DC198=0,"-",IF(CT198="TBF","-",DB$7*DC198))</f>
        <v>-</v>
      </c>
      <c r="DC198" s="160">
        <v>1.22</v>
      </c>
      <c r="DD198" s="190" t="s">
        <v>134</v>
      </c>
      <c r="DE198" s="29" t="s">
        <v>23</v>
      </c>
      <c r="DF198" s="29" t="s">
        <v>23</v>
      </c>
      <c r="DG198" s="29" t="s">
        <v>23</v>
      </c>
      <c r="DH198" s="149">
        <v>2022</v>
      </c>
      <c r="DI198" s="62" t="str">
        <f t="shared" si="39"/>
        <v>-</v>
      </c>
      <c r="DJ198" s="47">
        <f t="shared" si="17"/>
        <v>13.90728476821192</v>
      </c>
      <c r="DK198" s="48">
        <f>DJ$7*IF(DJ198&lt;DJ$5,-0.04,IF(DJ198&lt;DJ$5*1.1,-0.03,IF(DJ198&lt;DJ$5*1.2,-0.02,IF(DJ198&lt;DJ$5*1.3,-0.01,0))))</f>
        <v>0</v>
      </c>
      <c r="DM198" s="107" t="str">
        <f t="shared" si="1658"/>
        <v>-</v>
      </c>
      <c r="DN198" s="141" t="str">
        <f>IF($DY198=0,"-",(DM198-$DW198)*100)</f>
        <v>-</v>
      </c>
      <c r="DO198" s="107">
        <f>SUM(DP198:DS198)^DO$3+DO$7</f>
        <v>4.4253130875699291</v>
      </c>
      <c r="DP198" s="133">
        <f>IF(SeilBeregnet=0,DP197,(SeilBeregnet^0.5/(Depl^0.3333))^DP$3*DP$7)</f>
        <v>2.7053324675240713</v>
      </c>
      <c r="DQ198" s="133">
        <f>IF(SeilBeregnet=0,DQ197,(SeilBeregnet^0.5/Lwl)^DQ$3*DQ$7)</f>
        <v>0</v>
      </c>
      <c r="DR198" s="133">
        <f>IF(SeilBeregnet=0,DR197,(0.1*Loa/Depl^0.3333)^DR$3*DR$7)</f>
        <v>0</v>
      </c>
      <c r="DS198" s="133">
        <f>IF(SeilBeregnet=0,DS197,((Loa)/Bredde)^DS$3*DS$7)</f>
        <v>1.7199806200458578</v>
      </c>
      <c r="DT198" s="107">
        <f>IF(SeilBeregnet=0,DT197,(Lwl)^DT$3)</f>
        <v>1.7509831362269537</v>
      </c>
      <c r="DU198" s="133">
        <f>IF(SeilBeregnet=0,DU197,(Dypg/Loa)^DU$3*5*DU$7)</f>
        <v>2.1395010606990579</v>
      </c>
      <c r="DW198" s="107" t="str">
        <f t="shared" si="417"/>
        <v>-</v>
      </c>
      <c r="DX198" s="107" t="str">
        <f t="shared" si="40"/>
        <v>-</v>
      </c>
      <c r="DZ198" s="107" t="str">
        <f t="shared" si="41"/>
        <v>-</v>
      </c>
      <c r="EA198" s="122" t="str">
        <f>IF($DY198=0,"-",DZ198-$DW198)</f>
        <v>-</v>
      </c>
      <c r="EB198" s="107" t="str">
        <f>IF(SeilBeregnet=0,"-",EB$7*(EB$4*ED198*EE198*EF198*PropF+EB$6)+ErfaringsF+Dyp_F)</f>
        <v>-</v>
      </c>
      <c r="EC198" s="122" t="str">
        <f>IF($DY198=0,"-",EB198-$DW198)</f>
        <v>-</v>
      </c>
      <c r="ED198" s="107">
        <f>IF(SeilBeregnet=0,ED197,SeilBeregnet^0.5/Depl^0.33333)</f>
        <v>2.7051182901782531</v>
      </c>
      <c r="EE198" s="107">
        <f>IF(SeilBeregnet=0,EE197,Lwl^0.3333)</f>
        <v>2.110296669863859</v>
      </c>
      <c r="EF198" s="107">
        <f>IF(SeilBeregnet=0,EF197,((Loa+Lwl)/Bredde)^EF$3)</f>
        <v>1.5362184229738891</v>
      </c>
      <c r="EH198" s="107" t="str">
        <f>IF(SeilBeregnet=0,"-",EH$7*(EH$4*EJ198*EK198*EL198*PropF+EH$6)+ErfaringsF+Dyp_F)</f>
        <v>-</v>
      </c>
      <c r="EJ198" s="107">
        <f>IF(SeilBeregnet=0,EJ197,SeilBeregnet^0.5/Depl^0.33333)</f>
        <v>2.7051182901782531</v>
      </c>
      <c r="EK198" s="107">
        <f>IF(SeilBeregnet=0,EK197,Lwl^EK$3)</f>
        <v>2.1104385314977292</v>
      </c>
      <c r="EL198" s="107">
        <f>IF(SeilBeregnet=0,EL197,((Loa+Lwl)/Bredde)^EL$3)</f>
        <v>1.7724708369944617</v>
      </c>
      <c r="EM198" s="107" t="str">
        <f>IF(SeilBeregnet=0,"-",EM$7*(EM$4*EO198+EM$6)*ER198*PropF+ErfaringsF+Dyp_F)</f>
        <v>-</v>
      </c>
      <c r="EO198" s="107">
        <f>IF(SeilBeregnet=0,EO197,(EP198*EQ198)^EO$3)</f>
        <v>4.1556525536954592</v>
      </c>
      <c r="EP198" s="107">
        <f>IF(SeilBeregnet=0,EP197,SeilBeregnet^0.5/Depl^0.33333)</f>
        <v>2.7051182901782531</v>
      </c>
      <c r="EQ198" s="107">
        <f>IF(SeilBeregnet=0,EQ197,((Loa+Lwl)/Bredde)^EQ$3)</f>
        <v>1.5362184229738891</v>
      </c>
      <c r="ER198" s="107">
        <f>IF(SeilBeregnet=0,ER197,Lwl^ER$3)</f>
        <v>1.7509831362269537</v>
      </c>
      <c r="ES198" s="107" t="str">
        <f t="shared" si="1666"/>
        <v>-</v>
      </c>
      <c r="EU198" s="107">
        <f>IF(SeilBeregnet=0,EU197,(EV:EV*EW:EW)^EU$3)</f>
        <v>1.6294862818775511</v>
      </c>
      <c r="EV198" s="107">
        <f>IF(SeilBeregnet=0,EV197,SeilBeregnet^0.5/Depl^0.33333)</f>
        <v>2.7051182901782531</v>
      </c>
      <c r="EW198" s="107">
        <f>IF(SeilBeregnet=0,EW197,((Loa+Lwl)/Bredde/6)^EW$3)</f>
        <v>0.98155616797524992</v>
      </c>
      <c r="EX198" s="107">
        <f>IF(SeilBeregnet=0,EX197,(Lwl*0.7+Loa*0.3)^EX$3)</f>
        <v>1.7681910643854912</v>
      </c>
      <c r="EY198" s="107" t="str">
        <f t="shared" si="1667"/>
        <v>-</v>
      </c>
      <c r="FA198" s="107">
        <f t="shared" si="1668"/>
        <v>1.629550787770039</v>
      </c>
      <c r="FB198" s="107">
        <f>IF(SeilBeregnet=0,FB197,SeilBeregnet^0.5/Depl^0.3333)</f>
        <v>2.7053324675240713</v>
      </c>
      <c r="FC198" s="107">
        <f>IF(SeilBeregnet=0,FC197,((Loa+Lwl)/Bredde/6)^FC$3)</f>
        <v>0.98155616797524992</v>
      </c>
      <c r="FD198" s="107">
        <f>IF(SeilBeregnet=0,FD197,(Lwl*0.7+Loa*0.3)^FD$3)</f>
        <v>1.7681910643854912</v>
      </c>
      <c r="FE198" s="107" t="str">
        <f t="shared" si="1669"/>
        <v>-</v>
      </c>
      <c r="FF198" s="141" t="str">
        <f>IF($DY198=0,"-",(FE198-$DW198)*100)</f>
        <v>-</v>
      </c>
      <c r="FG198" s="107">
        <f t="shared" si="1671"/>
        <v>2.6064593586290012</v>
      </c>
      <c r="FH198" s="133">
        <f>IF(SeilBeregnet=0,FH197,(SeilBeregnet^0.5/(Depl^0.3333))^FH$3)</f>
        <v>2.7053324675240713</v>
      </c>
      <c r="FI198" s="133">
        <f>IF(SeilBeregnet=0,FI197,((Loa+Lwl)/Bredde/6)^FI$3)</f>
        <v>0.96345251089025696</v>
      </c>
      <c r="FJ198" s="107">
        <f>IF(SeilBeregnet=0,FJ197,(Lwl*0.07+Loa*0.03)^FJ$3)</f>
        <v>0.99432690633627108</v>
      </c>
      <c r="FK198" s="107" t="str">
        <f t="shared" si="1672"/>
        <v>-</v>
      </c>
      <c r="FL198" s="141" t="str">
        <f>IF($DY198=0,"-",(FK198-$DW198)*100)</f>
        <v>-</v>
      </c>
      <c r="FM198" s="107">
        <f t="shared" si="1674"/>
        <v>4.6188942118205132</v>
      </c>
      <c r="FN198" s="133">
        <f>IF(SeilBeregnet=0,FN197,(SeilBeregnet^0.5/(Depl^0.3333))^FN$3)</f>
        <v>2.7053324675240713</v>
      </c>
      <c r="FO198" s="133">
        <f>IF(SeilBeregnet=0,FO197,(SeilBeregnet^0.5/Lwl*FO$7)^FO$3)</f>
        <v>0.69358112425058416</v>
      </c>
      <c r="FP198" s="133">
        <f>IF(SeilBeregnet=0,FP197,((Loa)/Bredde)^FP$3*FP$7)</f>
        <v>1.7199806200458578</v>
      </c>
      <c r="FQ198" s="107">
        <f>IF(SeilBeregnet=0,FQ197,(Lwl)^FQ$3)</f>
        <v>1.7509831362269537</v>
      </c>
      <c r="FR198" s="107" t="str">
        <f t="shared" si="1675"/>
        <v>-</v>
      </c>
      <c r="FS198" s="141" t="str">
        <f>IF($DY198=0,"-",(FR198-$DW198)*100)</f>
        <v>-</v>
      </c>
      <c r="FT198" s="107">
        <f t="shared" si="1677"/>
        <v>4.6531194149222426</v>
      </c>
      <c r="FU198" s="133">
        <f>IF(SeilBeregnet=0,FU197,(SeilBeregnet^0.5/(Depl^0.3333))^FU$3)</f>
        <v>2.7053324675240713</v>
      </c>
      <c r="FV198" s="133">
        <f>IF(SeilBeregnet=0,FV197,(Loa/Bredde)^FV$3)</f>
        <v>1.7199806200458578</v>
      </c>
      <c r="FW198" s="107">
        <f>IF(SeilBeregnet=0,FW197,Lwl^FW$3)</f>
        <v>1.7509831362269537</v>
      </c>
      <c r="FY198">
        <v>0.95</v>
      </c>
      <c r="FZ198" s="62" t="str">
        <f t="shared" si="1452"/>
        <v>-</v>
      </c>
      <c r="GA198" s="62">
        <f t="shared" si="1378"/>
        <v>2.0916500663351889</v>
      </c>
      <c r="GB198" s="107" t="str">
        <f t="shared" si="525"/>
        <v>-</v>
      </c>
      <c r="GC198" s="441" t="s">
        <v>447</v>
      </c>
      <c r="GD198" s="57" t="s">
        <v>448</v>
      </c>
      <c r="GE198" s="436"/>
      <c r="GF198" s="75"/>
      <c r="GG198" s="57"/>
      <c r="GH198" s="57"/>
      <c r="GI198" s="57" t="s">
        <v>416</v>
      </c>
      <c r="GJ198" s="57"/>
      <c r="GL198" s="57" t="s">
        <v>478</v>
      </c>
      <c r="GM198" s="436" t="s">
        <v>478</v>
      </c>
      <c r="GN198" s="58" t="s">
        <v>478</v>
      </c>
      <c r="GO198" s="58" t="s">
        <v>478</v>
      </c>
      <c r="GP198" s="58" t="s">
        <v>478</v>
      </c>
      <c r="GQ198" s="58" t="s">
        <v>478</v>
      </c>
      <c r="GS198" s="57" t="s">
        <v>470</v>
      </c>
      <c r="GT198" s="57" t="s">
        <v>464</v>
      </c>
      <c r="GU198" s="57" t="s">
        <v>549</v>
      </c>
      <c r="GV198" s="599" t="s">
        <v>548</v>
      </c>
      <c r="GW198" s="57">
        <v>1954</v>
      </c>
      <c r="GX198" s="57" t="s">
        <v>431</v>
      </c>
      <c r="GY198" s="57" t="s">
        <v>469</v>
      </c>
      <c r="GZ198" s="57" t="s">
        <v>555</v>
      </c>
    </row>
    <row r="199" spans="1:208" ht="15.6" x14ac:dyDescent="0.3">
      <c r="A199" s="60" t="s">
        <v>28</v>
      </c>
      <c r="B199" s="218"/>
      <c r="C199" s="61" t="str">
        <f>C198</f>
        <v>Gaffel</v>
      </c>
      <c r="D199" s="61"/>
      <c r="E199" s="61"/>
      <c r="F199" s="61"/>
      <c r="G199" s="54"/>
      <c r="H199" s="204">
        <f>IF(StH=0,0,TBFavrundet)</f>
        <v>118.5</v>
      </c>
      <c r="I199" s="63">
        <f>COUNTA(O199:AG199)</f>
        <v>4</v>
      </c>
      <c r="J199" s="222">
        <f>SUM(O199:AG199)</f>
        <v>96.800000000000011</v>
      </c>
      <c r="K199" s="116">
        <f>Seilareal/Depl^0.667/K$7</f>
        <v>1.4233989750946789</v>
      </c>
      <c r="L199" s="116">
        <f>Seilareal/Lwl/Lwl/L$7</f>
        <v>1.3579558567400591</v>
      </c>
      <c r="M199" s="92">
        <f>RiggF</f>
        <v>0.7419421487603306</v>
      </c>
      <c r="N199" s="242">
        <f>StHfaktor</f>
        <v>1.0070358192191537</v>
      </c>
      <c r="O199" s="143"/>
      <c r="P199" s="143"/>
      <c r="Q199" s="143"/>
      <c r="R199" s="165">
        <v>21.4</v>
      </c>
      <c r="S199" s="143"/>
      <c r="T199" s="143"/>
      <c r="U199" s="165">
        <v>15.8</v>
      </c>
      <c r="V199" s="559"/>
      <c r="W199" s="559"/>
      <c r="X199" s="165">
        <v>46.7</v>
      </c>
      <c r="Y199" s="143"/>
      <c r="Z199" s="143"/>
      <c r="AA199" s="165">
        <v>12.9</v>
      </c>
      <c r="AB199" s="143"/>
      <c r="AC199" s="143"/>
      <c r="AD199" s="143"/>
      <c r="AE199" s="143"/>
      <c r="AF199" s="143"/>
      <c r="AG199" s="551"/>
      <c r="AH199" s="555">
        <f t="shared" ref="AH199:AI201" si="1769">AH198</f>
        <v>0</v>
      </c>
      <c r="AI199" s="555">
        <f t="shared" si="1769"/>
        <v>11</v>
      </c>
      <c r="AJ199" s="337">
        <f t="shared" ref="AJ199:AL201" si="1770" xml:space="preserve"> AJ198</f>
        <v>0</v>
      </c>
      <c r="AK199" s="339"/>
      <c r="AL199" s="337">
        <f t="shared" si="1770"/>
        <v>0</v>
      </c>
      <c r="AM199" s="339"/>
      <c r="AN199" s="267" t="str">
        <f t="shared" ref="AN199" si="1771" xml:space="preserve"> AN198</f>
        <v>Lystb</v>
      </c>
      <c r="AO199" s="45">
        <f>VLOOKUP(AN199,Skrogform!$1:$1048576,3,FALSE)</f>
        <v>0.98</v>
      </c>
      <c r="AP199" s="64">
        <f t="shared" ref="AP199:AZ199" si="1772">AP198</f>
        <v>12</v>
      </c>
      <c r="AQ199" s="64">
        <f t="shared" si="1772"/>
        <v>10.4</v>
      </c>
      <c r="AR199" s="64">
        <f t="shared" si="1772"/>
        <v>3.7</v>
      </c>
      <c r="AS199" s="64">
        <f t="shared" si="1772"/>
        <v>2.1</v>
      </c>
      <c r="AT199" s="64">
        <f t="shared" ref="AT199" si="1773">AT198</f>
        <v>15.8</v>
      </c>
      <c r="AU199" s="64">
        <f t="shared" si="1772"/>
        <v>15.8</v>
      </c>
      <c r="AV199" s="64">
        <f t="shared" si="1772"/>
        <v>5.5</v>
      </c>
      <c r="AW199" s="64">
        <f t="shared" si="1772"/>
        <v>0.2</v>
      </c>
      <c r="AX199" s="256">
        <f>AX198</f>
        <v>0</v>
      </c>
      <c r="AY199" s="256">
        <f t="shared" si="1772"/>
        <v>50</v>
      </c>
      <c r="AZ199" s="256">
        <f t="shared" si="1772"/>
        <v>350</v>
      </c>
      <c r="BA199" s="256">
        <f t="shared" ref="BA199:BB199" si="1774">BA198</f>
        <v>0</v>
      </c>
      <c r="BB199" s="256">
        <f t="shared" si="1774"/>
        <v>0</v>
      </c>
      <c r="BC199" s="256"/>
      <c r="BD199" s="66"/>
      <c r="BE199" s="66"/>
      <c r="BF199" s="261"/>
      <c r="BG199" s="66"/>
      <c r="BH199" s="175"/>
      <c r="BI199" s="66"/>
      <c r="BJ199" s="66"/>
      <c r="BK199" s="65" t="str">
        <f t="shared" ref="BK199:BM199" si="1775" xml:space="preserve"> BK198</f>
        <v>Seilrett</v>
      </c>
      <c r="BL199" s="267">
        <f t="shared" si="1775"/>
        <v>4</v>
      </c>
      <c r="BM199" s="267">
        <f t="shared" si="1775"/>
        <v>51</v>
      </c>
      <c r="BN199" s="45">
        <f t="shared" si="1723"/>
        <v>1</v>
      </c>
      <c r="BO199" s="59"/>
      <c r="BP199" s="59"/>
      <c r="BR199" s="49">
        <f t="shared" ref="BR199:BW201" si="1776">IF(O199=0,0,O199*BR$9)</f>
        <v>0</v>
      </c>
      <c r="BS199" s="49">
        <f t="shared" si="1776"/>
        <v>0</v>
      </c>
      <c r="BT199" s="49">
        <f t="shared" si="1776"/>
        <v>0</v>
      </c>
      <c r="BU199" s="49">
        <f t="shared" si="1776"/>
        <v>21.4</v>
      </c>
      <c r="BV199" s="49">
        <f t="shared" si="1776"/>
        <v>0</v>
      </c>
      <c r="BW199" s="49">
        <f t="shared" si="1776"/>
        <v>0</v>
      </c>
      <c r="BX199" s="49">
        <f>IF(U199=0,0,U199*BX$9)</f>
        <v>15.8</v>
      </c>
      <c r="BY199" s="549">
        <f>IF(COUNT(Q199:U199)&gt;1,MINA(Q199:U199)*BY$9,0)</f>
        <v>-7.9</v>
      </c>
      <c r="BZ199" s="85">
        <f t="shared" ref="BZ199:CD201" si="1777">IF(V199=0,0,V199*BZ$9)</f>
        <v>0</v>
      </c>
      <c r="CA199" s="85">
        <f t="shared" si="1777"/>
        <v>0</v>
      </c>
      <c r="CB199" s="85">
        <f t="shared" si="1777"/>
        <v>37.360000000000007</v>
      </c>
      <c r="CC199" s="85">
        <f t="shared" si="1777"/>
        <v>0</v>
      </c>
      <c r="CD199" s="85">
        <f t="shared" si="1777"/>
        <v>0</v>
      </c>
      <c r="CE199" s="85">
        <f>IF(AC199=0,0,AC199*CE$9)</f>
        <v>0</v>
      </c>
      <c r="CF199" s="85">
        <f t="shared" ref="CF199:CG201" si="1778">IF(AA199=0,0,AA199*CF$9)</f>
        <v>5.16</v>
      </c>
      <c r="CG199" s="85">
        <f t="shared" si="1778"/>
        <v>0</v>
      </c>
      <c r="CH199" s="85">
        <f t="shared" ref="CH199:CK201" si="1779">IF(AD199=0,0,AD199*CH$9)</f>
        <v>0</v>
      </c>
      <c r="CI199" s="85">
        <f t="shared" si="1779"/>
        <v>0</v>
      </c>
      <c r="CJ199" s="85">
        <f t="shared" si="1779"/>
        <v>0</v>
      </c>
      <c r="CK199" s="85">
        <f t="shared" si="1779"/>
        <v>0</v>
      </c>
      <c r="CL199" s="100">
        <f>SUM(BR199:CK199)</f>
        <v>71.820000000000007</v>
      </c>
      <c r="CM199" s="50"/>
      <c r="CN199" s="104">
        <f>J199</f>
        <v>96.800000000000011</v>
      </c>
      <c r="CO199" s="101">
        <f>CL199/CN199</f>
        <v>0.7419421487603306</v>
      </c>
      <c r="CP199" s="51">
        <f>Seilareal/Lwl/Lwl</f>
        <v>0.89497041420118351</v>
      </c>
      <c r="CQ199" s="116">
        <f>Seilareal/Depl^0.667/K$7</f>
        <v>1.4233989750946789</v>
      </c>
      <c r="CR199" s="51">
        <f>Seilareal/Lwl/Lwl/SApRS1</f>
        <v>1.3579558567400591</v>
      </c>
      <c r="CS199" s="204"/>
      <c r="CT199" s="204">
        <f>(ROUND(TBF/CT$6,3)*CT$6)*CT$4</f>
        <v>118.5</v>
      </c>
      <c r="CU199" s="107">
        <f t="shared" si="36"/>
        <v>1.1864398412247097</v>
      </c>
      <c r="CV199" s="62">
        <f t="shared" si="523"/>
        <v>3.3868369644067267</v>
      </c>
      <c r="CW199" s="62">
        <f t="shared" si="14"/>
        <v>1.7398353448033601</v>
      </c>
      <c r="CX199" s="62">
        <f t="shared" si="524"/>
        <v>1.7958015200236968</v>
      </c>
      <c r="CY199" s="107">
        <f t="shared" si="16"/>
        <v>1.0070358192191537</v>
      </c>
      <c r="CZ199" s="168" t="str">
        <f>IF(DA199=0,"-",IF(CP199="TBF","-",CZ$7*DA199))</f>
        <v>-</v>
      </c>
      <c r="DA199" s="159">
        <f>DA198</f>
        <v>0</v>
      </c>
      <c r="DB199" s="168">
        <f>IF(DC199=0,"-",IF(CT199="TBF","-",DB$7*DC199))</f>
        <v>1.1343859649122807</v>
      </c>
      <c r="DC199" s="159">
        <f>DC198</f>
        <v>1.22</v>
      </c>
      <c r="DD199" s="190" t="s">
        <v>134</v>
      </c>
      <c r="DE199" s="62" t="s">
        <v>102</v>
      </c>
      <c r="DF199" s="62" t="s">
        <v>102</v>
      </c>
      <c r="DG199" s="62" t="s">
        <v>102</v>
      </c>
      <c r="DH199" s="150" t="s">
        <v>102</v>
      </c>
      <c r="DI199" s="62">
        <f t="shared" si="39"/>
        <v>2.1487353342809299</v>
      </c>
      <c r="DJ199" s="47">
        <f t="shared" si="17"/>
        <v>13.90728476821192</v>
      </c>
      <c r="DK199" s="48">
        <f>DJ$7*IF(DJ199&lt;DJ$5,-0.04,IF(DJ199&lt;DJ$5*1.1,-0.03,IF(DJ199&lt;DJ$5*1.2,-0.02,IF(DJ199&lt;DJ$5*1.3,-0.01,0))))</f>
        <v>0</v>
      </c>
      <c r="DM199" s="107">
        <f t="shared" si="1658"/>
        <v>1.1531489613066535</v>
      </c>
      <c r="DN199" s="141" t="str">
        <f>IF($DY199=0,"-",(DM199-$DW199)*100)</f>
        <v>-</v>
      </c>
      <c r="DO199" s="107">
        <f>SUM(DP199:DS199)^DO$3+DO$7</f>
        <v>5.1785168315881531</v>
      </c>
      <c r="DP199" s="133">
        <f>IF(SeilBeregnet=0,DP198,(SeilBeregnet^0.5/(Depl^0.3333))^DP$3*DP$7)</f>
        <v>3.377616156025161</v>
      </c>
      <c r="DQ199" s="133">
        <f>IF(SeilBeregnet=0,DQ198,(SeilBeregnet^0.5/Lwl)^DQ$3*DQ$7)</f>
        <v>0</v>
      </c>
      <c r="DR199" s="133">
        <f>IF(SeilBeregnet=0,DR198,(0.1*Loa/Depl^0.3333)^DR$3*DR$7)</f>
        <v>0</v>
      </c>
      <c r="DS199" s="133">
        <f>IF(SeilBeregnet=0,DS198,((Loa)/Bredde)^DS$3*DS$7)</f>
        <v>1.8009006755629926</v>
      </c>
      <c r="DT199" s="107">
        <f>IF(SeilBeregnet=0,DT198,(Lwl)^DT$3)</f>
        <v>1.7958015200236968</v>
      </c>
      <c r="DU199" s="133">
        <f>IF(SeilBeregnet=0,DU198,(Dypg/Loa)^DU$3*5*DU$7)</f>
        <v>2.0916500663351889</v>
      </c>
      <c r="DW199" s="107">
        <f t="shared" si="417"/>
        <v>1.2106528992088874</v>
      </c>
      <c r="DX199" s="107">
        <f t="shared" si="40"/>
        <v>1.1723078207313011</v>
      </c>
      <c r="DZ199" s="107">
        <f t="shared" si="41"/>
        <v>1.1563361934560652</v>
      </c>
      <c r="EA199" s="122" t="str">
        <f>IF($DY199=0,"-",DZ199-$DW199)</f>
        <v>-</v>
      </c>
      <c r="EB199" s="107">
        <f>IF(SeilBeregnet=0,"-",EB$7*(EB$4*ED199*EE199*EF199*PropF+EB$6)+ErfaringsF+Dyp_F)</f>
        <v>1.1788496327533016</v>
      </c>
      <c r="EC199" s="122" t="str">
        <f>IF($DY199=0,"-",EB199-$DW199)</f>
        <v>-</v>
      </c>
      <c r="ED199" s="107">
        <f>IF(SeilBeregnet=0,ED198,SeilBeregnet^0.5/Depl^0.33333)</f>
        <v>3.3773364999781954</v>
      </c>
      <c r="EE199" s="107">
        <f>IF(SeilBeregnet=0,EE198,Lwl^0.3333)</f>
        <v>2.1826153840929692</v>
      </c>
      <c r="EF199" s="107">
        <f>IF(SeilBeregnet=0,EF198,((Loa+Lwl)/Bredde)^EF$3)</f>
        <v>1.5685976988753305</v>
      </c>
      <c r="EH199" s="107">
        <f>IF(SeilBeregnet=0,"-",EH$7*(EH$4*EJ199*EK199*EL199*PropF+EH$6)+ErfaringsF+Dyp_F)</f>
        <v>1.1704244911530595</v>
      </c>
      <c r="EJ199" s="107">
        <f>IF(SeilBeregnet=0,EJ198,SeilBeregnet^0.5/Depl^0.33333)</f>
        <v>3.3773364999781954</v>
      </c>
      <c r="EK199" s="107">
        <f>IF(SeilBeregnet=0,EK198,Lwl^EK$3)</f>
        <v>2.182768727320779</v>
      </c>
      <c r="EL199" s="107">
        <f>IF(SeilBeregnet=0,EL198,((Loa+Lwl)/Bredde)^EL$3)</f>
        <v>1.8224517114943624</v>
      </c>
      <c r="EM199" s="107">
        <f>IF(SeilBeregnet=0,"-",EM$7*(EM$4*EO199+EM$6)*ER199*PropF+ErfaringsF+Dyp_F)</f>
        <v>1.1680809026407351</v>
      </c>
      <c r="EO199" s="107">
        <f>IF(SeilBeregnet=0,EO198,(EP199*EQ199)^EO$3)</f>
        <v>5.2976822621934598</v>
      </c>
      <c r="EP199" s="107">
        <f>IF(SeilBeregnet=0,EP198,SeilBeregnet^0.5/Depl^0.33333)</f>
        <v>3.3773364999781954</v>
      </c>
      <c r="EQ199" s="107">
        <f>IF(SeilBeregnet=0,EQ198,((Loa+Lwl)/Bredde)^EQ$3)</f>
        <v>1.5685976988753305</v>
      </c>
      <c r="ER199" s="107">
        <f>IF(SeilBeregnet=0,ER198,Lwl^ER$3)</f>
        <v>1.7958015200236968</v>
      </c>
      <c r="ES199" s="107">
        <f t="shared" si="1666"/>
        <v>1.1708330278332253</v>
      </c>
      <c r="EU199" s="107">
        <f>IF(SeilBeregnet=0,EU198,(EV:EV*EW:EW)^EU$3)</f>
        <v>1.8398145422613401</v>
      </c>
      <c r="EV199" s="107">
        <f>IF(SeilBeregnet=0,EV198,SeilBeregnet^0.5/Depl^0.33333)</f>
        <v>3.3773364999781954</v>
      </c>
      <c r="EW199" s="107">
        <f>IF(SeilBeregnet=0,EW198,((Loa+Lwl)/Bredde/6)^EW$3)</f>
        <v>1.0022446830329634</v>
      </c>
      <c r="EX199" s="107">
        <f>IF(SeilBeregnet=0,EX198,(Lwl*0.7+Loa*0.3)^EX$3)</f>
        <v>1.8161730370463405</v>
      </c>
      <c r="EY199" s="107">
        <f t="shared" si="1667"/>
        <v>1.1236045022763306</v>
      </c>
      <c r="FA199" s="107">
        <f t="shared" si="1668"/>
        <v>1.8398907124344244</v>
      </c>
      <c r="FB199" s="107">
        <f>IF(SeilBeregnet=0,FB198,SeilBeregnet^0.5/Depl^0.3333)</f>
        <v>3.377616156025161</v>
      </c>
      <c r="FC199" s="107">
        <f>IF(SeilBeregnet=0,FC198,((Loa+Lwl)/Bredde/6)^FC$3)</f>
        <v>1.0022446830329634</v>
      </c>
      <c r="FD199" s="107">
        <f>IF(SeilBeregnet=0,FD198,(Lwl*0.7+Loa*0.3)^FD$3)</f>
        <v>1.8161730370463405</v>
      </c>
      <c r="FE199" s="107">
        <f t="shared" si="1669"/>
        <v>1.1566196151527963</v>
      </c>
      <c r="FF199" s="141" t="str">
        <f>IF($DY199=0,"-",(FE199-$DW199)*100)</f>
        <v>-</v>
      </c>
      <c r="FG199" s="107">
        <f t="shared" si="1671"/>
        <v>3.3927965298429901</v>
      </c>
      <c r="FH199" s="133">
        <f>IF(SeilBeregnet=0,FH198,(SeilBeregnet^0.5/(Depl^0.3333))^FH$3)</f>
        <v>3.377616156025161</v>
      </c>
      <c r="FI199" s="133">
        <f>IF(SeilBeregnet=0,FI198,((Loa+Lwl)/Bredde/6)^FI$3)</f>
        <v>1.0044944046678452</v>
      </c>
      <c r="FJ199" s="107">
        <f>IF(SeilBeregnet=0,FJ198,(Lwl*0.07+Loa*0.03)^FJ$3)</f>
        <v>1.0213091524276201</v>
      </c>
      <c r="FK199" s="107">
        <f t="shared" si="1672"/>
        <v>1.1739392719852804</v>
      </c>
      <c r="FL199" s="141" t="str">
        <f>IF($DY199=0,"-",(FK199-$DW199)*100)</f>
        <v>-</v>
      </c>
      <c r="FM199" s="107">
        <f t="shared" si="1674"/>
        <v>5.4933887676550111</v>
      </c>
      <c r="FN199" s="133">
        <f>IF(SeilBeregnet=0,FN198,(SeilBeregnet^0.5/(Depl^0.3333))^FN$3)</f>
        <v>3.377616156025161</v>
      </c>
      <c r="FO199" s="133">
        <f>IF(SeilBeregnet=0,FO198,(SeilBeregnet^0.5/Lwl*FO$7)^FO$3)</f>
        <v>0.81487193606685782</v>
      </c>
      <c r="FP199" s="133">
        <f>IF(SeilBeregnet=0,FP198,((Loa)/Bredde)^FP$3*FP$7)</f>
        <v>1.8009006755629926</v>
      </c>
      <c r="FQ199" s="107">
        <f>IF(SeilBeregnet=0,FQ198,(Lwl)^FQ$3)</f>
        <v>1.7958015200236968</v>
      </c>
      <c r="FR199" s="107">
        <f t="shared" si="1675"/>
        <v>1.1588236775570799</v>
      </c>
      <c r="FS199" s="141" t="str">
        <f>IF($DY199=0,"-",(FR199-$DW199)*100)</f>
        <v>-</v>
      </c>
      <c r="FT199" s="107">
        <f t="shared" si="1677"/>
        <v>6.082751217178191</v>
      </c>
      <c r="FU199" s="133">
        <f>IF(SeilBeregnet=0,FU198,(SeilBeregnet^0.5/(Depl^0.3333))^FU$3)</f>
        <v>3.377616156025161</v>
      </c>
      <c r="FV199" s="133">
        <f>IF(SeilBeregnet=0,FV198,(Loa/Bredde)^FV$3)</f>
        <v>1.8009006755629926</v>
      </c>
      <c r="FW199" s="107">
        <f>IF(SeilBeregnet=0,FW198,Lwl^FW$3)</f>
        <v>1.7958015200236968</v>
      </c>
      <c r="FY199">
        <v>0.95</v>
      </c>
      <c r="FZ199" s="62">
        <f t="shared" si="1452"/>
        <v>1.16001110277218</v>
      </c>
      <c r="GA199" s="62">
        <f t="shared" si="1378"/>
        <v>2.0916500663351889</v>
      </c>
      <c r="GB199" s="107">
        <f t="shared" si="525"/>
        <v>1.2689339602908529</v>
      </c>
      <c r="GC199" s="440"/>
      <c r="GD199" s="17"/>
      <c r="GE199" s="442"/>
      <c r="GF199" s="462"/>
      <c r="GG199" s="17"/>
      <c r="GH199" s="17"/>
      <c r="GI199" s="17"/>
      <c r="GJ199" s="17"/>
      <c r="GL199" s="17"/>
      <c r="GM199" s="442"/>
      <c r="GN199" s="8"/>
      <c r="GO199" s="8"/>
      <c r="GP199" s="8"/>
      <c r="GQ199" s="8"/>
      <c r="GS199" s="17"/>
      <c r="GT199" s="17"/>
      <c r="GU199" s="17"/>
      <c r="GV199" s="629"/>
      <c r="GW199" s="17"/>
      <c r="GX199" s="17"/>
      <c r="GY199" s="17"/>
      <c r="GZ199" s="17"/>
    </row>
    <row r="200" spans="1:208" ht="15.6" x14ac:dyDescent="0.3">
      <c r="A200" s="60" t="s">
        <v>29</v>
      </c>
      <c r="B200" s="218"/>
      <c r="C200" s="61" t="str">
        <f t="shared" ref="C200:C201" si="1780">C199</f>
        <v>Gaffel</v>
      </c>
      <c r="D200" s="61"/>
      <c r="E200" s="61"/>
      <c r="F200" s="61"/>
      <c r="G200" s="54"/>
      <c r="H200" s="204">
        <f>IF(StH=0,0,TBFavrundet)</f>
        <v>116.00000000000001</v>
      </c>
      <c r="I200" s="63">
        <f>COUNTA(O200:AG200)</f>
        <v>3</v>
      </c>
      <c r="J200" s="222">
        <f>SUM(O200:AG200)</f>
        <v>83.9</v>
      </c>
      <c r="K200" s="116">
        <f>Seilareal/Depl^0.667/K$7</f>
        <v>1.2337104753144996</v>
      </c>
      <c r="L200" s="116">
        <f>Seilareal/Lwl/Lwl/L$7</f>
        <v>1.1769885989720141</v>
      </c>
      <c r="M200" s="92">
        <f>RiggF</f>
        <v>0.79451728247914188</v>
      </c>
      <c r="N200" s="242">
        <f>StHfaktor</f>
        <v>1.0070358192191537</v>
      </c>
      <c r="O200" s="143"/>
      <c r="P200" s="143"/>
      <c r="Q200" s="143"/>
      <c r="R200" s="165">
        <v>21.4</v>
      </c>
      <c r="S200" s="143"/>
      <c r="T200" s="143"/>
      <c r="U200" s="165">
        <v>15.8</v>
      </c>
      <c r="V200" s="559"/>
      <c r="W200" s="559"/>
      <c r="X200" s="165">
        <v>46.7</v>
      </c>
      <c r="Y200" s="143"/>
      <c r="Z200" s="143"/>
      <c r="AA200" s="143"/>
      <c r="AB200" s="143"/>
      <c r="AC200" s="143"/>
      <c r="AD200" s="143"/>
      <c r="AE200" s="143"/>
      <c r="AF200" s="143"/>
      <c r="AG200" s="551"/>
      <c r="AH200" s="555">
        <f t="shared" si="1769"/>
        <v>0</v>
      </c>
      <c r="AI200" s="555">
        <f t="shared" si="1769"/>
        <v>11</v>
      </c>
      <c r="AJ200" s="337">
        <f t="shared" si="1770"/>
        <v>0</v>
      </c>
      <c r="AK200" s="339"/>
      <c r="AL200" s="337">
        <f t="shared" si="1770"/>
        <v>0</v>
      </c>
      <c r="AM200" s="339"/>
      <c r="AN200" s="267" t="str">
        <f t="shared" ref="AN200" si="1781" xml:space="preserve"> AN199</f>
        <v>Lystb</v>
      </c>
      <c r="AO200" s="45">
        <f>VLOOKUP(AN200,Skrogform!$1:$1048576,3,FALSE)</f>
        <v>0.98</v>
      </c>
      <c r="AP200" s="64">
        <f t="shared" ref="AP200:AZ200" si="1782">AP199</f>
        <v>12</v>
      </c>
      <c r="AQ200" s="64">
        <f t="shared" si="1782"/>
        <v>10.4</v>
      </c>
      <c r="AR200" s="64">
        <f t="shared" si="1782"/>
        <v>3.7</v>
      </c>
      <c r="AS200" s="64">
        <f t="shared" si="1782"/>
        <v>2.1</v>
      </c>
      <c r="AT200" s="64">
        <f t="shared" ref="AT200" si="1783">AT199</f>
        <v>15.8</v>
      </c>
      <c r="AU200" s="64">
        <f t="shared" si="1782"/>
        <v>15.8</v>
      </c>
      <c r="AV200" s="64">
        <f t="shared" si="1782"/>
        <v>5.5</v>
      </c>
      <c r="AW200" s="64">
        <f t="shared" si="1782"/>
        <v>0.2</v>
      </c>
      <c r="AX200" s="256">
        <f>AX199</f>
        <v>0</v>
      </c>
      <c r="AY200" s="256">
        <f t="shared" si="1782"/>
        <v>50</v>
      </c>
      <c r="AZ200" s="256">
        <f t="shared" si="1782"/>
        <v>350</v>
      </c>
      <c r="BA200" s="256">
        <f t="shared" ref="BA200:BB200" si="1784">BA199</f>
        <v>0</v>
      </c>
      <c r="BB200" s="256">
        <f t="shared" si="1784"/>
        <v>0</v>
      </c>
      <c r="BC200" s="256"/>
      <c r="BD200" s="66"/>
      <c r="BE200" s="66"/>
      <c r="BF200" s="261"/>
      <c r="BG200" s="66"/>
      <c r="BH200" s="175"/>
      <c r="BI200" s="66"/>
      <c r="BJ200" s="66"/>
      <c r="BK200" s="65" t="str">
        <f t="shared" ref="BK200:BM200" si="1785" xml:space="preserve"> BK199</f>
        <v>Seilrett</v>
      </c>
      <c r="BL200" s="267">
        <f t="shared" si="1785"/>
        <v>4</v>
      </c>
      <c r="BM200" s="267">
        <f t="shared" si="1785"/>
        <v>51</v>
      </c>
      <c r="BN200" s="45">
        <f t="shared" si="1723"/>
        <v>1</v>
      </c>
      <c r="BO200" s="59"/>
      <c r="BP200" s="59"/>
      <c r="BR200" s="49">
        <f t="shared" si="1776"/>
        <v>0</v>
      </c>
      <c r="BS200" s="49">
        <f t="shared" si="1776"/>
        <v>0</v>
      </c>
      <c r="BT200" s="49">
        <f t="shared" si="1776"/>
        <v>0</v>
      </c>
      <c r="BU200" s="49">
        <f t="shared" si="1776"/>
        <v>21.4</v>
      </c>
      <c r="BV200" s="49">
        <f t="shared" si="1776"/>
        <v>0</v>
      </c>
      <c r="BW200" s="49">
        <f t="shared" si="1776"/>
        <v>0</v>
      </c>
      <c r="BX200" s="49">
        <f>IF(U200=0,0,U200*BX$9)</f>
        <v>15.8</v>
      </c>
      <c r="BY200" s="549">
        <f>IF(COUNT(Q200:U200)&gt;1,MINA(Q200:U200)*BY$9,0)</f>
        <v>-7.9</v>
      </c>
      <c r="BZ200" s="85">
        <f t="shared" si="1777"/>
        <v>0</v>
      </c>
      <c r="CA200" s="85">
        <f t="shared" si="1777"/>
        <v>0</v>
      </c>
      <c r="CB200" s="85">
        <f t="shared" si="1777"/>
        <v>37.360000000000007</v>
      </c>
      <c r="CC200" s="85">
        <f t="shared" si="1777"/>
        <v>0</v>
      </c>
      <c r="CD200" s="85">
        <f t="shared" si="1777"/>
        <v>0</v>
      </c>
      <c r="CE200" s="85">
        <f>IF(AC200=0,0,AC200*CE$9)</f>
        <v>0</v>
      </c>
      <c r="CF200" s="85">
        <f t="shared" si="1778"/>
        <v>0</v>
      </c>
      <c r="CG200" s="85">
        <f t="shared" si="1778"/>
        <v>0</v>
      </c>
      <c r="CH200" s="85">
        <f t="shared" si="1779"/>
        <v>0</v>
      </c>
      <c r="CI200" s="85">
        <f t="shared" si="1779"/>
        <v>0</v>
      </c>
      <c r="CJ200" s="85">
        <f t="shared" si="1779"/>
        <v>0</v>
      </c>
      <c r="CK200" s="85">
        <f t="shared" si="1779"/>
        <v>0</v>
      </c>
      <c r="CL200" s="100">
        <f>SUM(BR200:CK200)</f>
        <v>66.660000000000011</v>
      </c>
      <c r="CM200" s="50"/>
      <c r="CN200" s="104">
        <f>J200</f>
        <v>83.9</v>
      </c>
      <c r="CO200" s="101">
        <f>CL200/CN200</f>
        <v>0.79451728247914188</v>
      </c>
      <c r="CP200" s="51">
        <f>Seilareal/Lwl/Lwl</f>
        <v>0.77570266272189359</v>
      </c>
      <c r="CQ200" s="116">
        <f>Seilareal/Depl^0.667/K$7</f>
        <v>1.2337104753144996</v>
      </c>
      <c r="CR200" s="51">
        <f>Seilareal/Lwl/Lwl/SApRS1</f>
        <v>1.1769885989720141</v>
      </c>
      <c r="CS200" s="204"/>
      <c r="CT200" s="204">
        <f>(ROUND(TBF/CT$6,3)*CT$6)*CT$4</f>
        <v>116.00000000000001</v>
      </c>
      <c r="CU200" s="107">
        <f t="shared" si="36"/>
        <v>1.1577585735070115</v>
      </c>
      <c r="CV200" s="62">
        <f t="shared" si="523"/>
        <v>3.2629036170154411</v>
      </c>
      <c r="CW200" s="62">
        <f t="shared" si="14"/>
        <v>1.7398353448033601</v>
      </c>
      <c r="CX200" s="62">
        <f t="shared" si="524"/>
        <v>1.7958015200236968</v>
      </c>
      <c r="CY200" s="107">
        <f t="shared" si="16"/>
        <v>1.0070358192191537</v>
      </c>
      <c r="CZ200" s="168" t="str">
        <f>IF(DA200=0,"-",IF(CP200="TBF","-",CZ$7*DA200))</f>
        <v>-</v>
      </c>
      <c r="DA200" s="158"/>
      <c r="DB200" s="168" t="str">
        <f>IF(DC200=0,"-",IF(CT200="TBF","-",DB$7*DC200))</f>
        <v>-</v>
      </c>
      <c r="DC200" s="160"/>
      <c r="DD200" s="190" t="s">
        <v>134</v>
      </c>
      <c r="DE200" s="62" t="s">
        <v>102</v>
      </c>
      <c r="DF200" s="62" t="s">
        <v>102</v>
      </c>
      <c r="DG200" s="62" t="s">
        <v>102</v>
      </c>
      <c r="DH200" s="150" t="s">
        <v>102</v>
      </c>
      <c r="DI200" s="62">
        <f t="shared" si="39"/>
        <v>2.1487353342809299</v>
      </c>
      <c r="DJ200" s="47">
        <f t="shared" si="696"/>
        <v>13.90728476821192</v>
      </c>
      <c r="DK200" s="48">
        <f>DJ$7*IF(DJ200&lt;DJ$5,-0.04,IF(DJ200&lt;DJ$5*1.1,-0.03,IF(DJ200&lt;DJ$5*1.2,-0.02,IF(DJ200&lt;DJ$5*1.3,-0.01,0))))</f>
        <v>0</v>
      </c>
      <c r="DM200" s="107">
        <f t="shared" si="1658"/>
        <v>1.1256266944033424</v>
      </c>
      <c r="DN200" s="141" t="str">
        <f>IF($DY200=0,"-",(DM200-$DW200)*100)</f>
        <v>-</v>
      </c>
      <c r="DO200" s="107">
        <f>SUM(DP200:DS200)^DO$3+DO$7</f>
        <v>5.0549208980317797</v>
      </c>
      <c r="DP200" s="133">
        <f>IF(SeilBeregnet=0,DP199,(SeilBeregnet^0.5/(Depl^0.3333))^DP$3*DP$7)</f>
        <v>3.2540202224687871</v>
      </c>
      <c r="DQ200" s="133">
        <f>IF(SeilBeregnet=0,DQ199,(SeilBeregnet^0.5/Lwl)^DQ$3*DQ$7)</f>
        <v>0</v>
      </c>
      <c r="DR200" s="133">
        <f>IF(SeilBeregnet=0,DR199,(0.1*Loa/Depl^0.3333)^DR$3*DR$7)</f>
        <v>0</v>
      </c>
      <c r="DS200" s="133">
        <f>IF(SeilBeregnet=0,DS199,((Loa)/Bredde)^DS$3*DS$7)</f>
        <v>1.8009006755629926</v>
      </c>
      <c r="DT200" s="107">
        <f>IF(SeilBeregnet=0,DT199,(Lwl)^DT$3)</f>
        <v>1.7958015200236968</v>
      </c>
      <c r="DU200" s="133">
        <f>IF(SeilBeregnet=0,DU199,(Dypg/Loa)^DU$3*5*DU$7)</f>
        <v>2.0916500663351889</v>
      </c>
      <c r="DW200" s="107">
        <f t="shared" si="417"/>
        <v>1.1813862994969506</v>
      </c>
      <c r="DX200" s="107">
        <f t="shared" si="40"/>
        <v>1.138348188715208</v>
      </c>
      <c r="DZ200" s="107">
        <f t="shared" si="41"/>
        <v>1.1291550713158958</v>
      </c>
      <c r="EA200" s="122" t="str">
        <f>IF($DY200=0,"-",DZ200-$DW200)</f>
        <v>-</v>
      </c>
      <c r="EB200" s="107">
        <f>IF(SeilBeregnet=0,"-",EB$7*(EB$4*ED200*EE200*EF200*PropF+EB$6)+ErfaringsF+Dyp_F)</f>
        <v>1.1459541750384961</v>
      </c>
      <c r="EC200" s="122" t="str">
        <f>IF($DY200=0,"-",EB200-$DW200)</f>
        <v>-</v>
      </c>
      <c r="ED200" s="107">
        <f>IF(SeilBeregnet=0,ED199,SeilBeregnet^0.5/Depl^0.33333)</f>
        <v>3.2537507997783077</v>
      </c>
      <c r="EE200" s="107">
        <f>IF(SeilBeregnet=0,EE199,Lwl^0.3333)</f>
        <v>2.1826153840929692</v>
      </c>
      <c r="EF200" s="107">
        <f>IF(SeilBeregnet=0,EF199,((Loa+Lwl)/Bredde)^EF$3)</f>
        <v>1.5685976988753305</v>
      </c>
      <c r="EH200" s="107">
        <f>IF(SeilBeregnet=0,"-",EH$7*(EH$4*EJ200*EK200*EL200*PropF+EH$6)+ErfaringsF+Dyp_F)</f>
        <v>1.1408177542860216</v>
      </c>
      <c r="EJ200" s="107">
        <f>IF(SeilBeregnet=0,EJ199,SeilBeregnet^0.5/Depl^0.33333)</f>
        <v>3.2537507997783077</v>
      </c>
      <c r="EK200" s="107">
        <f>IF(SeilBeregnet=0,EK199,Lwl^EK$3)</f>
        <v>2.182768727320779</v>
      </c>
      <c r="EL200" s="107">
        <f>IF(SeilBeregnet=0,EL199,((Loa+Lwl)/Bredde)^EL$3)</f>
        <v>1.8224517114943624</v>
      </c>
      <c r="EM200" s="107">
        <f>IF(SeilBeregnet=0,"-",EM$7*(EM$4*EO200+EM$6)*ER200*PropF+ErfaringsF+Dyp_F)</f>
        <v>1.1370519033714948</v>
      </c>
      <c r="EO200" s="107">
        <f>IF(SeilBeregnet=0,EO199,(EP200*EQ200)^EO$3)</f>
        <v>5.1038260172460195</v>
      </c>
      <c r="EP200" s="107">
        <f>IF(SeilBeregnet=0,EP199,SeilBeregnet^0.5/Depl^0.33333)</f>
        <v>3.2537507997783077</v>
      </c>
      <c r="EQ200" s="107">
        <f>IF(SeilBeregnet=0,EQ199,((Loa+Lwl)/Bredde)^EQ$3)</f>
        <v>1.5685976988753305</v>
      </c>
      <c r="ER200" s="107">
        <f>IF(SeilBeregnet=0,ER199,Lwl^ER$3)</f>
        <v>1.7958015200236968</v>
      </c>
      <c r="ES200" s="107">
        <f t="shared" si="1666"/>
        <v>1.141142571751272</v>
      </c>
      <c r="EU200" s="107">
        <f>IF(SeilBeregnet=0,EU199,(EV:EV*EW:EW)^EU$3)</f>
        <v>1.8058389847912968</v>
      </c>
      <c r="EV200" s="107">
        <f>IF(SeilBeregnet=0,EV199,SeilBeregnet^0.5/Depl^0.33333)</f>
        <v>3.2537507997783077</v>
      </c>
      <c r="EW200" s="107">
        <f>IF(SeilBeregnet=0,EW199,((Loa+Lwl)/Bredde/6)^EW$3)</f>
        <v>1.0022446830329634</v>
      </c>
      <c r="EX200" s="107">
        <f>IF(SeilBeregnet=0,EX199,(Lwl*0.7+Loa*0.3)^EX$3)</f>
        <v>1.8161730370463405</v>
      </c>
      <c r="EY200" s="107">
        <f t="shared" si="1667"/>
        <v>1.1028550797319434</v>
      </c>
      <c r="FA200" s="107">
        <f t="shared" si="1668"/>
        <v>1.805913748342119</v>
      </c>
      <c r="FB200" s="107">
        <f>IF(SeilBeregnet=0,FB199,SeilBeregnet^0.5/Depl^0.3333)</f>
        <v>3.2540202224687871</v>
      </c>
      <c r="FC200" s="107">
        <f>IF(SeilBeregnet=0,FC199,((Loa+Lwl)/Bredde/6)^FC$3)</f>
        <v>1.0022446830329634</v>
      </c>
      <c r="FD200" s="107">
        <f>IF(SeilBeregnet=0,FD199,(Lwl*0.7+Loa*0.3)^FD$3)</f>
        <v>1.8161730370463405</v>
      </c>
      <c r="FE200" s="107">
        <f t="shared" si="1669"/>
        <v>1.1299922482379605</v>
      </c>
      <c r="FF200" s="141" t="str">
        <f>IF($DY200=0,"-",(FE200-$DW200)*100)</f>
        <v>-</v>
      </c>
      <c r="FG200" s="107">
        <f t="shared" si="1671"/>
        <v>3.2686451061459136</v>
      </c>
      <c r="FH200" s="133">
        <f>IF(SeilBeregnet=0,FH199,(SeilBeregnet^0.5/(Depl^0.3333))^FH$3)</f>
        <v>3.2540202224687871</v>
      </c>
      <c r="FI200" s="133">
        <f>IF(SeilBeregnet=0,FI199,((Loa+Lwl)/Bredde/6)^FI$3)</f>
        <v>1.0044944046678452</v>
      </c>
      <c r="FJ200" s="107">
        <f>IF(SeilBeregnet=0,FJ199,(Lwl*0.07+Loa*0.03)^FJ$3)</f>
        <v>1.0213091524276201</v>
      </c>
      <c r="FK200" s="107">
        <f t="shared" si="1672"/>
        <v>1.1411545864102579</v>
      </c>
      <c r="FL200" s="141" t="str">
        <f>IF($DY200=0,"-",(FK200-$DW200)*100)</f>
        <v>-</v>
      </c>
      <c r="FM200" s="107">
        <f t="shared" si="1674"/>
        <v>5.33997450868371</v>
      </c>
      <c r="FN200" s="133">
        <f>IF(SeilBeregnet=0,FN199,(SeilBeregnet^0.5/(Depl^0.3333))^FN$3)</f>
        <v>3.2540202224687871</v>
      </c>
      <c r="FO200" s="133">
        <f>IF(SeilBeregnet=0,FO199,(SeilBeregnet^0.5/Lwl*FO$7)^FO$3)</f>
        <v>0.78505361065193069</v>
      </c>
      <c r="FP200" s="133">
        <f>IF(SeilBeregnet=0,FP199,((Loa)/Bredde)^FP$3*FP$7)</f>
        <v>1.8009006755629926</v>
      </c>
      <c r="FQ200" s="107">
        <f>IF(SeilBeregnet=0,FQ199,(Lwl)^FQ$3)</f>
        <v>1.7958015200236968</v>
      </c>
      <c r="FR200" s="107">
        <f t="shared" si="1675"/>
        <v>1.1332418096555583</v>
      </c>
      <c r="FS200" s="141" t="str">
        <f>IF($DY200=0,"-",(FR200-$DW200)*100)</f>
        <v>-</v>
      </c>
      <c r="FT200" s="107">
        <f t="shared" si="1677"/>
        <v>5.8601672169396783</v>
      </c>
      <c r="FU200" s="133">
        <f>IF(SeilBeregnet=0,FU199,(SeilBeregnet^0.5/(Depl^0.3333))^FU$3)</f>
        <v>3.2540202224687871</v>
      </c>
      <c r="FV200" s="133">
        <f>IF(SeilBeregnet=0,FV199,(Loa/Bredde)^FV$3)</f>
        <v>1.8009006755629926</v>
      </c>
      <c r="FW200" s="107">
        <f>IF(SeilBeregnet=0,FW199,Lwl^FW$3)</f>
        <v>1.7958015200236968</v>
      </c>
      <c r="FY200">
        <v>0.95</v>
      </c>
      <c r="FZ200" s="62">
        <f t="shared" si="1452"/>
        <v>1.1402913913917379</v>
      </c>
      <c r="GA200" s="62">
        <f t="shared" si="1378"/>
        <v>2.0916500663351889</v>
      </c>
      <c r="GB200" s="107">
        <f t="shared" si="525"/>
        <v>1.253263347370229</v>
      </c>
      <c r="GC200" s="440"/>
      <c r="GD200" s="17"/>
      <c r="GE200" s="442"/>
      <c r="GF200" s="462"/>
      <c r="GG200" s="17"/>
      <c r="GH200" s="17"/>
      <c r="GI200" s="17"/>
      <c r="GJ200" s="17"/>
      <c r="GL200" s="17"/>
      <c r="GM200" s="442"/>
      <c r="GN200" s="8"/>
      <c r="GO200" s="8"/>
      <c r="GP200" s="8"/>
      <c r="GQ200" s="8"/>
      <c r="GS200" s="17"/>
      <c r="GT200" s="17"/>
      <c r="GU200" s="17"/>
      <c r="GV200" s="629"/>
      <c r="GW200" s="17"/>
      <c r="GX200" s="17"/>
      <c r="GY200" s="17"/>
      <c r="GZ200" s="17"/>
    </row>
    <row r="201" spans="1:208" ht="15.6" x14ac:dyDescent="0.3">
      <c r="A201" s="60" t="s">
        <v>35</v>
      </c>
      <c r="B201" s="218"/>
      <c r="C201" s="61" t="str">
        <f t="shared" si="1780"/>
        <v>Gaffel</v>
      </c>
      <c r="D201" s="61"/>
      <c r="E201" s="61"/>
      <c r="F201" s="61"/>
      <c r="G201" s="54"/>
      <c r="H201" s="204">
        <f>IF(StH=0,0,TBFavrundet)</f>
        <v>103</v>
      </c>
      <c r="I201" s="63">
        <f>COUNTA(O201:AG201)</f>
        <v>2</v>
      </c>
      <c r="J201" s="222">
        <f>SUM(O201:AG201)</f>
        <v>54.716666666666669</v>
      </c>
      <c r="K201" s="116">
        <f>Seilareal/Depl^0.667/K$7</f>
        <v>0.80458313278853832</v>
      </c>
      <c r="L201" s="116">
        <f>Seilareal/Lwl/Lwl/L$7</f>
        <v>0.76759109464146236</v>
      </c>
      <c r="M201" s="92">
        <f>RiggF</f>
        <v>0.84352726165092906</v>
      </c>
      <c r="N201" s="242">
        <f>StHfaktor</f>
        <v>1.0070358192191537</v>
      </c>
      <c r="O201" s="143"/>
      <c r="P201" s="143"/>
      <c r="Q201" s="143"/>
      <c r="R201" s="143"/>
      <c r="S201" s="143"/>
      <c r="T201" s="143"/>
      <c r="U201" s="165">
        <v>15.8</v>
      </c>
      <c r="V201" s="143"/>
      <c r="W201" s="143"/>
      <c r="X201" s="143"/>
      <c r="Y201" s="177">
        <f>Y198</f>
        <v>38.916666666666671</v>
      </c>
      <c r="Z201" s="143"/>
      <c r="AA201" s="143"/>
      <c r="AB201" s="143"/>
      <c r="AC201" s="143"/>
      <c r="AD201" s="143"/>
      <c r="AE201" s="143"/>
      <c r="AF201" s="143"/>
      <c r="AG201" s="551"/>
      <c r="AH201" s="555">
        <f t="shared" si="1769"/>
        <v>0</v>
      </c>
      <c r="AI201" s="555">
        <f t="shared" si="1769"/>
        <v>11</v>
      </c>
      <c r="AJ201" s="337">
        <f t="shared" si="1770"/>
        <v>0</v>
      </c>
      <c r="AK201" s="339"/>
      <c r="AL201" s="337">
        <f t="shared" si="1770"/>
        <v>0</v>
      </c>
      <c r="AM201" s="339"/>
      <c r="AN201" s="267" t="str">
        <f t="shared" ref="AN201" si="1786" xml:space="preserve"> AN200</f>
        <v>Lystb</v>
      </c>
      <c r="AO201" s="45">
        <f>VLOOKUP(AN201,Skrogform!$1:$1048576,3,FALSE)</f>
        <v>0.98</v>
      </c>
      <c r="AP201" s="64">
        <f t="shared" ref="AP201:AZ201" si="1787">AP200</f>
        <v>12</v>
      </c>
      <c r="AQ201" s="64">
        <f t="shared" si="1787"/>
        <v>10.4</v>
      </c>
      <c r="AR201" s="64">
        <f t="shared" si="1787"/>
        <v>3.7</v>
      </c>
      <c r="AS201" s="64">
        <f t="shared" si="1787"/>
        <v>2.1</v>
      </c>
      <c r="AT201" s="64">
        <f t="shared" ref="AT201" si="1788">AT200</f>
        <v>15.8</v>
      </c>
      <c r="AU201" s="64">
        <f t="shared" si="1787"/>
        <v>15.8</v>
      </c>
      <c r="AV201" s="64">
        <f t="shared" si="1787"/>
        <v>5.5</v>
      </c>
      <c r="AW201" s="64">
        <f t="shared" si="1787"/>
        <v>0.2</v>
      </c>
      <c r="AX201" s="256">
        <f>AX200</f>
        <v>0</v>
      </c>
      <c r="AY201" s="256">
        <f t="shared" si="1787"/>
        <v>50</v>
      </c>
      <c r="AZ201" s="256">
        <f t="shared" si="1787"/>
        <v>350</v>
      </c>
      <c r="BA201" s="256">
        <f t="shared" ref="BA201:BB201" si="1789">BA200</f>
        <v>0</v>
      </c>
      <c r="BB201" s="256">
        <f t="shared" si="1789"/>
        <v>0</v>
      </c>
      <c r="BC201" s="256"/>
      <c r="BD201" s="66"/>
      <c r="BE201" s="66"/>
      <c r="BF201" s="261"/>
      <c r="BG201" s="66"/>
      <c r="BH201" s="175"/>
      <c r="BI201" s="66"/>
      <c r="BJ201" s="66"/>
      <c r="BK201" s="65" t="str">
        <f t="shared" ref="BK201:BM201" si="1790" xml:space="preserve"> BK200</f>
        <v>Seilrett</v>
      </c>
      <c r="BL201" s="267">
        <f t="shared" si="1790"/>
        <v>4</v>
      </c>
      <c r="BM201" s="267">
        <f t="shared" si="1790"/>
        <v>51</v>
      </c>
      <c r="BN201" s="45">
        <f t="shared" si="1723"/>
        <v>1</v>
      </c>
      <c r="BO201" s="59"/>
      <c r="BP201" s="59"/>
      <c r="BR201" s="49">
        <f t="shared" si="1776"/>
        <v>0</v>
      </c>
      <c r="BS201" s="49">
        <f t="shared" si="1776"/>
        <v>0</v>
      </c>
      <c r="BT201" s="49">
        <f t="shared" si="1776"/>
        <v>0</v>
      </c>
      <c r="BU201" s="49">
        <f t="shared" si="1776"/>
        <v>0</v>
      </c>
      <c r="BV201" s="49">
        <f t="shared" si="1776"/>
        <v>0</v>
      </c>
      <c r="BW201" s="49">
        <f t="shared" si="1776"/>
        <v>0</v>
      </c>
      <c r="BX201" s="49">
        <f>IF(U201=0,0,U201*BX$9)</f>
        <v>15.8</v>
      </c>
      <c r="BY201" s="549">
        <f>IF(COUNT(Q201:U201)&gt;1,MINA(Q201:U201)*BY$9,0)</f>
        <v>0</v>
      </c>
      <c r="BZ201" s="85">
        <f t="shared" si="1777"/>
        <v>0</v>
      </c>
      <c r="CA201" s="85">
        <f t="shared" si="1777"/>
        <v>0</v>
      </c>
      <c r="CB201" s="85">
        <f t="shared" si="1777"/>
        <v>0</v>
      </c>
      <c r="CC201" s="85">
        <f t="shared" si="1777"/>
        <v>30.355000000000004</v>
      </c>
      <c r="CD201" s="85">
        <f t="shared" si="1777"/>
        <v>0</v>
      </c>
      <c r="CE201" s="85">
        <f>IF(AC201=0,0,AC201*CE$9)</f>
        <v>0</v>
      </c>
      <c r="CF201" s="85">
        <f t="shared" si="1778"/>
        <v>0</v>
      </c>
      <c r="CG201" s="85">
        <f t="shared" si="1778"/>
        <v>0</v>
      </c>
      <c r="CH201" s="85">
        <f t="shared" si="1779"/>
        <v>0</v>
      </c>
      <c r="CI201" s="85">
        <f t="shared" si="1779"/>
        <v>0</v>
      </c>
      <c r="CJ201" s="85">
        <f t="shared" si="1779"/>
        <v>0</v>
      </c>
      <c r="CK201" s="85">
        <f t="shared" si="1779"/>
        <v>0</v>
      </c>
      <c r="CL201" s="100">
        <f>SUM(BR201:CK201)</f>
        <v>46.155000000000001</v>
      </c>
      <c r="CM201" s="50"/>
      <c r="CN201" s="104">
        <f>J201</f>
        <v>54.716666666666669</v>
      </c>
      <c r="CO201" s="101">
        <f>CL201/CN201</f>
        <v>0.84352726165092906</v>
      </c>
      <c r="CP201" s="51">
        <f>Seilareal/Lwl/Lwl</f>
        <v>0.50588634122287968</v>
      </c>
      <c r="CQ201" s="116">
        <f>Seilareal/Depl^0.667/K$7</f>
        <v>0.80458313278853832</v>
      </c>
      <c r="CR201" s="51">
        <f>Seilareal/Lwl/Lwl/SApRS1</f>
        <v>0.76759109464146236</v>
      </c>
      <c r="CS201" s="204"/>
      <c r="CT201" s="204">
        <f>(ROUND(TBF/CT$6,3)*CT$6)*CT$4</f>
        <v>103</v>
      </c>
      <c r="CU201" s="107">
        <f t="shared" si="36"/>
        <v>1.0309761197718552</v>
      </c>
      <c r="CV201" s="62">
        <f t="shared" si="523"/>
        <v>2.7150696078449488</v>
      </c>
      <c r="CW201" s="62">
        <f t="shared" si="14"/>
        <v>1.7398353448033601</v>
      </c>
      <c r="CX201" s="62">
        <f t="shared" si="524"/>
        <v>1.7958015200236968</v>
      </c>
      <c r="CY201" s="107">
        <f t="shared" si="16"/>
        <v>1.0070358192191537</v>
      </c>
      <c r="CZ201" s="168" t="str">
        <f>IF(DA201=0,"-",IF(CP201="TBF","-",CZ$7*DA201))</f>
        <v>-</v>
      </c>
      <c r="DA201" s="158"/>
      <c r="DB201" s="168" t="str">
        <f>IF(DC201=0,"-",IF(CT201="TBF","-",DB$7*DC201))</f>
        <v>-</v>
      </c>
      <c r="DC201" s="160"/>
      <c r="DD201" s="190" t="s">
        <v>134</v>
      </c>
      <c r="DE201" s="62" t="s">
        <v>102</v>
      </c>
      <c r="DF201" s="62" t="s">
        <v>102</v>
      </c>
      <c r="DG201" s="62" t="s">
        <v>102</v>
      </c>
      <c r="DH201" s="150" t="s">
        <v>102</v>
      </c>
      <c r="DI201" s="62">
        <f t="shared" si="695"/>
        <v>2.1487353342809299</v>
      </c>
      <c r="DJ201" s="47">
        <f t="shared" si="696"/>
        <v>13.90728476821192</v>
      </c>
      <c r="DK201" s="48">
        <f>DJ$7*IF(DJ201&lt;DJ$5,-0.04,IF(DJ201&lt;DJ$5*1.1,-0.03,IF(DJ201&lt;DJ$5*1.2,-0.02,IF(DJ201&lt;DJ$5*1.3,-0.01,0))))</f>
        <v>0</v>
      </c>
      <c r="DM201" s="107">
        <f t="shared" si="1658"/>
        <v>1.0039674788937523</v>
      </c>
      <c r="DN201" s="141" t="str">
        <f>IF($DY201=0,"-",(DM201-$DW201)*100)</f>
        <v>-</v>
      </c>
      <c r="DO201" s="107">
        <f>SUM(DP201:DS201)^DO$3+DO$7</f>
        <v>4.5085783903644758</v>
      </c>
      <c r="DP201" s="133">
        <f>IF(SeilBeregnet=0,DP200,(SeilBeregnet^0.5/(Depl^0.3333))^DP$3*DP$7)</f>
        <v>2.7076777148014832</v>
      </c>
      <c r="DQ201" s="133">
        <f>IF(SeilBeregnet=0,DQ200,(SeilBeregnet^0.5/Lwl)^DQ$3*DQ$7)</f>
        <v>0</v>
      </c>
      <c r="DR201" s="133">
        <f>IF(SeilBeregnet=0,DR200,(0.1*Loa/Depl^0.3333)^DR$3*DR$7)</f>
        <v>0</v>
      </c>
      <c r="DS201" s="133">
        <f>IF(SeilBeregnet=0,DS200,((Loa)/Bredde)^DS$3*DS$7)</f>
        <v>1.8009006755629926</v>
      </c>
      <c r="DT201" s="107">
        <f>IF(SeilBeregnet=0,DT200,(Lwl)^DT$3)</f>
        <v>1.7958015200236968</v>
      </c>
      <c r="DU201" s="133">
        <f>IF(SeilBeregnet=0,DU200,(Dypg/Loa)^DU$3*5*DU$7)</f>
        <v>2.0916500663351889</v>
      </c>
      <c r="DW201" s="107">
        <f t="shared" si="417"/>
        <v>1.0520164487467911</v>
      </c>
      <c r="DX201" s="107">
        <f t="shared" si="699"/>
        <v>0.98823329430674078</v>
      </c>
      <c r="DZ201" s="107">
        <f t="shared" si="700"/>
        <v>1.0090038494757543</v>
      </c>
      <c r="EA201" s="122" t="str">
        <f>IF($DY201=0,"-",DZ201-$DW201)</f>
        <v>-</v>
      </c>
      <c r="EB201" s="107">
        <f>IF(SeilBeregnet=0,"-",EB$7*(EB$4*ED201*EE201*EF201*PropF+EB$6)+ErfaringsF+Dyp_F)</f>
        <v>1.0005433484713495</v>
      </c>
      <c r="EC201" s="122" t="str">
        <f>IF($DY201=0,"-",EB201-$DW201)</f>
        <v>-</v>
      </c>
      <c r="ED201" s="107">
        <f>IF(SeilBeregnet=0,ED200,SeilBeregnet^0.5/Depl^0.33333)</f>
        <v>2.7074535275607783</v>
      </c>
      <c r="EE201" s="107">
        <f>IF(SeilBeregnet=0,EE200,Lwl^0.3333)</f>
        <v>2.1826153840929692</v>
      </c>
      <c r="EF201" s="107">
        <f>IF(SeilBeregnet=0,EF200,((Loa+Lwl)/Bredde)^EF$3)</f>
        <v>1.5685976988753305</v>
      </c>
      <c r="EH201" s="107">
        <f>IF(SeilBeregnet=0,"-",EH$7*(EH$4*EJ201*EK201*EL201*PropF+EH$6)+ErfaringsF+Dyp_F)</f>
        <v>1.0099443638891945</v>
      </c>
      <c r="EJ201" s="107">
        <f>IF(SeilBeregnet=0,EJ200,SeilBeregnet^0.5/Depl^0.33333)</f>
        <v>2.7074535275607783</v>
      </c>
      <c r="EK201" s="107">
        <f>IF(SeilBeregnet=0,EK200,Lwl^EK$3)</f>
        <v>2.182768727320779</v>
      </c>
      <c r="EL201" s="107">
        <f>IF(SeilBeregnet=0,EL200,((Loa+Lwl)/Bredde)^EL$3)</f>
        <v>1.8224517114943624</v>
      </c>
      <c r="EM201" s="107">
        <f>IF(SeilBeregnet=0,"-",EM$7*(EM$4*EO201+EM$6)*ER201*PropF+ErfaringsF+Dyp_F)</f>
        <v>0.99989155526480356</v>
      </c>
      <c r="EO201" s="107">
        <f>IF(SeilBeregnet=0,EO200,(EP201*EQ201)^EO$3)</f>
        <v>4.2469053731437327</v>
      </c>
      <c r="EP201" s="107">
        <f>IF(SeilBeregnet=0,EP200,SeilBeregnet^0.5/Depl^0.33333)</f>
        <v>2.7074535275607783</v>
      </c>
      <c r="EQ201" s="107">
        <f>IF(SeilBeregnet=0,EQ200,((Loa+Lwl)/Bredde)^EQ$3)</f>
        <v>1.5685976988753305</v>
      </c>
      <c r="ER201" s="107">
        <f>IF(SeilBeregnet=0,ER200,Lwl^ER$3)</f>
        <v>1.7958015200236968</v>
      </c>
      <c r="ES201" s="107">
        <f t="shared" si="1666"/>
        <v>1.0025814003262348</v>
      </c>
      <c r="EU201" s="107">
        <f>IF(SeilBeregnet=0,EU200,(EV:EV*EW:EW)^EU$3)</f>
        <v>1.6472798494963237</v>
      </c>
      <c r="EV201" s="107">
        <f>IF(SeilBeregnet=0,EV200,SeilBeregnet^0.5/Depl^0.33333)</f>
        <v>2.7074535275607783</v>
      </c>
      <c r="EW201" s="107">
        <f>IF(SeilBeregnet=0,EW200,((Loa+Lwl)/Bredde/6)^EW$3)</f>
        <v>1.0022446830329634</v>
      </c>
      <c r="EX201" s="107">
        <f>IF(SeilBeregnet=0,EX200,(Lwl*0.7+Loa*0.3)^EX$3)</f>
        <v>1.8161730370463405</v>
      </c>
      <c r="EY201" s="107">
        <f t="shared" si="1667"/>
        <v>1.0060204509135968</v>
      </c>
      <c r="FA201" s="107">
        <f t="shared" si="1668"/>
        <v>1.6473480485394187</v>
      </c>
      <c r="FB201" s="107">
        <f>IF(SeilBeregnet=0,FB200,SeilBeregnet^0.5/Depl^0.3333)</f>
        <v>2.7076777148014832</v>
      </c>
      <c r="FC201" s="107">
        <f>IF(SeilBeregnet=0,FC200,((Loa+Lwl)/Bredde/6)^FC$3)</f>
        <v>1.0022446830329634</v>
      </c>
      <c r="FD201" s="107">
        <f>IF(SeilBeregnet=0,FD200,(Lwl*0.7+Loa*0.3)^FD$3)</f>
        <v>1.8161730370463405</v>
      </c>
      <c r="FE201" s="107">
        <f t="shared" si="1669"/>
        <v>1.0122888417080558</v>
      </c>
      <c r="FF201" s="141" t="str">
        <f>IF($DY201=0,"-",(FE201-$DW201)*100)</f>
        <v>-</v>
      </c>
      <c r="FG201" s="107">
        <f t="shared" si="1671"/>
        <v>2.7198471141619076</v>
      </c>
      <c r="FH201" s="133">
        <f>IF(SeilBeregnet=0,FH200,(SeilBeregnet^0.5/(Depl^0.3333))^FH$3)</f>
        <v>2.7076777148014832</v>
      </c>
      <c r="FI201" s="133">
        <f>IF(SeilBeregnet=0,FI200,((Loa+Lwl)/Bredde/6)^FI$3)</f>
        <v>1.0044944046678452</v>
      </c>
      <c r="FJ201" s="107">
        <f>IF(SeilBeregnet=0,FJ200,(Lwl*0.07+Loa*0.03)^FJ$3)</f>
        <v>1.0213091524276201</v>
      </c>
      <c r="FK201" s="107">
        <f t="shared" si="1672"/>
        <v>0.9962334161520785</v>
      </c>
      <c r="FL201" s="141" t="str">
        <f>IF($DY201=0,"-",(FK201-$DW201)*100)</f>
        <v>-</v>
      </c>
      <c r="FM201" s="107">
        <f t="shared" si="1674"/>
        <v>4.6618233062408594</v>
      </c>
      <c r="FN201" s="133">
        <f>IF(SeilBeregnet=0,FN200,(SeilBeregnet^0.5/(Depl^0.3333))^FN$3)</f>
        <v>2.7076777148014832</v>
      </c>
      <c r="FO201" s="133">
        <f>IF(SeilBeregnet=0,FO200,(SeilBeregnet^0.5/Lwl*FO$7)^FO$3)</f>
        <v>0.65324491587638334</v>
      </c>
      <c r="FP201" s="133">
        <f>IF(SeilBeregnet=0,FP200,((Loa)/Bredde)^FP$3*FP$7)</f>
        <v>1.8009006755629926</v>
      </c>
      <c r="FQ201" s="107">
        <f>IF(SeilBeregnet=0,FQ200,(Lwl)^FQ$3)</f>
        <v>1.7958015200236968</v>
      </c>
      <c r="FR201" s="107">
        <f t="shared" si="1675"/>
        <v>1.0201599188686241</v>
      </c>
      <c r="FS201" s="141" t="str">
        <f>IF($DY201=0,"-",(FR201-$DW201)*100)</f>
        <v>-</v>
      </c>
      <c r="FT201" s="107">
        <f t="shared" si="1677"/>
        <v>4.8762586257928513</v>
      </c>
      <c r="FU201" s="133">
        <f>IF(SeilBeregnet=0,FU200,(SeilBeregnet^0.5/(Depl^0.3333))^FU$3)</f>
        <v>2.7076777148014832</v>
      </c>
      <c r="FV201" s="133">
        <f>IF(SeilBeregnet=0,FV200,(Loa/Bredde)^FV$3)</f>
        <v>1.8009006755629926</v>
      </c>
      <c r="FW201" s="107">
        <f>IF(SeilBeregnet=0,FW200,Lwl^FW$3)</f>
        <v>1.7958015200236968</v>
      </c>
      <c r="FY201">
        <v>0.95</v>
      </c>
      <c r="FZ201" s="62">
        <f t="shared" si="1452"/>
        <v>1.0531225318988626</v>
      </c>
      <c r="GA201" s="62">
        <f t="shared" si="1378"/>
        <v>2.0916500663351889</v>
      </c>
      <c r="GB201" s="107">
        <f t="shared" si="525"/>
        <v>1.178784942328271</v>
      </c>
      <c r="GC201" s="440"/>
      <c r="GD201" s="17"/>
      <c r="GE201" s="442"/>
      <c r="GF201" s="462"/>
      <c r="GG201" s="17"/>
      <c r="GH201" s="17"/>
      <c r="GI201" s="17"/>
      <c r="GJ201" s="17"/>
      <c r="GL201" s="17"/>
      <c r="GM201" s="442"/>
      <c r="GN201" s="8"/>
      <c r="GO201" s="8"/>
      <c r="GP201" s="8"/>
      <c r="GQ201" s="8"/>
      <c r="GS201" s="17"/>
      <c r="GT201" s="17"/>
      <c r="GU201" s="17"/>
      <c r="GV201" s="629"/>
      <c r="GW201" s="17"/>
      <c r="GX201" s="17"/>
      <c r="GY201" s="17"/>
      <c r="GZ201" s="17"/>
    </row>
    <row r="202" spans="1:208" ht="15.6" x14ac:dyDescent="0.3">
      <c r="A202" s="52" t="s">
        <v>906</v>
      </c>
      <c r="B202" s="218">
        <f t="shared" si="10"/>
        <v>27.985564304461938</v>
      </c>
      <c r="C202" s="53" t="s">
        <v>19</v>
      </c>
      <c r="D202" s="53"/>
      <c r="E202" s="53"/>
      <c r="F202" s="53"/>
      <c r="G202" s="54"/>
      <c r="H202" s="112">
        <f>J203</f>
        <v>91</v>
      </c>
      <c r="I202" s="601">
        <f>H203/100</f>
        <v>1.24</v>
      </c>
      <c r="J202" s="651" t="str">
        <f>IF(DC203=0,"-",DC203)</f>
        <v>-</v>
      </c>
      <c r="K202" s="123" t="str">
        <f>A202</f>
        <v>Lark</v>
      </c>
      <c r="L202" s="116"/>
      <c r="M202" s="92"/>
      <c r="N202" s="601">
        <f>H203/100</f>
        <v>1.24</v>
      </c>
      <c r="O202" s="165"/>
      <c r="P202" s="165"/>
      <c r="Q202" s="165">
        <v>37.200000000000003</v>
      </c>
      <c r="R202" s="165">
        <v>25.1</v>
      </c>
      <c r="S202" s="165">
        <v>18.600000000000001</v>
      </c>
      <c r="T202" s="165">
        <v>11</v>
      </c>
      <c r="U202" s="165">
        <v>12.4</v>
      </c>
      <c r="V202" s="559"/>
      <c r="W202" s="559"/>
      <c r="X202" s="165">
        <v>37.200000000000003</v>
      </c>
      <c r="Y202" s="177">
        <f>StorS-StorS/6</f>
        <v>31.000000000000004</v>
      </c>
      <c r="Z202" s="177">
        <f>StorS-StorS/6*1.9</f>
        <v>25.42</v>
      </c>
      <c r="AA202" s="165">
        <v>16.3</v>
      </c>
      <c r="AB202" s="165"/>
      <c r="AC202" s="165"/>
      <c r="AD202" s="165"/>
      <c r="AE202" s="165"/>
      <c r="AF202" s="165"/>
      <c r="AG202" s="552"/>
      <c r="AH202" s="241"/>
      <c r="AI202" s="241">
        <v>8.5299999999999994</v>
      </c>
      <c r="AJ202" s="554"/>
      <c r="AK202" s="339"/>
      <c r="AL202" s="268"/>
      <c r="AM202" s="339"/>
      <c r="AN202" s="268" t="s">
        <v>211</v>
      </c>
      <c r="AO202" s="45">
        <f>VLOOKUP(AN202,Skrogform!$1:$1048576,3,FALSE)</f>
        <v>0.98</v>
      </c>
      <c r="AP202" s="55">
        <v>8.5299999999999994</v>
      </c>
      <c r="AQ202" s="55">
        <v>8.3800000000000008</v>
      </c>
      <c r="AR202" s="55">
        <v>2.86</v>
      </c>
      <c r="AS202" s="55">
        <v>1.8</v>
      </c>
      <c r="AT202" s="637">
        <v>9.98</v>
      </c>
      <c r="AU202" s="171">
        <v>9</v>
      </c>
      <c r="AV202" s="55">
        <v>5</v>
      </c>
      <c r="AW202" s="55">
        <v>0.5</v>
      </c>
      <c r="AX202" s="253"/>
      <c r="AY202" s="253"/>
      <c r="AZ202" s="254">
        <f>AY202*7</f>
        <v>0</v>
      </c>
      <c r="BA202" s="253"/>
      <c r="BB202" s="253"/>
      <c r="BC202" s="244">
        <f>Depl+Diesel/1000*0.84+Vann/1000</f>
        <v>9</v>
      </c>
      <c r="BD202" s="95">
        <f>Bredde/(Loa+Lwl)*2</f>
        <v>0.33826138379657006</v>
      </c>
      <c r="BE202" s="95">
        <f>(Kjøl+Ballast)/Depl</f>
        <v>0.61111111111111116</v>
      </c>
      <c r="BF202" s="260">
        <f>BF$7*((Depl-Kjøl-Ballast-VektMotor/1000-VektAnnet/1000)/Lwl/Lwl/Bredde)</f>
        <v>0.65764814234993119</v>
      </c>
      <c r="BG202" s="95">
        <f>BG$7*(Depl/Loa/Lwl/Lwl)</f>
        <v>1.1056551066478011</v>
      </c>
      <c r="BH202" s="174">
        <f>BH$7*(Depl/Loa/Lwl/Bredde)</f>
        <v>1.1974847004554037</v>
      </c>
      <c r="BI202" s="95">
        <f>BI$7*Bredde/(Loa+Lwl)*2</f>
        <v>0.96495424861537682</v>
      </c>
      <c r="BJ202" s="95">
        <f>BJ$7*(Dypg/Lwl)</f>
        <v>1.1748469440697311</v>
      </c>
      <c r="BK202" s="56" t="s">
        <v>21</v>
      </c>
      <c r="BL202" s="268">
        <v>3</v>
      </c>
      <c r="BM202" s="268"/>
      <c r="BN202" s="45">
        <f t="shared" si="1723"/>
        <v>1</v>
      </c>
      <c r="BO202" s="59">
        <v>0</v>
      </c>
      <c r="BP202" s="59"/>
      <c r="BR202" s="209"/>
      <c r="BS202" s="209"/>
      <c r="BT202" s="209" t="str">
        <f>$A202</f>
        <v>Lark</v>
      </c>
      <c r="BU202" s="10"/>
      <c r="BV202" s="10"/>
      <c r="BW202" s="10"/>
      <c r="BX202" s="10"/>
      <c r="BY202" s="549"/>
      <c r="BZ202" s="10"/>
      <c r="CA202" s="10"/>
      <c r="CB202" s="209" t="str">
        <f>$A202</f>
        <v>Lark</v>
      </c>
      <c r="CC202" s="10"/>
      <c r="CD202" s="10"/>
      <c r="CE202" s="10"/>
      <c r="CF202" s="10"/>
      <c r="CG202" s="10"/>
      <c r="CH202" s="10"/>
      <c r="CI202" s="10"/>
      <c r="CJ202" s="10"/>
      <c r="CK202" s="10"/>
      <c r="CL202" s="209"/>
      <c r="CM202" s="10"/>
      <c r="CN202" s="209" t="str">
        <f>$A202</f>
        <v>Lark</v>
      </c>
      <c r="CO202" s="207"/>
      <c r="CP202" s="207"/>
      <c r="CQ202" s="116"/>
      <c r="CR202" s="207"/>
      <c r="CS202" s="203"/>
      <c r="CT202" s="203" t="s">
        <v>23</v>
      </c>
      <c r="CU202" s="107" t="str">
        <f t="shared" si="1041"/>
        <v>-</v>
      </c>
      <c r="CV202" s="62" t="str">
        <f t="shared" si="523"/>
        <v>-</v>
      </c>
      <c r="CW202" s="62" t="str">
        <f t="shared" si="998"/>
        <v>-</v>
      </c>
      <c r="CX202" s="62" t="str">
        <f t="shared" si="524"/>
        <v>-</v>
      </c>
      <c r="CY202" s="107" t="str">
        <f t="shared" si="999"/>
        <v>-</v>
      </c>
      <c r="CZ202" s="168" t="str">
        <f t="shared" si="1724"/>
        <v>-</v>
      </c>
      <c r="DA202" s="158"/>
      <c r="DB202" s="168" t="str">
        <f t="shared" si="1725"/>
        <v>-</v>
      </c>
      <c r="DC202" s="160"/>
      <c r="DD202" s="190" t="s">
        <v>134</v>
      </c>
      <c r="DE202" s="29" t="s">
        <v>23</v>
      </c>
      <c r="DF202" s="29" t="s">
        <v>23</v>
      </c>
      <c r="DG202" s="29" t="s">
        <v>23</v>
      </c>
      <c r="DH202" s="149">
        <v>2022</v>
      </c>
      <c r="DI202" s="62" t="str">
        <f t="shared" si="542"/>
        <v>-</v>
      </c>
      <c r="DJ202" s="47">
        <f t="shared" si="543"/>
        <v>14.705882352941178</v>
      </c>
      <c r="DK202" s="48">
        <f t="shared" si="1726"/>
        <v>0</v>
      </c>
      <c r="DM202" s="107" t="str">
        <f t="shared" si="1658"/>
        <v>-</v>
      </c>
      <c r="DN202" s="141" t="str">
        <f t="shared" ref="DN202:DN235" si="1791">IF($DY202=0,"-",(DM202-$DW202)*100)</f>
        <v>-</v>
      </c>
      <c r="DO202" s="107" t="e">
        <f t="shared" si="1727"/>
        <v>#REF!</v>
      </c>
      <c r="DP202" s="133" t="e">
        <f>IF(SeilBeregnet=0,#REF!,(SeilBeregnet^0.5/(Depl^0.3333))^DP$3*DP$7)</f>
        <v>#REF!</v>
      </c>
      <c r="DQ202" s="133" t="e">
        <f>IF(SeilBeregnet=0,#REF!,(SeilBeregnet^0.5/Lwl)^DQ$3*DQ$7)</f>
        <v>#REF!</v>
      </c>
      <c r="DR202" s="133" t="e">
        <f>IF(SeilBeregnet=0,#REF!,(0.1*Loa/Depl^0.3333)^DR$3*DR$7)</f>
        <v>#REF!</v>
      </c>
      <c r="DS202" s="133" t="e">
        <f>IF(SeilBeregnet=0,#REF!,((Loa)/Bredde)^DS$3*DS$7)</f>
        <v>#REF!</v>
      </c>
      <c r="DT202" s="107" t="e">
        <f>IF(SeilBeregnet=0,#REF!,(Lwl)^DT$3)</f>
        <v>#REF!</v>
      </c>
      <c r="DU202" s="133" t="e">
        <f>IF(SeilBeregnet=0,#REF!,(Dypg/Loa)^DU$3*5*DU$7)</f>
        <v>#REF!</v>
      </c>
      <c r="DW202" s="107" t="str">
        <f t="shared" si="769"/>
        <v>-</v>
      </c>
      <c r="DX202" s="107" t="str">
        <f t="shared" si="544"/>
        <v>-</v>
      </c>
      <c r="DZ202" s="107" t="str">
        <f t="shared" si="545"/>
        <v>-</v>
      </c>
      <c r="EA202" s="122" t="str">
        <f t="shared" ref="EA202:EA235" si="1792">IF($DY202=0,"-",DZ202-$DW202)</f>
        <v>-</v>
      </c>
      <c r="EB202" s="107" t="str">
        <f t="shared" si="1728"/>
        <v>-</v>
      </c>
      <c r="EC202" s="122" t="str">
        <f t="shared" ref="EC202:EC235" si="1793">IF($DY202=0,"-",EB202-$DW202)</f>
        <v>-</v>
      </c>
      <c r="ED202" s="107" t="e">
        <f>IF(SeilBeregnet=0,#REF!,SeilBeregnet^0.5/Depl^0.33333)</f>
        <v>#REF!</v>
      </c>
      <c r="EE202" s="107" t="e">
        <f>IF(SeilBeregnet=0,#REF!,Lwl^0.3333)</f>
        <v>#REF!</v>
      </c>
      <c r="EF202" s="107" t="e">
        <f>IF(SeilBeregnet=0,#REF!,((Loa+Lwl)/Bredde)^EF$3)</f>
        <v>#REF!</v>
      </c>
      <c r="EH202" s="107" t="str">
        <f t="shared" si="1729"/>
        <v>-</v>
      </c>
      <c r="EJ202" s="107" t="e">
        <f>IF(SeilBeregnet=0,#REF!,SeilBeregnet^0.5/Depl^0.33333)</f>
        <v>#REF!</v>
      </c>
      <c r="EK202" s="107" t="e">
        <f>IF(SeilBeregnet=0,#REF!,Lwl^EK$3)</f>
        <v>#REF!</v>
      </c>
      <c r="EL202" s="107" t="e">
        <f>IF(SeilBeregnet=0,#REF!,((Loa+Lwl)/Bredde)^EL$3)</f>
        <v>#REF!</v>
      </c>
      <c r="EM202" s="107" t="str">
        <f t="shared" si="1730"/>
        <v>-</v>
      </c>
      <c r="EO202" s="107" t="e">
        <f>IF(SeilBeregnet=0,#REF!,(EP202*EQ202)^EO$3)</f>
        <v>#REF!</v>
      </c>
      <c r="EP202" s="107" t="e">
        <f>IF(SeilBeregnet=0,#REF!,SeilBeregnet^0.5/Depl^0.33333)</f>
        <v>#REF!</v>
      </c>
      <c r="EQ202" s="107" t="e">
        <f>IF(SeilBeregnet=0,#REF!,((Loa+Lwl)/Bredde)^EQ$3)</f>
        <v>#REF!</v>
      </c>
      <c r="ER202" s="107" t="e">
        <f>IF(SeilBeregnet=0,#REF!,Lwl^ER$3)</f>
        <v>#REF!</v>
      </c>
      <c r="ES202" s="107" t="str">
        <f t="shared" si="1666"/>
        <v>-</v>
      </c>
      <c r="EU202" s="107" t="e">
        <f>IF(SeilBeregnet=0,#REF!,(EV:EV*EW:EW)^EU$3)</f>
        <v>#REF!</v>
      </c>
      <c r="EV202" s="107" t="e">
        <f>IF(SeilBeregnet=0,#REF!,SeilBeregnet^0.5/Depl^0.33333)</f>
        <v>#REF!</v>
      </c>
      <c r="EW202" s="107" t="e">
        <f>IF(SeilBeregnet=0,#REF!,((Loa+Lwl)/Bredde/6)^EW$3)</f>
        <v>#REF!</v>
      </c>
      <c r="EX202" s="107" t="e">
        <f>IF(SeilBeregnet=0,#REF!,(Lwl*0.7+Loa*0.3)^EX$3)</f>
        <v>#REF!</v>
      </c>
      <c r="EY202" s="107" t="str">
        <f t="shared" si="1667"/>
        <v>-</v>
      </c>
      <c r="FA202" s="107" t="e">
        <f t="shared" si="1668"/>
        <v>#REF!</v>
      </c>
      <c r="FB202" s="107" t="e">
        <f>IF(SeilBeregnet=0,#REF!,SeilBeregnet^0.5/Depl^0.3333)</f>
        <v>#REF!</v>
      </c>
      <c r="FC202" s="107" t="e">
        <f>IF(SeilBeregnet=0,#REF!,((Loa+Lwl)/Bredde/6)^FC$3)</f>
        <v>#REF!</v>
      </c>
      <c r="FD202" s="107" t="e">
        <f>IF(SeilBeregnet=0,#REF!,(Lwl*0.7+Loa*0.3)^FD$3)</f>
        <v>#REF!</v>
      </c>
      <c r="FE202" s="107" t="str">
        <f t="shared" si="1669"/>
        <v>-</v>
      </c>
      <c r="FF202" s="141" t="str">
        <f t="shared" ref="FF202:FF248" si="1794">IF($DY202=0,"-",(FE202-$DW202)*100)</f>
        <v>-</v>
      </c>
      <c r="FG202" s="107" t="e">
        <f t="shared" si="1671"/>
        <v>#REF!</v>
      </c>
      <c r="FH202" s="133" t="e">
        <f>IF(SeilBeregnet=0,#REF!,(SeilBeregnet^0.5/(Depl^0.3333))^FH$3)</f>
        <v>#REF!</v>
      </c>
      <c r="FI202" s="133" t="e">
        <f>IF(SeilBeregnet=0,#REF!,((Loa+Lwl)/Bredde/6)^FI$3)</f>
        <v>#REF!</v>
      </c>
      <c r="FJ202" s="107" t="e">
        <f>IF(SeilBeregnet=0,#REF!,(Lwl*0.07+Loa*0.03)^FJ$3)</f>
        <v>#REF!</v>
      </c>
      <c r="FK202" s="107" t="str">
        <f t="shared" si="1672"/>
        <v>-</v>
      </c>
      <c r="FL202" s="141" t="str">
        <f t="shared" ref="FL202:FL248" si="1795">IF($DY202=0,"-",(FK202-$DW202)*100)</f>
        <v>-</v>
      </c>
      <c r="FM202" s="107" t="e">
        <f t="shared" si="1674"/>
        <v>#REF!</v>
      </c>
      <c r="FN202" s="133" t="e">
        <f>IF(SeilBeregnet=0,#REF!,(SeilBeregnet^0.5/(Depl^0.3333))^FN$3)</f>
        <v>#REF!</v>
      </c>
      <c r="FO202" s="133" t="e">
        <f>IF(SeilBeregnet=0,#REF!,(SeilBeregnet^0.5/Lwl*FO$7)^FO$3)</f>
        <v>#REF!</v>
      </c>
      <c r="FP202" s="133" t="e">
        <f>IF(SeilBeregnet=0,#REF!,((Loa)/Bredde)^FP$3*FP$7)</f>
        <v>#REF!</v>
      </c>
      <c r="FQ202" s="107" t="e">
        <f>IF(SeilBeregnet=0,#REF!,(Lwl)^FQ$3)</f>
        <v>#REF!</v>
      </c>
      <c r="FR202" s="107" t="str">
        <f t="shared" si="1675"/>
        <v>-</v>
      </c>
      <c r="FS202" s="141" t="str">
        <f t="shared" ref="FS202:FS248" si="1796">IF($DY202=0,"-",(FR202-$DW202)*100)</f>
        <v>-</v>
      </c>
      <c r="FT202" s="107" t="e">
        <f t="shared" si="1677"/>
        <v>#REF!</v>
      </c>
      <c r="FU202" s="133" t="e">
        <f>IF(SeilBeregnet=0,#REF!,(SeilBeregnet^0.5/(Depl^0.3333))^FU$3)</f>
        <v>#REF!</v>
      </c>
      <c r="FV202" s="133" t="e">
        <f>IF(SeilBeregnet=0,#REF!,(Loa/Bredde)^FV$3)</f>
        <v>#REF!</v>
      </c>
      <c r="FW202" s="107" t="e">
        <f>IF(SeilBeregnet=0,#REF!,Lwl^FW$3)</f>
        <v>#REF!</v>
      </c>
      <c r="FY202">
        <v>0.95</v>
      </c>
      <c r="FZ202" s="62" t="str">
        <f t="shared" si="1452"/>
        <v>-</v>
      </c>
      <c r="GA202" s="62">
        <f t="shared" si="1378"/>
        <v>2.2968452802704382</v>
      </c>
      <c r="GB202" s="107" t="str">
        <f t="shared" si="525"/>
        <v>-</v>
      </c>
      <c r="GC202" s="441"/>
      <c r="GD202" s="57" t="s">
        <v>84</v>
      </c>
      <c r="GE202" s="436"/>
      <c r="GF202" s="75"/>
      <c r="GG202" s="57"/>
      <c r="GH202" s="57"/>
      <c r="GI202" s="57"/>
      <c r="GJ202" s="57"/>
      <c r="GL202" s="57" t="s">
        <v>478</v>
      </c>
      <c r="GM202" s="436" t="s">
        <v>478</v>
      </c>
      <c r="GN202" s="58" t="s">
        <v>478</v>
      </c>
      <c r="GO202" s="58" t="s">
        <v>478</v>
      </c>
      <c r="GP202" s="58" t="s">
        <v>478</v>
      </c>
      <c r="GQ202" s="58" t="s">
        <v>478</v>
      </c>
      <c r="GS202" s="57"/>
      <c r="GT202" s="57"/>
      <c r="GU202" s="57"/>
      <c r="GV202" s="632"/>
      <c r="GW202" s="57"/>
      <c r="GX202" s="57"/>
      <c r="GY202" s="57"/>
      <c r="GZ202" s="57"/>
    </row>
    <row r="203" spans="1:208" ht="15.6" x14ac:dyDescent="0.3">
      <c r="A203" s="60" t="s">
        <v>28</v>
      </c>
      <c r="B203" s="218"/>
      <c r="C203" s="61" t="s">
        <v>19</v>
      </c>
      <c r="D203" s="61"/>
      <c r="E203" s="61"/>
      <c r="F203" s="61"/>
      <c r="G203" s="54"/>
      <c r="H203" s="204">
        <f>IF(StH=0,0,TBFavrundet)</f>
        <v>124</v>
      </c>
      <c r="I203" s="63">
        <f>COUNTA(O203:AG203)</f>
        <v>4</v>
      </c>
      <c r="J203" s="222">
        <f>SUM(O203:AG203)</f>
        <v>91</v>
      </c>
      <c r="K203" s="116">
        <f>Seilareal/Depl^0.667/K$7</f>
        <v>1.9476782165421302</v>
      </c>
      <c r="L203" s="116">
        <f t="shared" ref="L203:L212" si="1797">Seilareal/Lwl/Lwl/L$7</f>
        <v>1.9662119390308088</v>
      </c>
      <c r="M203" s="92">
        <f t="shared" ref="M203:M212" si="1798">RiggF</f>
        <v>0.74263736263736257</v>
      </c>
      <c r="N203" s="242">
        <f t="shared" ref="N203:N212" si="1799">StHfaktor</f>
        <v>1.0022201417492413</v>
      </c>
      <c r="O203" s="143"/>
      <c r="P203" s="143"/>
      <c r="Q203" s="143"/>
      <c r="R203" s="165">
        <v>25.1</v>
      </c>
      <c r="S203" s="143"/>
      <c r="T203" s="143"/>
      <c r="U203" s="165">
        <v>12.4</v>
      </c>
      <c r="V203" s="559"/>
      <c r="W203" s="559"/>
      <c r="X203" s="165">
        <v>37.200000000000003</v>
      </c>
      <c r="Y203" s="143"/>
      <c r="Z203" s="143"/>
      <c r="AA203" s="165">
        <v>16.3</v>
      </c>
      <c r="AB203" s="143"/>
      <c r="AC203" s="143"/>
      <c r="AD203" s="143"/>
      <c r="AE203" s="143"/>
      <c r="AF203" s="143"/>
      <c r="AG203" s="551"/>
      <c r="AH203" s="557">
        <f t="shared" ref="AH203:AI203" si="1800">AH202</f>
        <v>0</v>
      </c>
      <c r="AI203" s="557">
        <f t="shared" si="1800"/>
        <v>8.5299999999999994</v>
      </c>
      <c r="AJ203" s="337">
        <f t="shared" ref="AJ203:AL209" si="1801" xml:space="preserve"> AJ202</f>
        <v>0</v>
      </c>
      <c r="AK203" s="339"/>
      <c r="AL203" s="337">
        <f t="shared" si="1801"/>
        <v>0</v>
      </c>
      <c r="AM203" s="339"/>
      <c r="AN203" s="267" t="str">
        <f t="shared" ref="AN203" si="1802" xml:space="preserve"> AN202</f>
        <v>Lystb</v>
      </c>
      <c r="AO203" s="45">
        <f>VLOOKUP(AN203,Skrogform!$1:$1048576,3,FALSE)</f>
        <v>0.98</v>
      </c>
      <c r="AP203" s="64">
        <f t="shared" ref="AP203:AZ203" si="1803">AP202</f>
        <v>8.5299999999999994</v>
      </c>
      <c r="AQ203" s="64">
        <f t="shared" si="1803"/>
        <v>8.3800000000000008</v>
      </c>
      <c r="AR203" s="64">
        <f t="shared" si="1803"/>
        <v>2.86</v>
      </c>
      <c r="AS203" s="64">
        <f t="shared" si="1803"/>
        <v>1.8</v>
      </c>
      <c r="AT203" s="64">
        <f t="shared" ref="AT203" si="1804">AT202</f>
        <v>9.98</v>
      </c>
      <c r="AU203" s="64">
        <f t="shared" si="1803"/>
        <v>9</v>
      </c>
      <c r="AV203" s="64">
        <f t="shared" si="1803"/>
        <v>5</v>
      </c>
      <c r="AW203" s="64">
        <f t="shared" si="1803"/>
        <v>0.5</v>
      </c>
      <c r="AX203" s="256">
        <f t="shared" ref="AX203:AX209" si="1805">AX202</f>
        <v>0</v>
      </c>
      <c r="AY203" s="256">
        <f t="shared" si="1803"/>
        <v>0</v>
      </c>
      <c r="AZ203" s="256">
        <f t="shared" si="1803"/>
        <v>0</v>
      </c>
      <c r="BA203" s="256">
        <f t="shared" ref="BA203:BB203" si="1806">BA202</f>
        <v>0</v>
      </c>
      <c r="BB203" s="256">
        <f t="shared" si="1806"/>
        <v>0</v>
      </c>
      <c r="BC203" s="256"/>
      <c r="BD203" s="66"/>
      <c r="BE203" s="66"/>
      <c r="BF203" s="261"/>
      <c r="BG203" s="66"/>
      <c r="BH203" s="175"/>
      <c r="BI203" s="66"/>
      <c r="BJ203" s="66"/>
      <c r="BK203" s="65" t="str">
        <f t="shared" ref="BK203:BM203" si="1807" xml:space="preserve"> BK202</f>
        <v>Seilrett</v>
      </c>
      <c r="BL203" s="267">
        <f t="shared" si="1807"/>
        <v>3</v>
      </c>
      <c r="BM203" s="267">
        <f t="shared" si="1807"/>
        <v>0</v>
      </c>
      <c r="BN203" s="45">
        <f t="shared" si="1723"/>
        <v>1</v>
      </c>
      <c r="BO203" s="59">
        <f>BO202</f>
        <v>0</v>
      </c>
      <c r="BP203" s="59"/>
      <c r="BR203" s="49">
        <f t="shared" ref="BR203:BR212" si="1808">IF(O203=0,0,O203*BR$9)</f>
        <v>0</v>
      </c>
      <c r="BS203" s="49">
        <f t="shared" ref="BS203:BS212" si="1809">IF(P203=0,0,P203*BS$9)</f>
        <v>0</v>
      </c>
      <c r="BT203" s="49">
        <f t="shared" ref="BT203:BT212" si="1810">IF(Q203=0,0,Q203*BT$9)</f>
        <v>0</v>
      </c>
      <c r="BU203" s="49">
        <f t="shared" ref="BU203:BU212" si="1811">IF(R203=0,0,R203*BU$9)</f>
        <v>25.1</v>
      </c>
      <c r="BV203" s="49">
        <f t="shared" ref="BV203:BV212" si="1812">IF(S203=0,0,S203*BV$9)</f>
        <v>0</v>
      </c>
      <c r="BW203" s="49">
        <f t="shared" ref="BW203:BW212" si="1813">IF(T203=0,0,T203*BW$9)</f>
        <v>0</v>
      </c>
      <c r="BX203" s="49">
        <f t="shared" ref="BX203:BX212" si="1814">IF(U203=0,0,U203*BX$9)</f>
        <v>12.4</v>
      </c>
      <c r="BY203" s="549">
        <f t="shared" ref="BY203:BY212" si="1815">IF(COUNT(Q203:U203)&gt;1,MINA(Q203:U203)*BY$9,0)</f>
        <v>-6.2</v>
      </c>
      <c r="BZ203" s="85">
        <f t="shared" ref="BZ203:BZ212" si="1816">IF(V203=0,0,V203*BZ$9)</f>
        <v>0</v>
      </c>
      <c r="CA203" s="85">
        <f t="shared" ref="CA203:CA212" si="1817">IF(W203=0,0,W203*CA$9)</f>
        <v>0</v>
      </c>
      <c r="CB203" s="85">
        <f t="shared" ref="CB203:CB212" si="1818">IF(X203=0,0,X203*CB$9)</f>
        <v>29.760000000000005</v>
      </c>
      <c r="CC203" s="85">
        <f t="shared" ref="CC203:CC212" si="1819">IF(Y203=0,0,Y203*CC$9)</f>
        <v>0</v>
      </c>
      <c r="CD203" s="85">
        <f t="shared" ref="CD203:CD212" si="1820">IF(Z203=0,0,Z203*CD$9)</f>
        <v>0</v>
      </c>
      <c r="CE203" s="85">
        <f t="shared" ref="CE203:CE212" si="1821">IF(AC203=0,0,AC203*CE$9)</f>
        <v>0</v>
      </c>
      <c r="CF203" s="85">
        <f t="shared" ref="CF203:CF212" si="1822">IF(AA203=0,0,AA203*CF$9)</f>
        <v>6.5200000000000005</v>
      </c>
      <c r="CG203" s="85">
        <f t="shared" ref="CG203:CG212" si="1823">IF(AB203=0,0,AB203*CG$9)</f>
        <v>0</v>
      </c>
      <c r="CH203" s="85">
        <f t="shared" ref="CH203:CH212" si="1824">IF(AD203=0,0,AD203*CH$9)</f>
        <v>0</v>
      </c>
      <c r="CI203" s="85">
        <f t="shared" ref="CI203:CI212" si="1825">IF(AE203=0,0,AE203*CI$9)</f>
        <v>0</v>
      </c>
      <c r="CJ203" s="85">
        <f t="shared" ref="CJ203:CJ212" si="1826">IF(AF203=0,0,AF203*CJ$9)</f>
        <v>0</v>
      </c>
      <c r="CK203" s="85">
        <f t="shared" ref="CK203:CK212" si="1827">IF(AG203=0,0,AG203*CK$9)</f>
        <v>0</v>
      </c>
      <c r="CL203" s="100">
        <f t="shared" ref="CL203:CL212" si="1828">SUM(BR203:CK203)</f>
        <v>67.58</v>
      </c>
      <c r="CM203" s="50"/>
      <c r="CN203" s="104">
        <f t="shared" ref="CN203:CN212" si="1829">J203</f>
        <v>91</v>
      </c>
      <c r="CO203" s="101">
        <f t="shared" ref="CO203:CO212" si="1830">CL203/CN203</f>
        <v>0.74263736263736257</v>
      </c>
      <c r="CP203" s="51">
        <f t="shared" ref="CP203:CP212" si="1831">Seilareal/Lwl/Lwl</f>
        <v>1.2958458883237163</v>
      </c>
      <c r="CQ203" s="116">
        <f t="shared" ref="CQ203:CQ212" si="1832">Seilareal/Depl^0.667/K$7</f>
        <v>1.9476782165421302</v>
      </c>
      <c r="CR203" s="51">
        <f t="shared" ref="CR203:CR212" si="1833">Seilareal/Lwl/Lwl/SApRS1</f>
        <v>1.9662119390308088</v>
      </c>
      <c r="CS203" s="204"/>
      <c r="CT203" s="204">
        <f t="shared" ref="CT203:CT212" si="1834">(ROUND(TBF/CT$6,3)*CT$6)*CT$4</f>
        <v>124</v>
      </c>
      <c r="CU203" s="107">
        <f t="shared" si="1041"/>
        <v>1.2391252739765684</v>
      </c>
      <c r="CV203" s="62">
        <f t="shared" si="523"/>
        <v>3.9319647086864347</v>
      </c>
      <c r="CW203" s="62">
        <f t="shared" si="998"/>
        <v>1.719387596295177</v>
      </c>
      <c r="CX203" s="62">
        <f t="shared" si="524"/>
        <v>1.7014179278548895</v>
      </c>
      <c r="CY203" s="107">
        <f t="shared" si="999"/>
        <v>1.0022201417492413</v>
      </c>
      <c r="CZ203" s="168"/>
      <c r="DA203" s="159"/>
      <c r="DB203" s="168"/>
      <c r="DC203" s="159"/>
      <c r="DD203" s="190" t="s">
        <v>134</v>
      </c>
      <c r="DE203" s="62">
        <v>0.92</v>
      </c>
      <c r="DF203" s="62">
        <v>0.89</v>
      </c>
      <c r="DG203" s="62">
        <v>0.96</v>
      </c>
      <c r="DH203" s="150">
        <v>0.96</v>
      </c>
      <c r="DI203" s="62">
        <f t="shared" si="542"/>
        <v>2.2101391924363338</v>
      </c>
      <c r="DJ203" s="47">
        <f t="shared" si="543"/>
        <v>14.705882352941178</v>
      </c>
      <c r="DK203" s="48">
        <f t="shared" si="1726"/>
        <v>0</v>
      </c>
      <c r="DM203" s="107">
        <f t="shared" si="1658"/>
        <v>1.1982138013436623</v>
      </c>
      <c r="DN203" s="141">
        <f t="shared" si="1791"/>
        <v>-6.6199743530387156</v>
      </c>
      <c r="DO203" s="107">
        <f t="shared" si="1727"/>
        <v>5.6793891546375885</v>
      </c>
      <c r="DP203" s="133">
        <f t="shared" ref="DP203:DP209" si="1835">IF(SeilBeregnet=0,DP202,(SeilBeregnet^0.5/(Depl^0.3333))^DP$3*DP$7)</f>
        <v>3.9523924891754101</v>
      </c>
      <c r="DQ203" s="133">
        <f t="shared" ref="DQ203:DQ209" si="1836">IF(SeilBeregnet=0,DQ202,(SeilBeregnet^0.5/Lwl)^DQ$3*DQ$7)</f>
        <v>0</v>
      </c>
      <c r="DR203" s="133">
        <f t="shared" ref="DR203:DR209" si="1837">IF(SeilBeregnet=0,DR202,(0.1*Loa/Depl^0.3333)^DR$3*DR$7)</f>
        <v>0</v>
      </c>
      <c r="DS203" s="133">
        <f t="shared" ref="DS203:DS209" si="1838">IF(SeilBeregnet=0,DS202,((Loa)/Bredde)^DS$3*DS$7)</f>
        <v>1.7269966654621782</v>
      </c>
      <c r="DT203" s="107">
        <f t="shared" ref="DT203:DT209" si="1839">IF(SeilBeregnet=0,DT202,(Lwl)^DT$3)</f>
        <v>1.7014179278548895</v>
      </c>
      <c r="DU203" s="133">
        <f t="shared" ref="DU203:DU209" si="1840">IF(SeilBeregnet=0,DU202,(Dypg/Loa)^DU$3*5*DU$7)</f>
        <v>2.2968452802704382</v>
      </c>
      <c r="DW203" s="107">
        <f t="shared" si="769"/>
        <v>1.2644135448740494</v>
      </c>
      <c r="DX203" s="107">
        <f t="shared" si="544"/>
        <v>1.2755864608000349</v>
      </c>
      <c r="DY203" s="122">
        <f>DX203-DW203</f>
        <v>1.117291592598546E-2</v>
      </c>
      <c r="DZ203" s="107">
        <f t="shared" si="545"/>
        <v>1.2443817500986476</v>
      </c>
      <c r="EA203" s="122">
        <f t="shared" si="1792"/>
        <v>-2.0031794775401845E-2</v>
      </c>
      <c r="EB203" s="107">
        <f t="shared" si="1728"/>
        <v>1.2530186876948872</v>
      </c>
      <c r="EC203" s="122">
        <f t="shared" si="1793"/>
        <v>-1.1394857179162221E-2</v>
      </c>
      <c r="ED203" s="107">
        <f t="shared" si="67"/>
        <v>3.9521319689443306</v>
      </c>
      <c r="EE203" s="107">
        <f t="shared" si="68"/>
        <v>2.0310341765391291</v>
      </c>
      <c r="EF203" s="107">
        <f t="shared" ref="EF203:EF209" si="1841">IF(SeilBeregnet=0,EF202,((Loa+Lwl)/Bredde)^EF$3)</f>
        <v>1.5593528329588258</v>
      </c>
      <c r="EH203" s="107">
        <f t="shared" si="1729"/>
        <v>1.2354494775215876</v>
      </c>
      <c r="EJ203" s="107">
        <f t="shared" si="69"/>
        <v>3.9521319689443306</v>
      </c>
      <c r="EK203" s="107">
        <f t="shared" ref="EK203:EK209" si="1842">IF(SeilBeregnet=0,EK202,Lwl^EK$3)</f>
        <v>2.0311637107626899</v>
      </c>
      <c r="EL203" s="107">
        <f t="shared" ref="EL203:EL209" si="1843">IF(SeilBeregnet=0,EL202,((Loa+Lwl)/Bredde)^EL$3)</f>
        <v>1.8081458776238697</v>
      </c>
      <c r="EM203" s="107">
        <f t="shared" si="1730"/>
        <v>1.2378787448508461</v>
      </c>
      <c r="EO203" s="107">
        <f t="shared" ref="EO203:EO209" si="1844">IF(SeilBeregnet=0,EO202,(EP203*EQ203)^EO$3)</f>
        <v>6.1627681820004838</v>
      </c>
      <c r="EP203" s="107">
        <f t="shared" si="70"/>
        <v>3.9521319689443306</v>
      </c>
      <c r="EQ203" s="107">
        <f t="shared" ref="EQ203:EQ209" si="1845">IF(SeilBeregnet=0,EQ202,((Loa+Lwl)/Bredde)^EQ$3)</f>
        <v>1.5593528329588258</v>
      </c>
      <c r="ER203" s="107">
        <f t="shared" ref="ER203:ER209" si="1846">IF(SeilBeregnet=0,ER202,Lwl^ER$3)</f>
        <v>1.7014179278548895</v>
      </c>
      <c r="ES203" s="107">
        <f t="shared" si="1666"/>
        <v>1.2168101654182639</v>
      </c>
      <c r="EU203" s="107">
        <f t="shared" ref="EU203:EU209" si="1847">IF(SeilBeregnet=0,EU202,(EV:EV*EW:EW)^EU$3)</f>
        <v>1.9843533538554936</v>
      </c>
      <c r="EV203" s="107">
        <f t="shared" si="71"/>
        <v>3.9521319689443306</v>
      </c>
      <c r="EW203" s="107">
        <f t="shared" ref="EW203:EW209" si="1848">IF(SeilBeregnet=0,EW202,((Loa+Lwl)/Bredde/6)^EW$3)</f>
        <v>0.9963377397059312</v>
      </c>
      <c r="EX203" s="107">
        <f t="shared" ref="EX203:EX209" si="1849">IF(SeilBeregnet=0,EX202,(Lwl*0.7+Loa*0.3)^EX$3)</f>
        <v>1.7036974657315185</v>
      </c>
      <c r="EY203" s="107">
        <f t="shared" si="1667"/>
        <v>1.1368155888471156</v>
      </c>
      <c r="FA203" s="107">
        <f t="shared" si="1668"/>
        <v>1.9844187559826496</v>
      </c>
      <c r="FB203" s="107">
        <f t="shared" si="72"/>
        <v>3.9523924891754101</v>
      </c>
      <c r="FC203" s="107">
        <f t="shared" ref="FC203:FC209" si="1850">IF(SeilBeregnet=0,FC202,((Loa+Lwl)/Bredde/6)^FC$3)</f>
        <v>0.9963377397059312</v>
      </c>
      <c r="FD203" s="107">
        <f t="shared" ref="FD203:FD209" si="1851">IF(SeilBeregnet=0,FD202,(Lwl*0.7+Loa*0.3)^FD$3)</f>
        <v>1.7036974657315185</v>
      </c>
      <c r="FE203" s="107">
        <f t="shared" si="1669"/>
        <v>1.1917629516349311</v>
      </c>
      <c r="FF203" s="141">
        <f t="shared" si="1794"/>
        <v>-7.2650593239118377</v>
      </c>
      <c r="FG203" s="107">
        <f t="shared" si="1671"/>
        <v>3.9234961190987923</v>
      </c>
      <c r="FH203" s="133">
        <f t="shared" ref="FH203:FH209" si="1852">IF(SeilBeregnet=0,FH202,(SeilBeregnet^0.5/(Depl^0.3333))^FH$3)</f>
        <v>3.9523924891754101</v>
      </c>
      <c r="FI203" s="133">
        <f t="shared" ref="FI203:FI209" si="1853">IF(SeilBeregnet=0,FI202,((Loa+Lwl)/Bredde/6)^FI$3)</f>
        <v>0.99268889156232398</v>
      </c>
      <c r="FJ203" s="107">
        <f t="shared" ref="FJ203:FJ209" si="1854">IF(SeilBeregnet=0,FJ202,(Lwl*0.07+Loa*0.03)^FJ$3)</f>
        <v>0.95805949060290141</v>
      </c>
      <c r="FK203" s="107">
        <f t="shared" si="1672"/>
        <v>1.2472843910812081</v>
      </c>
      <c r="FL203" s="141">
        <f t="shared" si="1795"/>
        <v>-1.7129153792841301</v>
      </c>
      <c r="FM203" s="107">
        <f t="shared" si="1674"/>
        <v>6.1603802722779042</v>
      </c>
      <c r="FN203" s="133">
        <f t="shared" ref="FN203:FN209" si="1855">IF(SeilBeregnet=0,FN202,(SeilBeregnet^0.5/(Depl^0.3333))^FN$3)</f>
        <v>3.9523924891754101</v>
      </c>
      <c r="FO203" s="133">
        <f t="shared" ref="FO203:FO209" si="1856">IF(SeilBeregnet=0,FO202,(SeilBeregnet^0.5/Lwl*FO$7)^FO$3)</f>
        <v>0.98099111764031544</v>
      </c>
      <c r="FP203" s="133">
        <f t="shared" ref="FP203:FP209" si="1857">IF(SeilBeregnet=0,FP202,((Loa)/Bredde)^FP$3*FP$7)</f>
        <v>1.7269966654621782</v>
      </c>
      <c r="FQ203" s="107">
        <f t="shared" ref="FQ203:FQ209" si="1858">IF(SeilBeregnet=0,FQ202,(Lwl)^FQ$3)</f>
        <v>1.7014179278548895</v>
      </c>
      <c r="FR203" s="107">
        <f t="shared" si="1675"/>
        <v>1.1788260392259107</v>
      </c>
      <c r="FS203" s="141">
        <f t="shared" si="1796"/>
        <v>-8.5587505648138773</v>
      </c>
      <c r="FT203" s="107">
        <f t="shared" si="1677"/>
        <v>6.8257686494036918</v>
      </c>
      <c r="FU203" s="133">
        <f t="shared" ref="FU203:FU209" si="1859">IF(SeilBeregnet=0,FU202,(SeilBeregnet^0.5/(Depl^0.3333))^FU$3)</f>
        <v>3.9523924891754101</v>
      </c>
      <c r="FV203" s="133">
        <f t="shared" ref="FV203:FV209" si="1860">IF(SeilBeregnet=0,FV202,(Loa/Bredde)^FV$3)</f>
        <v>1.7269966654621782</v>
      </c>
      <c r="FW203" s="107">
        <f t="shared" ref="FW203:FW209" si="1861">IF(SeilBeregnet=0,FW202,Lwl^FW$3)</f>
        <v>1.7014179278548895</v>
      </c>
      <c r="FY203">
        <v>0.95</v>
      </c>
      <c r="FZ203" s="62">
        <f t="shared" si="1452"/>
        <v>1.2057885234269636</v>
      </c>
      <c r="GA203" s="62">
        <f t="shared" si="1378"/>
        <v>2.2968452802704382</v>
      </c>
      <c r="GB203" s="107">
        <f t="shared" si="525"/>
        <v>1.4832467116468449</v>
      </c>
      <c r="GC203" s="440"/>
      <c r="GD203" s="17"/>
      <c r="GE203" s="442"/>
      <c r="GF203" s="462"/>
      <c r="GG203" s="17"/>
      <c r="GH203" s="17"/>
      <c r="GI203" s="17"/>
      <c r="GJ203" s="17"/>
      <c r="GL203" s="17"/>
      <c r="GM203" s="442"/>
      <c r="GN203" s="8"/>
      <c r="GO203" s="8"/>
      <c r="GP203" s="8"/>
      <c r="GQ203" s="8"/>
      <c r="GS203" s="17"/>
      <c r="GT203" s="17"/>
      <c r="GU203" s="17"/>
      <c r="GV203" s="629"/>
      <c r="GW203" s="17"/>
      <c r="GX203" s="17"/>
      <c r="GY203" s="17"/>
      <c r="GZ203" s="17"/>
    </row>
    <row r="204" spans="1:208" ht="15.6" x14ac:dyDescent="0.3">
      <c r="A204" s="60" t="s">
        <v>115</v>
      </c>
      <c r="B204" s="218"/>
      <c r="C204" s="61" t="s">
        <v>19</v>
      </c>
      <c r="D204" s="61"/>
      <c r="E204" s="61"/>
      <c r="F204" s="61"/>
      <c r="G204" s="54"/>
      <c r="H204" s="204">
        <f>IF(StH=0,0,TBFavrundet)</f>
        <v>119.49999999999999</v>
      </c>
      <c r="I204" s="63">
        <f>COUNTA(O204:AG204)</f>
        <v>4</v>
      </c>
      <c r="J204" s="222">
        <f>SUM(O204:AG204)</f>
        <v>84.5</v>
      </c>
      <c r="K204" s="116">
        <f>Seilareal/Depl^0.667/K$7</f>
        <v>1.8085583439319783</v>
      </c>
      <c r="L204" s="116">
        <f t="shared" si="1797"/>
        <v>1.8257682291000368</v>
      </c>
      <c r="M204" s="92">
        <f t="shared" si="1798"/>
        <v>0.72284023668639064</v>
      </c>
      <c r="N204" s="242">
        <f t="shared" si="1799"/>
        <v>1.0022201417492413</v>
      </c>
      <c r="O204" s="143"/>
      <c r="P204" s="143"/>
      <c r="Q204" s="143"/>
      <c r="R204" s="143"/>
      <c r="S204" s="165">
        <v>18.600000000000001</v>
      </c>
      <c r="T204" s="143"/>
      <c r="U204" s="165">
        <v>12.4</v>
      </c>
      <c r="V204" s="559"/>
      <c r="W204" s="559"/>
      <c r="X204" s="165">
        <v>37.200000000000003</v>
      </c>
      <c r="Y204" s="143"/>
      <c r="Z204" s="143"/>
      <c r="AA204" s="165">
        <v>16.3</v>
      </c>
      <c r="AB204" s="143"/>
      <c r="AC204" s="143"/>
      <c r="AD204" s="143"/>
      <c r="AE204" s="143"/>
      <c r="AF204" s="143"/>
      <c r="AG204" s="551"/>
      <c r="AH204" s="557">
        <f t="shared" ref="AH204:AI204" si="1862">AH203</f>
        <v>0</v>
      </c>
      <c r="AI204" s="557">
        <f t="shared" si="1862"/>
        <v>8.5299999999999994</v>
      </c>
      <c r="AJ204" s="337">
        <f t="shared" si="1801"/>
        <v>0</v>
      </c>
      <c r="AK204" s="339"/>
      <c r="AL204" s="337">
        <f t="shared" si="1801"/>
        <v>0</v>
      </c>
      <c r="AM204" s="339"/>
      <c r="AN204" s="267" t="str">
        <f t="shared" ref="AN204" si="1863" xml:space="preserve"> AN203</f>
        <v>Lystb</v>
      </c>
      <c r="AO204" s="45">
        <f>VLOOKUP(AN204,Skrogform!$1:$1048576,3,FALSE)</f>
        <v>0.98</v>
      </c>
      <c r="AP204" s="64">
        <f t="shared" ref="AP204:AZ204" si="1864">AP203</f>
        <v>8.5299999999999994</v>
      </c>
      <c r="AQ204" s="64">
        <f t="shared" si="1864"/>
        <v>8.3800000000000008</v>
      </c>
      <c r="AR204" s="64">
        <f t="shared" si="1864"/>
        <v>2.86</v>
      </c>
      <c r="AS204" s="64">
        <f t="shared" si="1864"/>
        <v>1.8</v>
      </c>
      <c r="AT204" s="64">
        <f t="shared" ref="AT204" si="1865">AT203</f>
        <v>9.98</v>
      </c>
      <c r="AU204" s="64">
        <f t="shared" si="1864"/>
        <v>9</v>
      </c>
      <c r="AV204" s="64">
        <f t="shared" si="1864"/>
        <v>5</v>
      </c>
      <c r="AW204" s="64">
        <f t="shared" si="1864"/>
        <v>0.5</v>
      </c>
      <c r="AX204" s="256">
        <f t="shared" si="1805"/>
        <v>0</v>
      </c>
      <c r="AY204" s="256">
        <f t="shared" si="1864"/>
        <v>0</v>
      </c>
      <c r="AZ204" s="256">
        <f t="shared" si="1864"/>
        <v>0</v>
      </c>
      <c r="BA204" s="256">
        <f t="shared" ref="BA204:BB204" si="1866">BA203</f>
        <v>0</v>
      </c>
      <c r="BB204" s="256">
        <f t="shared" si="1866"/>
        <v>0</v>
      </c>
      <c r="BC204" s="256"/>
      <c r="BD204" s="66"/>
      <c r="BE204" s="66"/>
      <c r="BF204" s="261"/>
      <c r="BG204" s="66"/>
      <c r="BH204" s="175"/>
      <c r="BI204" s="66"/>
      <c r="BJ204" s="66"/>
      <c r="BK204" s="65" t="str">
        <f t="shared" ref="BK204:BM204" si="1867" xml:space="preserve"> BK203</f>
        <v>Seilrett</v>
      </c>
      <c r="BL204" s="267">
        <f t="shared" si="1867"/>
        <v>3</v>
      </c>
      <c r="BM204" s="267">
        <f t="shared" si="1867"/>
        <v>0</v>
      </c>
      <c r="BN204" s="45">
        <f t="shared" si="1723"/>
        <v>1</v>
      </c>
      <c r="BO204" s="59">
        <f t="shared" ref="BO204:BO209" si="1868">BO203</f>
        <v>0</v>
      </c>
      <c r="BP204" s="59"/>
      <c r="BR204" s="49">
        <f t="shared" si="1808"/>
        <v>0</v>
      </c>
      <c r="BS204" s="49">
        <f t="shared" si="1809"/>
        <v>0</v>
      </c>
      <c r="BT204" s="49">
        <f t="shared" si="1810"/>
        <v>0</v>
      </c>
      <c r="BU204" s="49">
        <f t="shared" si="1811"/>
        <v>0</v>
      </c>
      <c r="BV204" s="49">
        <f t="shared" si="1812"/>
        <v>18.600000000000001</v>
      </c>
      <c r="BW204" s="49">
        <f t="shared" si="1813"/>
        <v>0</v>
      </c>
      <c r="BX204" s="49">
        <f t="shared" si="1814"/>
        <v>12.4</v>
      </c>
      <c r="BY204" s="549">
        <f t="shared" si="1815"/>
        <v>-6.2</v>
      </c>
      <c r="BZ204" s="85">
        <f t="shared" si="1816"/>
        <v>0</v>
      </c>
      <c r="CA204" s="85">
        <f t="shared" si="1817"/>
        <v>0</v>
      </c>
      <c r="CB204" s="85">
        <f t="shared" si="1818"/>
        <v>29.760000000000005</v>
      </c>
      <c r="CC204" s="85">
        <f t="shared" si="1819"/>
        <v>0</v>
      </c>
      <c r="CD204" s="85">
        <f t="shared" si="1820"/>
        <v>0</v>
      </c>
      <c r="CE204" s="85">
        <f t="shared" si="1821"/>
        <v>0</v>
      </c>
      <c r="CF204" s="85">
        <f t="shared" si="1822"/>
        <v>6.5200000000000005</v>
      </c>
      <c r="CG204" s="85">
        <f t="shared" si="1823"/>
        <v>0</v>
      </c>
      <c r="CH204" s="85">
        <f t="shared" si="1824"/>
        <v>0</v>
      </c>
      <c r="CI204" s="85">
        <f t="shared" si="1825"/>
        <v>0</v>
      </c>
      <c r="CJ204" s="85">
        <f t="shared" si="1826"/>
        <v>0</v>
      </c>
      <c r="CK204" s="85">
        <f t="shared" si="1827"/>
        <v>0</v>
      </c>
      <c r="CL204" s="100">
        <f t="shared" si="1828"/>
        <v>61.080000000000005</v>
      </c>
      <c r="CM204" s="50"/>
      <c r="CN204" s="104">
        <f t="shared" si="1829"/>
        <v>84.5</v>
      </c>
      <c r="CO204" s="101">
        <f t="shared" si="1830"/>
        <v>0.72284023668639064</v>
      </c>
      <c r="CP204" s="51">
        <f t="shared" si="1831"/>
        <v>1.2032854677291651</v>
      </c>
      <c r="CQ204" s="116">
        <f t="shared" si="1832"/>
        <v>1.8085583439319783</v>
      </c>
      <c r="CR204" s="51">
        <f t="shared" si="1833"/>
        <v>1.8257682291000368</v>
      </c>
      <c r="CS204" s="204"/>
      <c r="CT204" s="204">
        <f t="shared" si="1834"/>
        <v>119.49999999999999</v>
      </c>
      <c r="CU204" s="107">
        <f t="shared" si="1041"/>
        <v>1.1966164952935729</v>
      </c>
      <c r="CV204" s="62">
        <f t="shared" si="523"/>
        <v>3.7380923945327948</v>
      </c>
      <c r="CW204" s="62">
        <f t="shared" si="998"/>
        <v>1.719387596295177</v>
      </c>
      <c r="CX204" s="62">
        <f t="shared" si="524"/>
        <v>1.7014179278548895</v>
      </c>
      <c r="CY204" s="107">
        <f t="shared" si="999"/>
        <v>1.0022201417492413</v>
      </c>
      <c r="CZ204" s="168"/>
      <c r="DA204" s="159"/>
      <c r="DB204" s="168"/>
      <c r="DC204" s="159"/>
      <c r="DD204" s="190" t="s">
        <v>134</v>
      </c>
      <c r="DE204" s="62">
        <v>0.88</v>
      </c>
      <c r="DF204" s="62">
        <v>0.87</v>
      </c>
      <c r="DG204" s="62">
        <v>0.92</v>
      </c>
      <c r="DH204" s="150">
        <v>0.96</v>
      </c>
      <c r="DI204" s="62">
        <f t="shared" si="542"/>
        <v>2.2101391924363338</v>
      </c>
      <c r="DJ204" s="47">
        <f t="shared" si="543"/>
        <v>14.705882352941178</v>
      </c>
      <c r="DK204" s="48">
        <f t="shared" si="1726"/>
        <v>0</v>
      </c>
      <c r="DM204" s="107">
        <f t="shared" si="1658"/>
        <v>1.1570989297492318</v>
      </c>
      <c r="DN204" s="141">
        <f t="shared" si="1791"/>
        <v>-6.3938310346250748</v>
      </c>
      <c r="DO204" s="107">
        <f t="shared" si="1727"/>
        <v>5.4845096134689983</v>
      </c>
      <c r="DP204" s="133">
        <f t="shared" si="1835"/>
        <v>3.7575129480068203</v>
      </c>
      <c r="DQ204" s="133">
        <f t="shared" si="1836"/>
        <v>0</v>
      </c>
      <c r="DR204" s="133">
        <f t="shared" si="1837"/>
        <v>0</v>
      </c>
      <c r="DS204" s="133">
        <f t="shared" si="1838"/>
        <v>1.7269966654621782</v>
      </c>
      <c r="DT204" s="107">
        <f t="shared" si="1839"/>
        <v>1.7014179278548895</v>
      </c>
      <c r="DU204" s="133">
        <f t="shared" si="1840"/>
        <v>2.2968452802704382</v>
      </c>
      <c r="DW204" s="107">
        <f t="shared" si="769"/>
        <v>1.2210372400954825</v>
      </c>
      <c r="DX204" s="107">
        <f t="shared" si="544"/>
        <v>1.2247352612402935</v>
      </c>
      <c r="DY204" s="122">
        <f>DX204-DW204</f>
        <v>3.6980211448109923E-3</v>
      </c>
      <c r="DZ204" s="107">
        <f t="shared" si="545"/>
        <v>1.2034153395049394</v>
      </c>
      <c r="EA204" s="122">
        <f t="shared" si="1792"/>
        <v>-1.7621900590543138E-2</v>
      </c>
      <c r="EB204" s="107">
        <f t="shared" si="1728"/>
        <v>1.2050367069881014</v>
      </c>
      <c r="EC204" s="122">
        <f t="shared" si="1793"/>
        <v>-1.6000533107381143E-2</v>
      </c>
      <c r="ED204" s="107">
        <f t="shared" si="67"/>
        <v>3.7572652731758969</v>
      </c>
      <c r="EE204" s="107">
        <f t="shared" si="68"/>
        <v>2.0310341765391291</v>
      </c>
      <c r="EF204" s="107">
        <f t="shared" si="1841"/>
        <v>1.5593528329588258</v>
      </c>
      <c r="EH204" s="107">
        <f t="shared" si="1729"/>
        <v>1.1923497441029922</v>
      </c>
      <c r="EJ204" s="107">
        <f t="shared" si="69"/>
        <v>3.7572652731758969</v>
      </c>
      <c r="EK204" s="107">
        <f t="shared" si="1842"/>
        <v>2.0311637107626899</v>
      </c>
      <c r="EL204" s="107">
        <f t="shared" si="1843"/>
        <v>1.8081458776238697</v>
      </c>
      <c r="EM204" s="107">
        <f t="shared" si="1730"/>
        <v>1.1917976639338459</v>
      </c>
      <c r="EO204" s="107">
        <f t="shared" si="1844"/>
        <v>5.8589022479046511</v>
      </c>
      <c r="EP204" s="107">
        <f t="shared" si="70"/>
        <v>3.7572652731758969</v>
      </c>
      <c r="EQ204" s="107">
        <f t="shared" si="1845"/>
        <v>1.5593528329588258</v>
      </c>
      <c r="ER204" s="107">
        <f t="shared" si="1846"/>
        <v>1.7014179278548895</v>
      </c>
      <c r="ES204" s="107">
        <f t="shared" si="1666"/>
        <v>1.1761998909068863</v>
      </c>
      <c r="EU204" s="107">
        <f t="shared" si="1847"/>
        <v>1.9348139935796571</v>
      </c>
      <c r="EV204" s="107">
        <f t="shared" si="71"/>
        <v>3.7572652731758969</v>
      </c>
      <c r="EW204" s="107">
        <f t="shared" si="1848"/>
        <v>0.9963377397059312</v>
      </c>
      <c r="EX204" s="107">
        <f t="shared" si="1849"/>
        <v>1.7036974657315185</v>
      </c>
      <c r="EY204" s="107">
        <f t="shared" si="1667"/>
        <v>1.1084349998186227</v>
      </c>
      <c r="FA204" s="107">
        <f t="shared" si="1668"/>
        <v>1.9348777629434075</v>
      </c>
      <c r="FB204" s="107">
        <f t="shared" si="72"/>
        <v>3.7575129480068203</v>
      </c>
      <c r="FC204" s="107">
        <f t="shared" si="1850"/>
        <v>0.9963377397059312</v>
      </c>
      <c r="FD204" s="107">
        <f t="shared" si="1851"/>
        <v>1.7036974657315185</v>
      </c>
      <c r="FE204" s="107">
        <f t="shared" si="1669"/>
        <v>1.1528413070456169</v>
      </c>
      <c r="FF204" s="141">
        <f t="shared" si="1794"/>
        <v>-6.8195933049865598</v>
      </c>
      <c r="FG204" s="107">
        <f t="shared" si="1671"/>
        <v>3.7300413633879708</v>
      </c>
      <c r="FH204" s="133">
        <f t="shared" si="1852"/>
        <v>3.7575129480068203</v>
      </c>
      <c r="FI204" s="133">
        <f t="shared" si="1853"/>
        <v>0.99268889156232398</v>
      </c>
      <c r="FJ204" s="107">
        <f t="shared" si="1854"/>
        <v>0.95805949060290141</v>
      </c>
      <c r="FK204" s="107">
        <f t="shared" si="1672"/>
        <v>1.1980340734754562</v>
      </c>
      <c r="FL204" s="141">
        <f t="shared" si="1795"/>
        <v>-2.3003166620026327</v>
      </c>
      <c r="FM204" s="107">
        <f t="shared" si="1674"/>
        <v>5.9171312689620743</v>
      </c>
      <c r="FN204" s="133">
        <f t="shared" si="1855"/>
        <v>3.7575129480068203</v>
      </c>
      <c r="FO204" s="133">
        <f t="shared" si="1856"/>
        <v>0.93262165549307507</v>
      </c>
      <c r="FP204" s="133">
        <f t="shared" si="1857"/>
        <v>1.7269966654621782</v>
      </c>
      <c r="FQ204" s="107">
        <f t="shared" si="1858"/>
        <v>1.7014179278548895</v>
      </c>
      <c r="FR204" s="107">
        <f t="shared" si="1675"/>
        <v>1.1421781702481111</v>
      </c>
      <c r="FS204" s="141">
        <f t="shared" si="1796"/>
        <v>-7.8859069847371455</v>
      </c>
      <c r="FT204" s="107">
        <f t="shared" si="1677"/>
        <v>6.489212331638738</v>
      </c>
      <c r="FU204" s="133">
        <f t="shared" si="1859"/>
        <v>3.7575129480068203</v>
      </c>
      <c r="FV204" s="133">
        <f t="shared" si="1860"/>
        <v>1.7269966654621782</v>
      </c>
      <c r="FW204" s="107">
        <f t="shared" si="1861"/>
        <v>1.7014179278548895</v>
      </c>
      <c r="FY204">
        <v>0.95</v>
      </c>
      <c r="FZ204" s="62">
        <f t="shared" si="1452"/>
        <v>1.1763291546187693</v>
      </c>
      <c r="GA204" s="62">
        <f t="shared" si="1378"/>
        <v>2.2968452802704382</v>
      </c>
      <c r="GB204" s="107">
        <f t="shared" si="525"/>
        <v>1.4584566812691468</v>
      </c>
      <c r="GC204" s="440"/>
      <c r="GD204" s="17"/>
      <c r="GE204" s="442"/>
      <c r="GF204" s="462"/>
      <c r="GG204" s="17"/>
      <c r="GH204" s="17"/>
      <c r="GI204" s="17"/>
      <c r="GJ204" s="17"/>
      <c r="GL204" s="17"/>
      <c r="GM204" s="442"/>
      <c r="GN204" s="8"/>
      <c r="GO204" s="8"/>
      <c r="GP204" s="8"/>
      <c r="GQ204" s="8"/>
      <c r="GS204" s="17"/>
      <c r="GT204" s="17"/>
      <c r="GU204" s="17"/>
      <c r="GV204" s="629"/>
      <c r="GW204" s="17"/>
      <c r="GX204" s="17"/>
      <c r="GY204" s="17"/>
      <c r="GZ204" s="17"/>
    </row>
    <row r="205" spans="1:208" ht="15.6" x14ac:dyDescent="0.3">
      <c r="A205" s="60" t="s">
        <v>29</v>
      </c>
      <c r="B205" s="218"/>
      <c r="C205" s="61" t="s">
        <v>19</v>
      </c>
      <c r="D205" s="61"/>
      <c r="E205" s="61"/>
      <c r="F205" s="61"/>
      <c r="G205" s="54"/>
      <c r="H205" s="204">
        <f>IF(StH=0,0,TBFavrundet)</f>
        <v>119.49999999999999</v>
      </c>
      <c r="I205" s="63">
        <f>COUNTA(O205:AG205)</f>
        <v>3</v>
      </c>
      <c r="J205" s="222">
        <f>SUM(O205:AG205)</f>
        <v>74.7</v>
      </c>
      <c r="K205" s="116">
        <f>Seilareal/Depl^0.667/K$7</f>
        <v>1.5988083821505181</v>
      </c>
      <c r="L205" s="116">
        <f t="shared" si="1797"/>
        <v>1.6140223279736416</v>
      </c>
      <c r="M205" s="92">
        <f t="shared" si="1798"/>
        <v>0.81740294511378853</v>
      </c>
      <c r="N205" s="242">
        <f t="shared" si="1799"/>
        <v>1.0022201417492413</v>
      </c>
      <c r="O205" s="143"/>
      <c r="P205" s="143"/>
      <c r="Q205" s="143"/>
      <c r="R205" s="165">
        <v>25.1</v>
      </c>
      <c r="S205" s="143"/>
      <c r="T205" s="143"/>
      <c r="U205" s="165">
        <v>12.4</v>
      </c>
      <c r="V205" s="559"/>
      <c r="W205" s="559"/>
      <c r="X205" s="165">
        <v>37.200000000000003</v>
      </c>
      <c r="Y205" s="143"/>
      <c r="Z205" s="143"/>
      <c r="AA205" s="143"/>
      <c r="AB205" s="143"/>
      <c r="AC205" s="143"/>
      <c r="AD205" s="143"/>
      <c r="AE205" s="143"/>
      <c r="AF205" s="143"/>
      <c r="AG205" s="551"/>
      <c r="AH205" s="557">
        <f t="shared" ref="AH205:AI205" si="1869">AH204</f>
        <v>0</v>
      </c>
      <c r="AI205" s="557">
        <f t="shared" si="1869"/>
        <v>8.5299999999999994</v>
      </c>
      <c r="AJ205" s="337">
        <f t="shared" si="1801"/>
        <v>0</v>
      </c>
      <c r="AK205" s="339"/>
      <c r="AL205" s="337">
        <f t="shared" si="1801"/>
        <v>0</v>
      </c>
      <c r="AM205" s="339"/>
      <c r="AN205" s="267" t="str">
        <f t="shared" ref="AN205" si="1870" xml:space="preserve"> AN204</f>
        <v>Lystb</v>
      </c>
      <c r="AO205" s="45">
        <f>VLOOKUP(AN205,Skrogform!$1:$1048576,3,FALSE)</f>
        <v>0.98</v>
      </c>
      <c r="AP205" s="64">
        <f t="shared" ref="AP205:AZ205" si="1871">AP204</f>
        <v>8.5299999999999994</v>
      </c>
      <c r="AQ205" s="64">
        <f t="shared" si="1871"/>
        <v>8.3800000000000008</v>
      </c>
      <c r="AR205" s="64">
        <f t="shared" si="1871"/>
        <v>2.86</v>
      </c>
      <c r="AS205" s="64">
        <f t="shared" si="1871"/>
        <v>1.8</v>
      </c>
      <c r="AT205" s="64">
        <f t="shared" ref="AT205" si="1872">AT204</f>
        <v>9.98</v>
      </c>
      <c r="AU205" s="64">
        <f t="shared" si="1871"/>
        <v>9</v>
      </c>
      <c r="AV205" s="64">
        <f t="shared" si="1871"/>
        <v>5</v>
      </c>
      <c r="AW205" s="64">
        <f t="shared" si="1871"/>
        <v>0.5</v>
      </c>
      <c r="AX205" s="256">
        <f t="shared" si="1805"/>
        <v>0</v>
      </c>
      <c r="AY205" s="256">
        <f t="shared" si="1871"/>
        <v>0</v>
      </c>
      <c r="AZ205" s="256">
        <f t="shared" si="1871"/>
        <v>0</v>
      </c>
      <c r="BA205" s="256">
        <f t="shared" ref="BA205:BB205" si="1873">BA204</f>
        <v>0</v>
      </c>
      <c r="BB205" s="256">
        <f t="shared" si="1873"/>
        <v>0</v>
      </c>
      <c r="BC205" s="256"/>
      <c r="BD205" s="66"/>
      <c r="BE205" s="66"/>
      <c r="BF205" s="261"/>
      <c r="BG205" s="66"/>
      <c r="BH205" s="175"/>
      <c r="BI205" s="66"/>
      <c r="BJ205" s="66"/>
      <c r="BK205" s="65" t="str">
        <f t="shared" ref="BK205:BM205" si="1874" xml:space="preserve"> BK204</f>
        <v>Seilrett</v>
      </c>
      <c r="BL205" s="267">
        <f t="shared" si="1874"/>
        <v>3</v>
      </c>
      <c r="BM205" s="267">
        <f t="shared" si="1874"/>
        <v>0</v>
      </c>
      <c r="BN205" s="45">
        <f t="shared" si="1723"/>
        <v>1</v>
      </c>
      <c r="BO205" s="59">
        <f t="shared" si="1868"/>
        <v>0</v>
      </c>
      <c r="BP205" s="59"/>
      <c r="BR205" s="49">
        <f t="shared" si="1808"/>
        <v>0</v>
      </c>
      <c r="BS205" s="49">
        <f t="shared" si="1809"/>
        <v>0</v>
      </c>
      <c r="BT205" s="49">
        <f t="shared" si="1810"/>
        <v>0</v>
      </c>
      <c r="BU205" s="49">
        <f t="shared" si="1811"/>
        <v>25.1</v>
      </c>
      <c r="BV205" s="49">
        <f t="shared" si="1812"/>
        <v>0</v>
      </c>
      <c r="BW205" s="49">
        <f t="shared" si="1813"/>
        <v>0</v>
      </c>
      <c r="BX205" s="49">
        <f t="shared" si="1814"/>
        <v>12.4</v>
      </c>
      <c r="BY205" s="549">
        <f t="shared" si="1815"/>
        <v>-6.2</v>
      </c>
      <c r="BZ205" s="85">
        <f t="shared" si="1816"/>
        <v>0</v>
      </c>
      <c r="CA205" s="85">
        <f t="shared" si="1817"/>
        <v>0</v>
      </c>
      <c r="CB205" s="85">
        <f t="shared" si="1818"/>
        <v>29.760000000000005</v>
      </c>
      <c r="CC205" s="85">
        <f t="shared" si="1819"/>
        <v>0</v>
      </c>
      <c r="CD205" s="85">
        <f t="shared" si="1820"/>
        <v>0</v>
      </c>
      <c r="CE205" s="85">
        <f t="shared" si="1821"/>
        <v>0</v>
      </c>
      <c r="CF205" s="85">
        <f t="shared" si="1822"/>
        <v>0</v>
      </c>
      <c r="CG205" s="85">
        <f t="shared" si="1823"/>
        <v>0</v>
      </c>
      <c r="CH205" s="85">
        <f t="shared" si="1824"/>
        <v>0</v>
      </c>
      <c r="CI205" s="85">
        <f t="shared" si="1825"/>
        <v>0</v>
      </c>
      <c r="CJ205" s="85">
        <f t="shared" si="1826"/>
        <v>0</v>
      </c>
      <c r="CK205" s="85">
        <f t="shared" si="1827"/>
        <v>0</v>
      </c>
      <c r="CL205" s="100">
        <f t="shared" si="1828"/>
        <v>61.06</v>
      </c>
      <c r="CM205" s="50"/>
      <c r="CN205" s="104">
        <f t="shared" si="1829"/>
        <v>74.7</v>
      </c>
      <c r="CO205" s="101">
        <f t="shared" si="1830"/>
        <v>0.81740294511378853</v>
      </c>
      <c r="CP205" s="51">
        <f t="shared" si="1831"/>
        <v>1.0637328336019956</v>
      </c>
      <c r="CQ205" s="116">
        <f t="shared" si="1832"/>
        <v>1.5988083821505181</v>
      </c>
      <c r="CR205" s="51">
        <f t="shared" si="1833"/>
        <v>1.6140223279736416</v>
      </c>
      <c r="CS205" s="204"/>
      <c r="CT205" s="204">
        <f t="shared" si="1834"/>
        <v>119.49999999999999</v>
      </c>
      <c r="CU205" s="107">
        <f t="shared" si="1041"/>
        <v>1.1964822962588291</v>
      </c>
      <c r="CV205" s="62">
        <f t="shared" si="523"/>
        <v>3.737480345016694</v>
      </c>
      <c r="CW205" s="62">
        <f t="shared" si="998"/>
        <v>1.719387596295177</v>
      </c>
      <c r="CX205" s="62">
        <f t="shared" si="524"/>
        <v>1.7014179278548895</v>
      </c>
      <c r="CY205" s="107">
        <f t="shared" si="999"/>
        <v>1.0022201417492413</v>
      </c>
      <c r="CZ205" s="168" t="str">
        <f t="shared" ref="CZ205:CZ238" si="1875">IF(DA205=0,"-",IF(CP205="TBF","-",CZ$7*DA205))</f>
        <v>-</v>
      </c>
      <c r="DA205" s="158"/>
      <c r="DB205" s="168" t="str">
        <f t="shared" ref="DB205:DB212" si="1876">IF(DC205=0,"-",IF(CT205="TBF","-",DB$7*DC205))</f>
        <v>-</v>
      </c>
      <c r="DC205" s="160"/>
      <c r="DD205" s="190" t="s">
        <v>134</v>
      </c>
      <c r="DE205" s="62">
        <v>0.88</v>
      </c>
      <c r="DF205" s="62">
        <v>0.87</v>
      </c>
      <c r="DG205" s="62">
        <v>0.93</v>
      </c>
      <c r="DH205" s="150">
        <v>0.91</v>
      </c>
      <c r="DI205" s="62">
        <f t="shared" si="542"/>
        <v>2.2101391924363338</v>
      </c>
      <c r="DJ205" s="47">
        <f t="shared" si="543"/>
        <v>14.705882352941178</v>
      </c>
      <c r="DK205" s="48">
        <f t="shared" si="1726"/>
        <v>0</v>
      </c>
      <c r="DM205" s="107">
        <f t="shared" si="1658"/>
        <v>1.1569691312404877</v>
      </c>
      <c r="DN205" s="141" t="str">
        <f t="shared" si="1791"/>
        <v>-</v>
      </c>
      <c r="DO205" s="107">
        <f t="shared" si="1727"/>
        <v>5.4838943841651604</v>
      </c>
      <c r="DP205" s="133">
        <f t="shared" si="1835"/>
        <v>3.7568977187029819</v>
      </c>
      <c r="DQ205" s="133">
        <f t="shared" si="1836"/>
        <v>0</v>
      </c>
      <c r="DR205" s="133">
        <f t="shared" si="1837"/>
        <v>0</v>
      </c>
      <c r="DS205" s="133">
        <f t="shared" si="1838"/>
        <v>1.7269966654621782</v>
      </c>
      <c r="DT205" s="107">
        <f t="shared" si="1839"/>
        <v>1.7014179278548895</v>
      </c>
      <c r="DU205" s="133">
        <f t="shared" si="1840"/>
        <v>2.2968452802704382</v>
      </c>
      <c r="DW205" s="107">
        <f t="shared" si="769"/>
        <v>1.2209003023049276</v>
      </c>
      <c r="DX205" s="107">
        <f t="shared" si="544"/>
        <v>1.2245747254143322</v>
      </c>
      <c r="DZ205" s="107">
        <f t="shared" si="545"/>
        <v>1.2032860096834548</v>
      </c>
      <c r="EA205" s="122" t="str">
        <f t="shared" si="1792"/>
        <v>-</v>
      </c>
      <c r="EB205" s="107">
        <f t="shared" si="1728"/>
        <v>1.204885229206442</v>
      </c>
      <c r="EC205" s="122" t="str">
        <f t="shared" si="1793"/>
        <v>-</v>
      </c>
      <c r="ED205" s="107">
        <f t="shared" si="67"/>
        <v>3.7566500844246304</v>
      </c>
      <c r="EE205" s="107">
        <f t="shared" si="68"/>
        <v>2.0310341765391291</v>
      </c>
      <c r="EF205" s="107">
        <f t="shared" si="1841"/>
        <v>1.5593528329588258</v>
      </c>
      <c r="EH205" s="107">
        <f t="shared" si="1729"/>
        <v>1.192213679440546</v>
      </c>
      <c r="EJ205" s="107">
        <f t="shared" si="69"/>
        <v>3.7566500844246304</v>
      </c>
      <c r="EK205" s="107">
        <f t="shared" si="1842"/>
        <v>2.0311637107626899</v>
      </c>
      <c r="EL205" s="107">
        <f t="shared" si="1843"/>
        <v>1.8081458776238697</v>
      </c>
      <c r="EM205" s="107">
        <f t="shared" si="1730"/>
        <v>1.1916521872400756</v>
      </c>
      <c r="EO205" s="107">
        <f t="shared" si="1844"/>
        <v>5.8579429515825598</v>
      </c>
      <c r="EP205" s="107">
        <f t="shared" si="70"/>
        <v>3.7566500844246304</v>
      </c>
      <c r="EQ205" s="107">
        <f t="shared" si="1845"/>
        <v>1.5593528329588258</v>
      </c>
      <c r="ER205" s="107">
        <f t="shared" si="1846"/>
        <v>1.7014179278548895</v>
      </c>
      <c r="ES205" s="107">
        <f t="shared" si="1666"/>
        <v>1.1760700387820224</v>
      </c>
      <c r="EU205" s="107">
        <f t="shared" si="1847"/>
        <v>1.9346555905332949</v>
      </c>
      <c r="EV205" s="107">
        <f t="shared" si="71"/>
        <v>3.7566500844246304</v>
      </c>
      <c r="EW205" s="107">
        <f t="shared" si="1848"/>
        <v>0.9963377397059312</v>
      </c>
      <c r="EX205" s="107">
        <f t="shared" si="1849"/>
        <v>1.7036974657315185</v>
      </c>
      <c r="EY205" s="107">
        <f t="shared" si="1667"/>
        <v>1.1083442523456106</v>
      </c>
      <c r="FA205" s="107">
        <f t="shared" si="1668"/>
        <v>1.9347193546762533</v>
      </c>
      <c r="FB205" s="107">
        <f t="shared" si="72"/>
        <v>3.7568977187029819</v>
      </c>
      <c r="FC205" s="107">
        <f t="shared" si="1850"/>
        <v>0.9963377397059312</v>
      </c>
      <c r="FD205" s="107">
        <f t="shared" si="1851"/>
        <v>1.7036974657315185</v>
      </c>
      <c r="FE205" s="107">
        <f t="shared" si="1669"/>
        <v>1.152718432493669</v>
      </c>
      <c r="FF205" s="141" t="str">
        <f t="shared" si="1794"/>
        <v>-</v>
      </c>
      <c r="FG205" s="107">
        <f t="shared" si="1671"/>
        <v>3.7294306320922868</v>
      </c>
      <c r="FH205" s="133">
        <f t="shared" si="1852"/>
        <v>3.7568977187029819</v>
      </c>
      <c r="FI205" s="133">
        <f t="shared" si="1853"/>
        <v>0.99268889156232398</v>
      </c>
      <c r="FJ205" s="107">
        <f t="shared" si="1854"/>
        <v>0.95805949060290141</v>
      </c>
      <c r="FK205" s="107">
        <f t="shared" si="1672"/>
        <v>1.1978785915894012</v>
      </c>
      <c r="FL205" s="141" t="str">
        <f t="shared" si="1795"/>
        <v>-</v>
      </c>
      <c r="FM205" s="107">
        <f t="shared" si="1674"/>
        <v>5.9163633386084209</v>
      </c>
      <c r="FN205" s="133">
        <f t="shared" si="1855"/>
        <v>3.7568977187029819</v>
      </c>
      <c r="FO205" s="133">
        <f t="shared" si="1856"/>
        <v>0.93246895444326017</v>
      </c>
      <c r="FP205" s="133">
        <f t="shared" si="1857"/>
        <v>1.7269966654621782</v>
      </c>
      <c r="FQ205" s="107">
        <f t="shared" si="1858"/>
        <v>1.7014179278548895</v>
      </c>
      <c r="FR205" s="107">
        <f t="shared" si="1675"/>
        <v>1.1420624739426746</v>
      </c>
      <c r="FS205" s="141" t="str">
        <f t="shared" si="1796"/>
        <v>-</v>
      </c>
      <c r="FT205" s="107">
        <f t="shared" si="1677"/>
        <v>6.488149832682514</v>
      </c>
      <c r="FU205" s="133">
        <f t="shared" si="1859"/>
        <v>3.7568977187029819</v>
      </c>
      <c r="FV205" s="133">
        <f t="shared" si="1860"/>
        <v>1.7269966654621782</v>
      </c>
      <c r="FW205" s="107">
        <f t="shared" si="1861"/>
        <v>1.7014179278548895</v>
      </c>
      <c r="FY205">
        <v>0.95</v>
      </c>
      <c r="FZ205" s="62">
        <f t="shared" si="1452"/>
        <v>1.1762361522088978</v>
      </c>
      <c r="GA205" s="62">
        <f t="shared" si="1378"/>
        <v>2.2968452802704382</v>
      </c>
      <c r="GB205" s="107">
        <f t="shared" si="525"/>
        <v>1.4583770777053591</v>
      </c>
      <c r="GC205" s="440"/>
      <c r="GD205" s="17"/>
      <c r="GE205" s="442"/>
      <c r="GF205" s="462"/>
      <c r="GG205" s="17"/>
      <c r="GH205" s="17"/>
      <c r="GI205" s="17"/>
      <c r="GJ205" s="17"/>
      <c r="GL205" s="17"/>
      <c r="GM205" s="442"/>
      <c r="GN205" s="8"/>
      <c r="GO205" s="8"/>
      <c r="GP205" s="8"/>
      <c r="GQ205" s="8"/>
      <c r="GS205" s="17"/>
      <c r="GT205" s="17"/>
      <c r="GU205" s="17"/>
      <c r="GV205" s="629"/>
      <c r="GW205" s="17"/>
      <c r="GX205" s="17"/>
      <c r="GY205" s="17"/>
      <c r="GZ205" s="17"/>
    </row>
    <row r="206" spans="1:208" ht="15.6" x14ac:dyDescent="0.3">
      <c r="A206" s="60" t="s">
        <v>110</v>
      </c>
      <c r="B206" s="218"/>
      <c r="C206" s="61" t="s">
        <v>19</v>
      </c>
      <c r="D206" s="61"/>
      <c r="E206" s="61"/>
      <c r="F206" s="61"/>
      <c r="G206" s="54"/>
      <c r="H206" s="204">
        <f t="shared" ref="H206:H212" si="1877">TBFavrundet</f>
        <v>115.00000000000001</v>
      </c>
      <c r="I206" s="63">
        <f t="shared" ref="I206:I212" si="1878">COUNTA(O206:AG206)</f>
        <v>3</v>
      </c>
      <c r="J206" s="222">
        <f t="shared" ref="J206:J212" si="1879">SUM(O206:AG206)</f>
        <v>68.2</v>
      </c>
      <c r="K206" s="116">
        <f t="shared" ref="K206:K212" si="1880">Seilareal/Depl^0.667/K$7</f>
        <v>1.459688509540366</v>
      </c>
      <c r="L206" s="116">
        <f t="shared" si="1797"/>
        <v>1.47357861804287</v>
      </c>
      <c r="M206" s="92">
        <f t="shared" si="1798"/>
        <v>0.8</v>
      </c>
      <c r="N206" s="242">
        <f t="shared" si="1799"/>
        <v>1.0022201417492413</v>
      </c>
      <c r="O206" s="143"/>
      <c r="P206" s="143"/>
      <c r="Q206" s="143"/>
      <c r="R206" s="143"/>
      <c r="S206" s="165">
        <v>18.600000000000001</v>
      </c>
      <c r="T206" s="143"/>
      <c r="U206" s="165">
        <v>12.4</v>
      </c>
      <c r="V206" s="559"/>
      <c r="W206" s="559"/>
      <c r="X206" s="165">
        <v>37.200000000000003</v>
      </c>
      <c r="Y206" s="143"/>
      <c r="Z206" s="143"/>
      <c r="AA206" s="143"/>
      <c r="AB206" s="143"/>
      <c r="AC206" s="143"/>
      <c r="AD206" s="143"/>
      <c r="AE206" s="143"/>
      <c r="AF206" s="143"/>
      <c r="AG206" s="551"/>
      <c r="AH206" s="557">
        <f t="shared" ref="AH206:AI206" si="1881">AH205</f>
        <v>0</v>
      </c>
      <c r="AI206" s="557">
        <f t="shared" si="1881"/>
        <v>8.5299999999999994</v>
      </c>
      <c r="AJ206" s="337">
        <f t="shared" si="1801"/>
        <v>0</v>
      </c>
      <c r="AK206" s="339"/>
      <c r="AL206" s="337">
        <f t="shared" si="1801"/>
        <v>0</v>
      </c>
      <c r="AM206" s="339"/>
      <c r="AN206" s="267" t="str">
        <f t="shared" ref="AN206" si="1882" xml:space="preserve"> AN205</f>
        <v>Lystb</v>
      </c>
      <c r="AO206" s="45">
        <f>VLOOKUP(AN206,Skrogform!$1:$1048576,3,FALSE)</f>
        <v>0.98</v>
      </c>
      <c r="AP206" s="64">
        <f t="shared" ref="AP206:AZ206" si="1883">AP205</f>
        <v>8.5299999999999994</v>
      </c>
      <c r="AQ206" s="64">
        <f t="shared" si="1883"/>
        <v>8.3800000000000008</v>
      </c>
      <c r="AR206" s="64">
        <f t="shared" si="1883"/>
        <v>2.86</v>
      </c>
      <c r="AS206" s="64">
        <f t="shared" si="1883"/>
        <v>1.8</v>
      </c>
      <c r="AT206" s="64">
        <f t="shared" ref="AT206" si="1884">AT205</f>
        <v>9.98</v>
      </c>
      <c r="AU206" s="64">
        <f t="shared" si="1883"/>
        <v>9</v>
      </c>
      <c r="AV206" s="64">
        <f t="shared" si="1883"/>
        <v>5</v>
      </c>
      <c r="AW206" s="64">
        <f t="shared" si="1883"/>
        <v>0.5</v>
      </c>
      <c r="AX206" s="256">
        <f t="shared" si="1805"/>
        <v>0</v>
      </c>
      <c r="AY206" s="256">
        <f t="shared" si="1883"/>
        <v>0</v>
      </c>
      <c r="AZ206" s="256">
        <f t="shared" si="1883"/>
        <v>0</v>
      </c>
      <c r="BA206" s="256">
        <f t="shared" ref="BA206:BB206" si="1885">BA205</f>
        <v>0</v>
      </c>
      <c r="BB206" s="256">
        <f t="shared" si="1885"/>
        <v>0</v>
      </c>
      <c r="BC206" s="256"/>
      <c r="BD206" s="66"/>
      <c r="BE206" s="66"/>
      <c r="BF206" s="261"/>
      <c r="BG206" s="66"/>
      <c r="BH206" s="175"/>
      <c r="BI206" s="66"/>
      <c r="BJ206" s="66"/>
      <c r="BK206" s="65" t="str">
        <f t="shared" ref="BK206:BM206" si="1886" xml:space="preserve"> BK205</f>
        <v>Seilrett</v>
      </c>
      <c r="BL206" s="267">
        <f t="shared" si="1886"/>
        <v>3</v>
      </c>
      <c r="BM206" s="267">
        <f t="shared" si="1886"/>
        <v>0</v>
      </c>
      <c r="BN206" s="45">
        <f t="shared" si="1723"/>
        <v>1</v>
      </c>
      <c r="BO206" s="59">
        <f t="shared" si="1868"/>
        <v>0</v>
      </c>
      <c r="BP206" s="59"/>
      <c r="BR206" s="49">
        <f t="shared" si="1808"/>
        <v>0</v>
      </c>
      <c r="BS206" s="49">
        <f t="shared" si="1809"/>
        <v>0</v>
      </c>
      <c r="BT206" s="49">
        <f t="shared" si="1810"/>
        <v>0</v>
      </c>
      <c r="BU206" s="49">
        <f t="shared" si="1811"/>
        <v>0</v>
      </c>
      <c r="BV206" s="49">
        <f t="shared" si="1812"/>
        <v>18.600000000000001</v>
      </c>
      <c r="BW206" s="49">
        <f t="shared" si="1813"/>
        <v>0</v>
      </c>
      <c r="BX206" s="49">
        <f t="shared" si="1814"/>
        <v>12.4</v>
      </c>
      <c r="BY206" s="549">
        <f t="shared" si="1815"/>
        <v>-6.2</v>
      </c>
      <c r="BZ206" s="85">
        <f t="shared" si="1816"/>
        <v>0</v>
      </c>
      <c r="CA206" s="85">
        <f t="shared" si="1817"/>
        <v>0</v>
      </c>
      <c r="CB206" s="85">
        <f t="shared" si="1818"/>
        <v>29.760000000000005</v>
      </c>
      <c r="CC206" s="85">
        <f t="shared" si="1819"/>
        <v>0</v>
      </c>
      <c r="CD206" s="85">
        <f t="shared" si="1820"/>
        <v>0</v>
      </c>
      <c r="CE206" s="85">
        <f t="shared" si="1821"/>
        <v>0</v>
      </c>
      <c r="CF206" s="85">
        <f t="shared" si="1822"/>
        <v>0</v>
      </c>
      <c r="CG206" s="85">
        <f t="shared" si="1823"/>
        <v>0</v>
      </c>
      <c r="CH206" s="85">
        <f t="shared" si="1824"/>
        <v>0</v>
      </c>
      <c r="CI206" s="85">
        <f t="shared" si="1825"/>
        <v>0</v>
      </c>
      <c r="CJ206" s="85">
        <f t="shared" si="1826"/>
        <v>0</v>
      </c>
      <c r="CK206" s="85">
        <f t="shared" si="1827"/>
        <v>0</v>
      </c>
      <c r="CL206" s="100">
        <f t="shared" si="1828"/>
        <v>54.56</v>
      </c>
      <c r="CM206" s="50"/>
      <c r="CN206" s="104">
        <f t="shared" si="1829"/>
        <v>68.2</v>
      </c>
      <c r="CO206" s="101">
        <f t="shared" ref="CO206" si="1887">CL206/CN206</f>
        <v>0.8</v>
      </c>
      <c r="CP206" s="51">
        <f t="shared" si="1831"/>
        <v>0.97117241300744461</v>
      </c>
      <c r="CQ206" s="116">
        <f t="shared" si="1832"/>
        <v>1.459688509540366</v>
      </c>
      <c r="CR206" s="51">
        <f t="shared" si="1833"/>
        <v>1.47357861804287</v>
      </c>
      <c r="CS206" s="204"/>
      <c r="CT206" s="204">
        <f t="shared" si="1834"/>
        <v>115.00000000000001</v>
      </c>
      <c r="CU206" s="107">
        <f t="shared" si="1041"/>
        <v>1.1516369887809399</v>
      </c>
      <c r="CV206" s="62">
        <f t="shared" si="523"/>
        <v>3.5329516850778515</v>
      </c>
      <c r="CW206" s="62">
        <f t="shared" si="998"/>
        <v>1.719387596295177</v>
      </c>
      <c r="CX206" s="62">
        <f t="shared" si="524"/>
        <v>1.7014179278548895</v>
      </c>
      <c r="CY206" s="107">
        <f t="shared" si="999"/>
        <v>1.0022201417492413</v>
      </c>
      <c r="CZ206" s="168" t="str">
        <f t="shared" si="1875"/>
        <v>-</v>
      </c>
      <c r="DA206" s="158"/>
      <c r="DB206" s="168" t="str">
        <f t="shared" si="1876"/>
        <v>-</v>
      </c>
      <c r="DC206" s="160"/>
      <c r="DD206" s="190" t="s">
        <v>134</v>
      </c>
      <c r="DE206" s="62">
        <v>0.84</v>
      </c>
      <c r="DF206" s="62">
        <v>0.85</v>
      </c>
      <c r="DG206" s="62">
        <v>0.89</v>
      </c>
      <c r="DH206" s="150">
        <v>0.87</v>
      </c>
      <c r="DI206" s="62">
        <f t="shared" si="542"/>
        <v>2.2101391924363338</v>
      </c>
      <c r="DJ206" s="47">
        <f t="shared" si="543"/>
        <v>14.705882352941178</v>
      </c>
      <c r="DK206" s="48">
        <f t="shared" si="1726"/>
        <v>0</v>
      </c>
      <c r="DM206" s="107">
        <f t="shared" si="1658"/>
        <v>1.1135943480617903</v>
      </c>
      <c r="DN206" s="141" t="str">
        <f t="shared" ref="DN206" si="1888">IF($DY206=0,"-",(DM206-$DW206)*100)</f>
        <v>-</v>
      </c>
      <c r="DO206" s="107">
        <f t="shared" si="1727"/>
        <v>5.2783031341782163</v>
      </c>
      <c r="DP206" s="133">
        <f t="shared" si="1835"/>
        <v>3.5513064687160383</v>
      </c>
      <c r="DQ206" s="133">
        <f t="shared" si="1836"/>
        <v>0</v>
      </c>
      <c r="DR206" s="133">
        <f t="shared" si="1837"/>
        <v>0</v>
      </c>
      <c r="DS206" s="133">
        <f t="shared" si="1838"/>
        <v>1.7269966654621782</v>
      </c>
      <c r="DT206" s="107">
        <f t="shared" si="1839"/>
        <v>1.7014179278548895</v>
      </c>
      <c r="DU206" s="133">
        <f t="shared" si="1840"/>
        <v>2.2968452802704382</v>
      </c>
      <c r="DW206" s="107">
        <f t="shared" si="769"/>
        <v>1.1751397844703471</v>
      </c>
      <c r="DX206" s="107">
        <f t="shared" si="544"/>
        <v>1.1709284492678871</v>
      </c>
      <c r="DZ206" s="107">
        <f t="shared" si="545"/>
        <v>1.1600678477823412</v>
      </c>
      <c r="EA206" s="122" t="str">
        <f t="shared" ref="EA206" si="1889">IF($DY206=0,"-",DZ206-$DW206)</f>
        <v>-</v>
      </c>
      <c r="EB206" s="107">
        <f t="shared" si="1728"/>
        <v>1.1542658808068911</v>
      </c>
      <c r="EC206" s="122" t="str">
        <f t="shared" ref="EC206" si="1890">IF($DY206=0,"-",EB206-$DW206)</f>
        <v>-</v>
      </c>
      <c r="ED206" s="107">
        <f t="shared" si="67"/>
        <v>3.5510723858954685</v>
      </c>
      <c r="EE206" s="107">
        <f t="shared" si="68"/>
        <v>2.0310341765391291</v>
      </c>
      <c r="EF206" s="107">
        <f t="shared" si="1841"/>
        <v>1.5593528329588258</v>
      </c>
      <c r="EH206" s="107">
        <f t="shared" si="1729"/>
        <v>1.1467449349304821</v>
      </c>
      <c r="EJ206" s="107">
        <f t="shared" si="69"/>
        <v>3.5510723858954685</v>
      </c>
      <c r="EK206" s="107">
        <f t="shared" si="1842"/>
        <v>2.0311637107626899</v>
      </c>
      <c r="EL206" s="107">
        <f t="shared" si="1843"/>
        <v>1.8081458776238697</v>
      </c>
      <c r="EM206" s="107">
        <f t="shared" si="1730"/>
        <v>1.1430382230975813</v>
      </c>
      <c r="EO206" s="107">
        <f t="shared" si="1844"/>
        <v>5.5373747849879553</v>
      </c>
      <c r="EP206" s="107">
        <f t="shared" si="70"/>
        <v>3.5510723858954685</v>
      </c>
      <c r="EQ206" s="107">
        <f t="shared" si="1845"/>
        <v>1.5593528329588258</v>
      </c>
      <c r="ER206" s="107">
        <f t="shared" si="1846"/>
        <v>1.7014179278548895</v>
      </c>
      <c r="ES206" s="107">
        <f t="shared" si="1666"/>
        <v>1.13206506411199</v>
      </c>
      <c r="EU206" s="107">
        <f t="shared" si="1847"/>
        <v>1.8809751286221834</v>
      </c>
      <c r="EV206" s="107">
        <f t="shared" si="71"/>
        <v>3.5510723858954685</v>
      </c>
      <c r="EW206" s="107">
        <f t="shared" si="1848"/>
        <v>0.9963377397059312</v>
      </c>
      <c r="EX206" s="107">
        <f t="shared" si="1849"/>
        <v>1.7036974657315185</v>
      </c>
      <c r="EY206" s="107">
        <f t="shared" si="1667"/>
        <v>1.0775912688618488</v>
      </c>
      <c r="FA206" s="107">
        <f t="shared" si="1668"/>
        <v>1.8810371235155328</v>
      </c>
      <c r="FB206" s="107">
        <f t="shared" si="72"/>
        <v>3.5513064687160383</v>
      </c>
      <c r="FC206" s="107">
        <f t="shared" si="1850"/>
        <v>0.9963377397059312</v>
      </c>
      <c r="FD206" s="107">
        <f t="shared" si="1851"/>
        <v>1.7036974657315185</v>
      </c>
      <c r="FE206" s="107">
        <f t="shared" si="1669"/>
        <v>1.1116574287850132</v>
      </c>
      <c r="FF206" s="141" t="str">
        <f t="shared" ref="FF206" si="1891">IF($DY206=0,"-",(FE206-$DW206)*100)</f>
        <v>-</v>
      </c>
      <c r="FG206" s="107">
        <f t="shared" si="1671"/>
        <v>3.5253424820278352</v>
      </c>
      <c r="FH206" s="133">
        <f t="shared" si="1852"/>
        <v>3.5513064687160383</v>
      </c>
      <c r="FI206" s="133">
        <f t="shared" si="1853"/>
        <v>0.99268889156232398</v>
      </c>
      <c r="FJ206" s="107">
        <f t="shared" si="1854"/>
        <v>0.95805949060290141</v>
      </c>
      <c r="FK206" s="107">
        <f t="shared" si="1672"/>
        <v>1.1459211911454981</v>
      </c>
      <c r="FL206" s="141" t="str">
        <f t="shared" ref="FL206" si="1892">IF($DY206=0,"-",(FK206-$DW206)*100)</f>
        <v>-</v>
      </c>
      <c r="FM206" s="107">
        <f t="shared" si="1674"/>
        <v>5.6597439605562307</v>
      </c>
      <c r="FN206" s="133">
        <f t="shared" si="1855"/>
        <v>3.5513064687160383</v>
      </c>
      <c r="FO206" s="133">
        <f t="shared" si="1856"/>
        <v>0.88144082637801369</v>
      </c>
      <c r="FP206" s="133">
        <f t="shared" si="1857"/>
        <v>1.7269966654621782</v>
      </c>
      <c r="FQ206" s="107">
        <f t="shared" si="1858"/>
        <v>1.7014179278548895</v>
      </c>
      <c r="FR206" s="107">
        <f t="shared" si="1675"/>
        <v>1.1034002257286073</v>
      </c>
      <c r="FS206" s="141" t="str">
        <f t="shared" ref="FS206" si="1893">IF($DY206=0,"-",(FR206-$DW206)*100)</f>
        <v>-</v>
      </c>
      <c r="FT206" s="107">
        <f t="shared" si="1677"/>
        <v>6.1330944295068619</v>
      </c>
      <c r="FU206" s="133">
        <f t="shared" si="1859"/>
        <v>3.5513064687160383</v>
      </c>
      <c r="FV206" s="133">
        <f t="shared" si="1860"/>
        <v>1.7269966654621782</v>
      </c>
      <c r="FW206" s="107">
        <f t="shared" si="1861"/>
        <v>1.7014179278548895</v>
      </c>
      <c r="FY206">
        <v>0.95</v>
      </c>
      <c r="FZ206" s="62">
        <f t="shared" si="1452"/>
        <v>1.1451575257877513</v>
      </c>
      <c r="GA206" s="62">
        <f t="shared" si="1378"/>
        <v>2.2968452802704382</v>
      </c>
      <c r="GB206" s="107">
        <f t="shared" si="525"/>
        <v>1.4312739157433576</v>
      </c>
      <c r="GC206" s="440"/>
      <c r="GD206" s="17"/>
      <c r="GE206" s="442"/>
      <c r="GF206" s="462"/>
      <c r="GG206" s="17"/>
      <c r="GH206" s="17"/>
      <c r="GI206" s="17"/>
      <c r="GJ206" s="17"/>
      <c r="GL206" s="17"/>
      <c r="GM206" s="442"/>
      <c r="GN206" s="8"/>
      <c r="GO206" s="8"/>
      <c r="GP206" s="8"/>
      <c r="GQ206" s="8"/>
      <c r="GS206" s="17"/>
      <c r="GT206" s="17"/>
      <c r="GU206" s="17"/>
      <c r="GV206" s="629"/>
      <c r="GW206" s="17"/>
      <c r="GX206" s="17"/>
      <c r="GY206" s="17"/>
      <c r="GZ206" s="17"/>
    </row>
    <row r="207" spans="1:208" ht="15.6" x14ac:dyDescent="0.3">
      <c r="A207" s="60" t="s">
        <v>33</v>
      </c>
      <c r="B207" s="218"/>
      <c r="C207" s="61" t="s">
        <v>19</v>
      </c>
      <c r="D207" s="61"/>
      <c r="E207" s="61"/>
      <c r="F207" s="61"/>
      <c r="G207" s="54"/>
      <c r="H207" s="204">
        <f t="shared" si="1877"/>
        <v>106</v>
      </c>
      <c r="I207" s="63">
        <f t="shared" si="1878"/>
        <v>2</v>
      </c>
      <c r="J207" s="222">
        <f t="shared" si="1879"/>
        <v>49.6</v>
      </c>
      <c r="K207" s="116">
        <f t="shared" si="1880"/>
        <v>1.0615916433020842</v>
      </c>
      <c r="L207" s="116">
        <f t="shared" si="1797"/>
        <v>1.0716935403948145</v>
      </c>
      <c r="M207" s="92">
        <f t="shared" si="1798"/>
        <v>0.85000000000000009</v>
      </c>
      <c r="N207" s="242">
        <f t="shared" si="1799"/>
        <v>1.0022201417492413</v>
      </c>
      <c r="O207" s="143"/>
      <c r="P207" s="143"/>
      <c r="Q207" s="143"/>
      <c r="R207" s="143"/>
      <c r="S207" s="143"/>
      <c r="T207" s="143"/>
      <c r="U207" s="165">
        <v>12.4</v>
      </c>
      <c r="V207" s="559"/>
      <c r="W207" s="559"/>
      <c r="X207" s="165">
        <v>37.200000000000003</v>
      </c>
      <c r="Y207" s="143"/>
      <c r="Z207" s="143"/>
      <c r="AA207" s="143"/>
      <c r="AB207" s="143"/>
      <c r="AC207" s="143"/>
      <c r="AD207" s="143"/>
      <c r="AE207" s="143"/>
      <c r="AF207" s="143"/>
      <c r="AG207" s="551"/>
      <c r="AH207" s="557">
        <f t="shared" ref="AH207:AI212" si="1894">AH206</f>
        <v>0</v>
      </c>
      <c r="AI207" s="557">
        <f t="shared" si="1894"/>
        <v>8.5299999999999994</v>
      </c>
      <c r="AJ207" s="337">
        <f t="shared" si="1801"/>
        <v>0</v>
      </c>
      <c r="AK207" s="339"/>
      <c r="AL207" s="337">
        <f t="shared" si="1801"/>
        <v>0</v>
      </c>
      <c r="AM207" s="339"/>
      <c r="AN207" s="267" t="str">
        <f t="shared" ref="AN207" si="1895" xml:space="preserve"> AN206</f>
        <v>Lystb</v>
      </c>
      <c r="AO207" s="45">
        <f>VLOOKUP(AN207,Skrogform!$1:$1048576,3,FALSE)</f>
        <v>0.98</v>
      </c>
      <c r="AP207" s="64">
        <f t="shared" ref="AP207:AZ207" si="1896">AP206</f>
        <v>8.5299999999999994</v>
      </c>
      <c r="AQ207" s="64">
        <f t="shared" si="1896"/>
        <v>8.3800000000000008</v>
      </c>
      <c r="AR207" s="64">
        <f t="shared" si="1896"/>
        <v>2.86</v>
      </c>
      <c r="AS207" s="64">
        <f t="shared" si="1896"/>
        <v>1.8</v>
      </c>
      <c r="AT207" s="64">
        <f t="shared" ref="AT207" si="1897">AT206</f>
        <v>9.98</v>
      </c>
      <c r="AU207" s="64">
        <f t="shared" si="1896"/>
        <v>9</v>
      </c>
      <c r="AV207" s="64">
        <f t="shared" si="1896"/>
        <v>5</v>
      </c>
      <c r="AW207" s="64">
        <f t="shared" si="1896"/>
        <v>0.5</v>
      </c>
      <c r="AX207" s="256">
        <f t="shared" si="1805"/>
        <v>0</v>
      </c>
      <c r="AY207" s="256">
        <f t="shared" si="1896"/>
        <v>0</v>
      </c>
      <c r="AZ207" s="256">
        <f t="shared" si="1896"/>
        <v>0</v>
      </c>
      <c r="BA207" s="256">
        <f t="shared" ref="BA207:BB207" si="1898">BA206</f>
        <v>0</v>
      </c>
      <c r="BB207" s="256">
        <f t="shared" si="1898"/>
        <v>0</v>
      </c>
      <c r="BC207" s="256"/>
      <c r="BD207" s="66"/>
      <c r="BE207" s="66"/>
      <c r="BF207" s="261"/>
      <c r="BG207" s="66"/>
      <c r="BH207" s="175"/>
      <c r="BI207" s="66"/>
      <c r="BJ207" s="66"/>
      <c r="BK207" s="65" t="str">
        <f t="shared" ref="BK207:BM207" si="1899" xml:space="preserve"> BK206</f>
        <v>Seilrett</v>
      </c>
      <c r="BL207" s="267">
        <f t="shared" si="1899"/>
        <v>3</v>
      </c>
      <c r="BM207" s="267">
        <f t="shared" si="1899"/>
        <v>0</v>
      </c>
      <c r="BN207" s="45">
        <f t="shared" si="1723"/>
        <v>1</v>
      </c>
      <c r="BO207" s="59">
        <f t="shared" si="1868"/>
        <v>0</v>
      </c>
      <c r="BP207" s="59"/>
      <c r="BR207" s="49">
        <f t="shared" si="1808"/>
        <v>0</v>
      </c>
      <c r="BS207" s="49">
        <f t="shared" si="1809"/>
        <v>0</v>
      </c>
      <c r="BT207" s="49">
        <f t="shared" si="1810"/>
        <v>0</v>
      </c>
      <c r="BU207" s="49">
        <f t="shared" si="1811"/>
        <v>0</v>
      </c>
      <c r="BV207" s="49">
        <f t="shared" si="1812"/>
        <v>0</v>
      </c>
      <c r="BW207" s="49">
        <f t="shared" si="1813"/>
        <v>0</v>
      </c>
      <c r="BX207" s="49">
        <f t="shared" si="1814"/>
        <v>12.4</v>
      </c>
      <c r="BY207" s="549">
        <f t="shared" si="1815"/>
        <v>0</v>
      </c>
      <c r="BZ207" s="85">
        <f t="shared" si="1816"/>
        <v>0</v>
      </c>
      <c r="CA207" s="85">
        <f t="shared" si="1817"/>
        <v>0</v>
      </c>
      <c r="CB207" s="85">
        <f t="shared" si="1818"/>
        <v>29.760000000000005</v>
      </c>
      <c r="CC207" s="85">
        <f t="shared" si="1819"/>
        <v>0</v>
      </c>
      <c r="CD207" s="85">
        <f t="shared" si="1820"/>
        <v>0</v>
      </c>
      <c r="CE207" s="85">
        <f t="shared" si="1821"/>
        <v>0</v>
      </c>
      <c r="CF207" s="85">
        <f t="shared" si="1822"/>
        <v>0</v>
      </c>
      <c r="CG207" s="85">
        <f t="shared" si="1823"/>
        <v>0</v>
      </c>
      <c r="CH207" s="85">
        <f t="shared" si="1824"/>
        <v>0</v>
      </c>
      <c r="CI207" s="85">
        <f t="shared" si="1825"/>
        <v>0</v>
      </c>
      <c r="CJ207" s="85">
        <f t="shared" si="1826"/>
        <v>0</v>
      </c>
      <c r="CK207" s="85">
        <f t="shared" si="1827"/>
        <v>0</v>
      </c>
      <c r="CL207" s="100">
        <f t="shared" si="1828"/>
        <v>42.160000000000004</v>
      </c>
      <c r="CM207" s="50"/>
      <c r="CN207" s="104">
        <f t="shared" si="1829"/>
        <v>49.6</v>
      </c>
      <c r="CO207" s="101">
        <f>CL207/CN207</f>
        <v>0.85000000000000009</v>
      </c>
      <c r="CP207" s="51">
        <f t="shared" si="1831"/>
        <v>0.70630720945995962</v>
      </c>
      <c r="CQ207" s="116">
        <f t="shared" si="1832"/>
        <v>1.0615916433020842</v>
      </c>
      <c r="CR207" s="51">
        <f t="shared" si="1833"/>
        <v>1.0716935403948145</v>
      </c>
      <c r="CS207" s="204"/>
      <c r="CT207" s="204">
        <f t="shared" si="1834"/>
        <v>106</v>
      </c>
      <c r="CU207" s="107">
        <f t="shared" si="1041"/>
        <v>1.0579434305209974</v>
      </c>
      <c r="CV207" s="62">
        <f t="shared" si="523"/>
        <v>3.1056379036915582</v>
      </c>
      <c r="CW207" s="62">
        <f t="shared" si="998"/>
        <v>1.719387596295177</v>
      </c>
      <c r="CX207" s="62">
        <f t="shared" si="524"/>
        <v>1.7014179278548895</v>
      </c>
      <c r="CY207" s="107">
        <f t="shared" si="999"/>
        <v>1.0022201417492413</v>
      </c>
      <c r="CZ207" s="168" t="str">
        <f t="shared" si="1875"/>
        <v>-</v>
      </c>
      <c r="DA207" s="158"/>
      <c r="DB207" s="168" t="str">
        <f t="shared" si="1876"/>
        <v>-</v>
      </c>
      <c r="DC207" s="160"/>
      <c r="DD207" s="190" t="s">
        <v>134</v>
      </c>
      <c r="DE207" s="62">
        <v>0.74</v>
      </c>
      <c r="DF207" s="62">
        <v>0.79</v>
      </c>
      <c r="DG207" s="62">
        <v>0.79</v>
      </c>
      <c r="DH207" s="150">
        <v>0.87</v>
      </c>
      <c r="DI207" s="62">
        <f t="shared" si="542"/>
        <v>2.2101391924363338</v>
      </c>
      <c r="DJ207" s="47">
        <f t="shared" si="543"/>
        <v>14.705882352941178</v>
      </c>
      <c r="DK207" s="48">
        <f t="shared" si="1726"/>
        <v>0</v>
      </c>
      <c r="DM207" s="107">
        <f t="shared" si="1658"/>
        <v>1.0229730990767241</v>
      </c>
      <c r="DN207" s="141" t="str">
        <f t="shared" si="1791"/>
        <v>-</v>
      </c>
      <c r="DO207" s="107">
        <f t="shared" si="1727"/>
        <v>4.8487693246958443</v>
      </c>
      <c r="DP207" s="133">
        <f t="shared" si="1835"/>
        <v>3.1217726592336663</v>
      </c>
      <c r="DQ207" s="133">
        <f t="shared" si="1836"/>
        <v>0</v>
      </c>
      <c r="DR207" s="133">
        <f t="shared" si="1837"/>
        <v>0</v>
      </c>
      <c r="DS207" s="133">
        <f t="shared" si="1838"/>
        <v>1.7269966654621782</v>
      </c>
      <c r="DT207" s="107">
        <f t="shared" si="1839"/>
        <v>1.7014179278548895</v>
      </c>
      <c r="DU207" s="133">
        <f t="shared" si="1840"/>
        <v>2.2968452802704382</v>
      </c>
      <c r="DW207" s="107">
        <f t="shared" si="769"/>
        <v>1.0795341127765281</v>
      </c>
      <c r="DX207" s="107">
        <f t="shared" si="544"/>
        <v>1.0588473691674973</v>
      </c>
      <c r="DZ207" s="107">
        <f t="shared" si="545"/>
        <v>1.0697738215463501</v>
      </c>
      <c r="EA207" s="122" t="str">
        <f t="shared" si="1792"/>
        <v>-</v>
      </c>
      <c r="EB207" s="107">
        <f t="shared" si="1728"/>
        <v>1.0485088432240399</v>
      </c>
      <c r="EC207" s="122" t="str">
        <f t="shared" si="1793"/>
        <v>-</v>
      </c>
      <c r="ED207" s="107">
        <f t="shared" si="67"/>
        <v>3.1215668889472417</v>
      </c>
      <c r="EE207" s="107">
        <f t="shared" si="68"/>
        <v>2.0310341765391291</v>
      </c>
      <c r="EF207" s="107">
        <f t="shared" si="1841"/>
        <v>1.5593528329588258</v>
      </c>
      <c r="EH207" s="107">
        <f t="shared" si="1729"/>
        <v>1.0517488539054933</v>
      </c>
      <c r="EJ207" s="107">
        <f t="shared" si="69"/>
        <v>3.1215668889472417</v>
      </c>
      <c r="EK207" s="107">
        <f t="shared" si="1842"/>
        <v>2.0311637107626899</v>
      </c>
      <c r="EL207" s="107">
        <f t="shared" si="1843"/>
        <v>1.8081458776238697</v>
      </c>
      <c r="EM207" s="107">
        <f t="shared" si="1730"/>
        <v>1.0414709569153331</v>
      </c>
      <c r="EO207" s="107">
        <f t="shared" si="1844"/>
        <v>4.8676241715503492</v>
      </c>
      <c r="EP207" s="107">
        <f t="shared" si="70"/>
        <v>3.1215668889472417</v>
      </c>
      <c r="EQ207" s="107">
        <f t="shared" si="1845"/>
        <v>1.5593528329588258</v>
      </c>
      <c r="ER207" s="107">
        <f t="shared" si="1846"/>
        <v>1.7014179278548895</v>
      </c>
      <c r="ES207" s="107">
        <f t="shared" si="1666"/>
        <v>1.0358110165072758</v>
      </c>
      <c r="EU207" s="107">
        <f t="shared" si="1847"/>
        <v>1.7635574553936626</v>
      </c>
      <c r="EV207" s="107">
        <f t="shared" si="71"/>
        <v>3.1215668889472417</v>
      </c>
      <c r="EW207" s="107">
        <f t="shared" si="1848"/>
        <v>0.9963377397059312</v>
      </c>
      <c r="EX207" s="107">
        <f t="shared" si="1849"/>
        <v>1.7036974657315185</v>
      </c>
      <c r="EY207" s="107">
        <f t="shared" si="1667"/>
        <v>1.0103238937882562</v>
      </c>
      <c r="FA207" s="107">
        <f t="shared" si="1668"/>
        <v>1.7636155803282769</v>
      </c>
      <c r="FB207" s="107">
        <f t="shared" si="72"/>
        <v>3.1217726592336663</v>
      </c>
      <c r="FC207" s="107">
        <f t="shared" si="1850"/>
        <v>0.9963377397059312</v>
      </c>
      <c r="FD207" s="107">
        <f t="shared" si="1851"/>
        <v>1.7036974657315185</v>
      </c>
      <c r="FE207" s="107">
        <f t="shared" si="1669"/>
        <v>1.0258702693350426</v>
      </c>
      <c r="FF207" s="141" t="str">
        <f t="shared" si="1794"/>
        <v>-</v>
      </c>
      <c r="FG207" s="107">
        <f t="shared" si="1671"/>
        <v>3.0989490408042366</v>
      </c>
      <c r="FH207" s="133">
        <f t="shared" si="1852"/>
        <v>3.1217726592336663</v>
      </c>
      <c r="FI207" s="133">
        <f t="shared" si="1853"/>
        <v>0.99268889156232398</v>
      </c>
      <c r="FJ207" s="107">
        <f t="shared" si="1854"/>
        <v>0.95805949060290141</v>
      </c>
      <c r="FK207" s="107">
        <f t="shared" si="1672"/>
        <v>1.037368613422039</v>
      </c>
      <c r="FL207" s="141" t="str">
        <f t="shared" si="1795"/>
        <v>-</v>
      </c>
      <c r="FM207" s="107">
        <f t="shared" si="1674"/>
        <v>5.1235990660203283</v>
      </c>
      <c r="FN207" s="133">
        <f t="shared" si="1855"/>
        <v>3.1217726592336663</v>
      </c>
      <c r="FO207" s="133">
        <f t="shared" si="1856"/>
        <v>0.77482974132448335</v>
      </c>
      <c r="FP207" s="133">
        <f t="shared" si="1857"/>
        <v>1.7269966654621782</v>
      </c>
      <c r="FQ207" s="107">
        <f t="shared" si="1858"/>
        <v>1.7014179278548895</v>
      </c>
      <c r="FR207" s="107">
        <f t="shared" si="1675"/>
        <v>1.0226246929197158</v>
      </c>
      <c r="FS207" s="141" t="str">
        <f t="shared" si="1796"/>
        <v>-</v>
      </c>
      <c r="FT207" s="107">
        <f t="shared" si="1677"/>
        <v>5.3912909728275382</v>
      </c>
      <c r="FU207" s="133">
        <f t="shared" si="1859"/>
        <v>3.1217726592336663</v>
      </c>
      <c r="FV207" s="133">
        <f t="shared" si="1860"/>
        <v>1.7269966654621782</v>
      </c>
      <c r="FW207" s="107">
        <f t="shared" si="1861"/>
        <v>1.7014179278548895</v>
      </c>
      <c r="FY207">
        <v>0.95</v>
      </c>
      <c r="FZ207" s="62">
        <f t="shared" si="1452"/>
        <v>1.0802261592971922</v>
      </c>
      <c r="GA207" s="62">
        <f t="shared" si="1378"/>
        <v>2.2968452802704382</v>
      </c>
      <c r="GB207" s="107">
        <f t="shared" si="525"/>
        <v>1.3710726362335712</v>
      </c>
      <c r="GC207" s="440"/>
      <c r="GD207" s="17"/>
      <c r="GE207" s="442"/>
      <c r="GF207" s="462"/>
      <c r="GG207" s="17"/>
      <c r="GH207" s="17"/>
      <c r="GI207" s="17"/>
      <c r="GJ207" s="17"/>
      <c r="GL207" s="17"/>
      <c r="GM207" s="442"/>
      <c r="GN207" s="8"/>
      <c r="GO207" s="8"/>
      <c r="GP207" s="8"/>
      <c r="GQ207" s="8"/>
      <c r="GS207" s="17"/>
      <c r="GT207" s="17"/>
      <c r="GU207" s="17"/>
      <c r="GV207" s="629"/>
      <c r="GW207" s="17"/>
      <c r="GX207" s="17"/>
      <c r="GY207" s="17"/>
      <c r="GZ207" s="17"/>
    </row>
    <row r="208" spans="1:208" ht="15.6" x14ac:dyDescent="0.3">
      <c r="A208" s="60" t="s">
        <v>114</v>
      </c>
      <c r="B208" s="218"/>
      <c r="C208" s="61" t="s">
        <v>19</v>
      </c>
      <c r="D208" s="61"/>
      <c r="E208" s="61"/>
      <c r="F208" s="61"/>
      <c r="G208" s="54"/>
      <c r="H208" s="204">
        <f t="shared" si="1877"/>
        <v>111.00000000000001</v>
      </c>
      <c r="I208" s="63">
        <f t="shared" si="1878"/>
        <v>3</v>
      </c>
      <c r="J208" s="222">
        <f t="shared" si="1879"/>
        <v>62</v>
      </c>
      <c r="K208" s="116">
        <f t="shared" si="1880"/>
        <v>1.3269895541276053</v>
      </c>
      <c r="L208" s="116">
        <f t="shared" si="1797"/>
        <v>1.3396169254935182</v>
      </c>
      <c r="M208" s="92">
        <f t="shared" si="1798"/>
        <v>0.79</v>
      </c>
      <c r="N208" s="242">
        <f t="shared" si="1799"/>
        <v>1.0022201417492413</v>
      </c>
      <c r="O208" s="143"/>
      <c r="P208" s="143"/>
      <c r="Q208" s="143"/>
      <c r="R208" s="143"/>
      <c r="S208" s="165">
        <v>18.600000000000001</v>
      </c>
      <c r="T208" s="143"/>
      <c r="U208" s="165">
        <v>12.4</v>
      </c>
      <c r="V208" s="559"/>
      <c r="W208" s="559"/>
      <c r="X208" s="143"/>
      <c r="Y208" s="180">
        <f>Y$202</f>
        <v>31.000000000000004</v>
      </c>
      <c r="Z208" s="143"/>
      <c r="AA208" s="143"/>
      <c r="AB208" s="143"/>
      <c r="AC208" s="143"/>
      <c r="AD208" s="143"/>
      <c r="AE208" s="143"/>
      <c r="AF208" s="143"/>
      <c r="AG208" s="551"/>
      <c r="AH208" s="557">
        <f t="shared" si="1894"/>
        <v>0</v>
      </c>
      <c r="AI208" s="557">
        <f t="shared" si="1894"/>
        <v>8.5299999999999994</v>
      </c>
      <c r="AJ208" s="337">
        <f t="shared" si="1801"/>
        <v>0</v>
      </c>
      <c r="AK208" s="339"/>
      <c r="AL208" s="337">
        <f t="shared" si="1801"/>
        <v>0</v>
      </c>
      <c r="AM208" s="339"/>
      <c r="AN208" s="267" t="str">
        <f t="shared" ref="AN208" si="1900" xml:space="preserve"> AN207</f>
        <v>Lystb</v>
      </c>
      <c r="AO208" s="45">
        <f>VLOOKUP(AN208,Skrogform!$1:$1048576,3,FALSE)</f>
        <v>0.98</v>
      </c>
      <c r="AP208" s="64">
        <f t="shared" ref="AP208:AZ208" si="1901">AP207</f>
        <v>8.5299999999999994</v>
      </c>
      <c r="AQ208" s="64">
        <f t="shared" si="1901"/>
        <v>8.3800000000000008</v>
      </c>
      <c r="AR208" s="64">
        <f t="shared" si="1901"/>
        <v>2.86</v>
      </c>
      <c r="AS208" s="64">
        <f t="shared" si="1901"/>
        <v>1.8</v>
      </c>
      <c r="AT208" s="64">
        <f t="shared" ref="AT208" si="1902">AT207</f>
        <v>9.98</v>
      </c>
      <c r="AU208" s="64">
        <f t="shared" si="1901"/>
        <v>9</v>
      </c>
      <c r="AV208" s="64">
        <f t="shared" si="1901"/>
        <v>5</v>
      </c>
      <c r="AW208" s="64">
        <f t="shared" si="1901"/>
        <v>0.5</v>
      </c>
      <c r="AX208" s="256">
        <f t="shared" si="1805"/>
        <v>0</v>
      </c>
      <c r="AY208" s="256">
        <f t="shared" si="1901"/>
        <v>0</v>
      </c>
      <c r="AZ208" s="256">
        <f t="shared" si="1901"/>
        <v>0</v>
      </c>
      <c r="BA208" s="256">
        <f t="shared" ref="BA208:BB208" si="1903">BA207</f>
        <v>0</v>
      </c>
      <c r="BB208" s="256">
        <f t="shared" si="1903"/>
        <v>0</v>
      </c>
      <c r="BC208" s="256"/>
      <c r="BD208" s="66"/>
      <c r="BE208" s="66"/>
      <c r="BF208" s="261"/>
      <c r="BG208" s="66"/>
      <c r="BH208" s="175"/>
      <c r="BI208" s="66"/>
      <c r="BJ208" s="66"/>
      <c r="BK208" s="65" t="str">
        <f t="shared" ref="BK208:BM208" si="1904" xml:space="preserve"> BK207</f>
        <v>Seilrett</v>
      </c>
      <c r="BL208" s="267">
        <f t="shared" si="1904"/>
        <v>3</v>
      </c>
      <c r="BM208" s="267">
        <f t="shared" si="1904"/>
        <v>0</v>
      </c>
      <c r="BN208" s="45">
        <f t="shared" si="1723"/>
        <v>1</v>
      </c>
      <c r="BO208" s="59">
        <f t="shared" si="1868"/>
        <v>0</v>
      </c>
      <c r="BP208" s="59"/>
      <c r="BR208" s="49">
        <f t="shared" si="1808"/>
        <v>0</v>
      </c>
      <c r="BS208" s="49">
        <f t="shared" si="1809"/>
        <v>0</v>
      </c>
      <c r="BT208" s="49">
        <f t="shared" si="1810"/>
        <v>0</v>
      </c>
      <c r="BU208" s="49">
        <f t="shared" si="1811"/>
        <v>0</v>
      </c>
      <c r="BV208" s="49">
        <f t="shared" si="1812"/>
        <v>18.600000000000001</v>
      </c>
      <c r="BW208" s="49">
        <f t="shared" si="1813"/>
        <v>0</v>
      </c>
      <c r="BX208" s="49">
        <f t="shared" si="1814"/>
        <v>12.4</v>
      </c>
      <c r="BY208" s="549">
        <f t="shared" si="1815"/>
        <v>-6.2</v>
      </c>
      <c r="BZ208" s="85">
        <f t="shared" si="1816"/>
        <v>0</v>
      </c>
      <c r="CA208" s="85">
        <f t="shared" si="1817"/>
        <v>0</v>
      </c>
      <c r="CB208" s="85">
        <f t="shared" si="1818"/>
        <v>0</v>
      </c>
      <c r="CC208" s="85">
        <f t="shared" si="1819"/>
        <v>24.180000000000003</v>
      </c>
      <c r="CD208" s="85">
        <f t="shared" si="1820"/>
        <v>0</v>
      </c>
      <c r="CE208" s="85">
        <f t="shared" si="1821"/>
        <v>0</v>
      </c>
      <c r="CF208" s="85">
        <f t="shared" si="1822"/>
        <v>0</v>
      </c>
      <c r="CG208" s="85">
        <f t="shared" si="1823"/>
        <v>0</v>
      </c>
      <c r="CH208" s="85">
        <f t="shared" si="1824"/>
        <v>0</v>
      </c>
      <c r="CI208" s="85">
        <f t="shared" si="1825"/>
        <v>0</v>
      </c>
      <c r="CJ208" s="85">
        <f t="shared" si="1826"/>
        <v>0</v>
      </c>
      <c r="CK208" s="85">
        <f t="shared" si="1827"/>
        <v>0</v>
      </c>
      <c r="CL208" s="100">
        <f t="shared" si="1828"/>
        <v>48.980000000000004</v>
      </c>
      <c r="CM208" s="50"/>
      <c r="CN208" s="104">
        <f t="shared" si="1829"/>
        <v>62</v>
      </c>
      <c r="CO208" s="101">
        <f t="shared" si="1830"/>
        <v>0.79</v>
      </c>
      <c r="CP208" s="51">
        <f t="shared" si="1831"/>
        <v>0.88288401182494958</v>
      </c>
      <c r="CQ208" s="116">
        <f t="shared" si="1832"/>
        <v>1.3269895541276053</v>
      </c>
      <c r="CR208" s="51">
        <f t="shared" si="1833"/>
        <v>1.3396169254935182</v>
      </c>
      <c r="CS208" s="204"/>
      <c r="CT208" s="204">
        <f t="shared" si="1834"/>
        <v>111.00000000000001</v>
      </c>
      <c r="CU208" s="107">
        <f t="shared" si="1041"/>
        <v>1.1109564859437189</v>
      </c>
      <c r="CV208" s="62">
        <f t="shared" si="523"/>
        <v>3.3474176972679253</v>
      </c>
      <c r="CW208" s="62">
        <f t="shared" si="998"/>
        <v>1.719387596295177</v>
      </c>
      <c r="CX208" s="62">
        <f t="shared" si="524"/>
        <v>1.7014179278548895</v>
      </c>
      <c r="CY208" s="107">
        <f t="shared" si="999"/>
        <v>1.0022201417492413</v>
      </c>
      <c r="CZ208" s="168" t="str">
        <f t="shared" si="1875"/>
        <v>-</v>
      </c>
      <c r="DA208" s="158"/>
      <c r="DB208" s="168" t="str">
        <f t="shared" si="1876"/>
        <v>-</v>
      </c>
      <c r="DC208" s="160"/>
      <c r="DD208" s="190" t="s">
        <v>134</v>
      </c>
      <c r="DE208" s="62">
        <v>0.81</v>
      </c>
      <c r="DF208" s="62">
        <v>0.83</v>
      </c>
      <c r="DG208" s="62">
        <v>0.86</v>
      </c>
      <c r="DH208" s="150">
        <v>0.84</v>
      </c>
      <c r="DI208" s="62">
        <f t="shared" si="542"/>
        <v>2.2101391924363338</v>
      </c>
      <c r="DJ208" s="47">
        <f t="shared" si="543"/>
        <v>14.705882352941178</v>
      </c>
      <c r="DK208" s="48">
        <f t="shared" si="1726"/>
        <v>0</v>
      </c>
      <c r="DM208" s="107">
        <f t="shared" si="1658"/>
        <v>1.0742478012456083</v>
      </c>
      <c r="DN208" s="141" t="str">
        <f t="shared" si="1791"/>
        <v>-</v>
      </c>
      <c r="DO208" s="107">
        <f t="shared" si="1727"/>
        <v>5.0918052395540068</v>
      </c>
      <c r="DP208" s="133">
        <f t="shared" si="1835"/>
        <v>3.3648085740918283</v>
      </c>
      <c r="DQ208" s="133">
        <f t="shared" si="1836"/>
        <v>0</v>
      </c>
      <c r="DR208" s="133">
        <f t="shared" si="1837"/>
        <v>0</v>
      </c>
      <c r="DS208" s="133">
        <f t="shared" si="1838"/>
        <v>1.7269966654621782</v>
      </c>
      <c r="DT208" s="107">
        <f t="shared" si="1839"/>
        <v>1.7014179278548895</v>
      </c>
      <c r="DU208" s="133">
        <f t="shared" si="1840"/>
        <v>2.2968452802704382</v>
      </c>
      <c r="DW208" s="107">
        <f t="shared" si="769"/>
        <v>1.1336290672895089</v>
      </c>
      <c r="DX208" s="107">
        <f t="shared" si="544"/>
        <v>1.1222643278309272</v>
      </c>
      <c r="DZ208" s="107">
        <f t="shared" si="545"/>
        <v>1.120863376752578</v>
      </c>
      <c r="EA208" s="122" t="str">
        <f t="shared" si="1792"/>
        <v>-</v>
      </c>
      <c r="EB208" s="107">
        <f t="shared" si="1728"/>
        <v>1.1083475749239065</v>
      </c>
      <c r="EC208" s="122" t="str">
        <f t="shared" si="1793"/>
        <v>-</v>
      </c>
      <c r="ED208" s="107">
        <f t="shared" si="67"/>
        <v>3.3645867841988304</v>
      </c>
      <c r="EE208" s="107">
        <f t="shared" si="68"/>
        <v>2.0310341765391291</v>
      </c>
      <c r="EF208" s="107">
        <f t="shared" si="1841"/>
        <v>1.5593528329588258</v>
      </c>
      <c r="EH208" s="107">
        <f t="shared" si="1729"/>
        <v>1.1054988939493045</v>
      </c>
      <c r="EJ208" s="107">
        <f t="shared" si="69"/>
        <v>3.3645867841988304</v>
      </c>
      <c r="EK208" s="107">
        <f t="shared" si="1842"/>
        <v>2.0311637107626899</v>
      </c>
      <c r="EL208" s="107">
        <f t="shared" si="1843"/>
        <v>1.8081458776238697</v>
      </c>
      <c r="EM208" s="107">
        <f t="shared" si="1730"/>
        <v>1.0989390604995244</v>
      </c>
      <c r="EO208" s="107">
        <f t="shared" si="1844"/>
        <v>5.2465779336762717</v>
      </c>
      <c r="EP208" s="107">
        <f t="shared" si="70"/>
        <v>3.3645867841988304</v>
      </c>
      <c r="EQ208" s="107">
        <f t="shared" si="1845"/>
        <v>1.5593528329588258</v>
      </c>
      <c r="ER208" s="107">
        <f t="shared" si="1846"/>
        <v>1.7014179278548895</v>
      </c>
      <c r="ES208" s="107">
        <f t="shared" si="1666"/>
        <v>1.0910312558685507</v>
      </c>
      <c r="EU208" s="107">
        <f t="shared" si="1847"/>
        <v>1.8309191111605969</v>
      </c>
      <c r="EV208" s="107">
        <f t="shared" si="71"/>
        <v>3.3645867841988304</v>
      </c>
      <c r="EW208" s="107">
        <f t="shared" si="1848"/>
        <v>0.9963377397059312</v>
      </c>
      <c r="EX208" s="107">
        <f t="shared" si="1849"/>
        <v>1.7036974657315185</v>
      </c>
      <c r="EY208" s="107">
        <f t="shared" si="1667"/>
        <v>1.0489146922554835</v>
      </c>
      <c r="FA208" s="107">
        <f t="shared" si="1668"/>
        <v>1.830979456262082</v>
      </c>
      <c r="FB208" s="107">
        <f t="shared" si="72"/>
        <v>3.3648085740918283</v>
      </c>
      <c r="FC208" s="107">
        <f t="shared" si="1850"/>
        <v>0.9963377397059312</v>
      </c>
      <c r="FD208" s="107">
        <f t="shared" si="1851"/>
        <v>1.7036974657315185</v>
      </c>
      <c r="FE208" s="107">
        <f t="shared" si="1669"/>
        <v>1.074409779659345</v>
      </c>
      <c r="FF208" s="141" t="str">
        <f t="shared" si="1794"/>
        <v>-</v>
      </c>
      <c r="FG208" s="107">
        <f t="shared" si="1671"/>
        <v>3.340208093734621</v>
      </c>
      <c r="FH208" s="133">
        <f t="shared" si="1852"/>
        <v>3.3648085740918283</v>
      </c>
      <c r="FI208" s="133">
        <f t="shared" si="1853"/>
        <v>0.99268889156232398</v>
      </c>
      <c r="FJ208" s="107">
        <f t="shared" si="1854"/>
        <v>0.95805949060290141</v>
      </c>
      <c r="FK208" s="107">
        <f t="shared" si="1672"/>
        <v>1.0987890987361648</v>
      </c>
      <c r="FL208" s="141" t="str">
        <f t="shared" si="1795"/>
        <v>-</v>
      </c>
      <c r="FM208" s="107">
        <f t="shared" si="1674"/>
        <v>5.4269569439417245</v>
      </c>
      <c r="FN208" s="133">
        <f t="shared" si="1855"/>
        <v>3.3648085740918283</v>
      </c>
      <c r="FO208" s="133">
        <f t="shared" si="1856"/>
        <v>0.83515170438771791</v>
      </c>
      <c r="FP208" s="133">
        <f t="shared" si="1857"/>
        <v>1.7269966654621782</v>
      </c>
      <c r="FQ208" s="107">
        <f t="shared" si="1858"/>
        <v>1.7014179278548895</v>
      </c>
      <c r="FR208" s="107">
        <f t="shared" si="1675"/>
        <v>1.0683285585549309</v>
      </c>
      <c r="FS208" s="141" t="str">
        <f t="shared" si="1796"/>
        <v>-</v>
      </c>
      <c r="FT208" s="107">
        <f t="shared" si="1677"/>
        <v>5.8110131873751341</v>
      </c>
      <c r="FU208" s="133">
        <f t="shared" si="1859"/>
        <v>3.3648085740918283</v>
      </c>
      <c r="FV208" s="133">
        <f t="shared" si="1860"/>
        <v>1.7269966654621782</v>
      </c>
      <c r="FW208" s="107">
        <f t="shared" si="1861"/>
        <v>1.7014179278548895</v>
      </c>
      <c r="FY208">
        <v>0.95</v>
      </c>
      <c r="FZ208" s="62">
        <f t="shared" si="1452"/>
        <v>1.116965185910815</v>
      </c>
      <c r="GA208" s="62">
        <f t="shared" si="1378"/>
        <v>2.2968452802704382</v>
      </c>
      <c r="GB208" s="107">
        <f t="shared" si="525"/>
        <v>1.4057674820322694</v>
      </c>
      <c r="GC208" s="440"/>
      <c r="GD208" s="17"/>
      <c r="GE208" s="442"/>
      <c r="GF208" s="462"/>
      <c r="GG208" s="17"/>
      <c r="GH208" s="17"/>
      <c r="GI208" s="17"/>
      <c r="GJ208" s="17"/>
      <c r="GL208" s="17"/>
      <c r="GM208" s="442"/>
      <c r="GN208" s="8"/>
      <c r="GO208" s="8"/>
      <c r="GP208" s="8"/>
      <c r="GQ208" s="8"/>
      <c r="GS208" s="17"/>
      <c r="GT208" s="17"/>
      <c r="GU208" s="17"/>
      <c r="GV208" s="629"/>
      <c r="GW208" s="17"/>
      <c r="GX208" s="17"/>
      <c r="GY208" s="17"/>
      <c r="GZ208" s="17"/>
    </row>
    <row r="209" spans="1:208" ht="15.6" x14ac:dyDescent="0.3">
      <c r="A209" s="60" t="s">
        <v>113</v>
      </c>
      <c r="B209" s="218"/>
      <c r="C209" s="61" t="s">
        <v>19</v>
      </c>
      <c r="D209" s="61"/>
      <c r="E209" s="61"/>
      <c r="F209" s="61"/>
      <c r="G209" s="54"/>
      <c r="H209" s="204">
        <f t="shared" si="1877"/>
        <v>105.5</v>
      </c>
      <c r="I209" s="63">
        <f t="shared" si="1878"/>
        <v>3</v>
      </c>
      <c r="J209" s="222">
        <f t="shared" si="1879"/>
        <v>54.400000000000006</v>
      </c>
      <c r="K209" s="116">
        <f t="shared" si="1880"/>
        <v>1.1643263184603505</v>
      </c>
      <c r="L209" s="116">
        <f t="shared" si="1797"/>
        <v>1.1754058184975384</v>
      </c>
      <c r="M209" s="92">
        <f t="shared" si="1798"/>
        <v>0.7735294117647058</v>
      </c>
      <c r="N209" s="242">
        <f t="shared" si="1799"/>
        <v>1.0022201417492413</v>
      </c>
      <c r="O209" s="143"/>
      <c r="P209" s="143"/>
      <c r="Q209" s="143"/>
      <c r="R209" s="143"/>
      <c r="S209" s="143"/>
      <c r="T209" s="165">
        <v>11</v>
      </c>
      <c r="U209" s="165">
        <v>12.4</v>
      </c>
      <c r="V209" s="559"/>
      <c r="W209" s="559"/>
      <c r="X209" s="143"/>
      <c r="Y209" s="180">
        <f>Y$202</f>
        <v>31.000000000000004</v>
      </c>
      <c r="Z209" s="143"/>
      <c r="AA209" s="143"/>
      <c r="AB209" s="143"/>
      <c r="AC209" s="143"/>
      <c r="AD209" s="143"/>
      <c r="AE209" s="143"/>
      <c r="AF209" s="143"/>
      <c r="AG209" s="551"/>
      <c r="AH209" s="557">
        <f t="shared" si="1894"/>
        <v>0</v>
      </c>
      <c r="AI209" s="557">
        <f t="shared" si="1894"/>
        <v>8.5299999999999994</v>
      </c>
      <c r="AJ209" s="337">
        <f t="shared" si="1801"/>
        <v>0</v>
      </c>
      <c r="AK209" s="339"/>
      <c r="AL209" s="337">
        <f t="shared" si="1801"/>
        <v>0</v>
      </c>
      <c r="AM209" s="339"/>
      <c r="AN209" s="267" t="str">
        <f t="shared" ref="AN209" si="1905" xml:space="preserve"> AN208</f>
        <v>Lystb</v>
      </c>
      <c r="AO209" s="45">
        <f>VLOOKUP(AN209,Skrogform!$1:$1048576,3,FALSE)</f>
        <v>0.98</v>
      </c>
      <c r="AP209" s="64">
        <f t="shared" ref="AP209:AZ209" si="1906">AP208</f>
        <v>8.5299999999999994</v>
      </c>
      <c r="AQ209" s="64">
        <f t="shared" si="1906"/>
        <v>8.3800000000000008</v>
      </c>
      <c r="AR209" s="64">
        <f t="shared" si="1906"/>
        <v>2.86</v>
      </c>
      <c r="AS209" s="64">
        <f t="shared" si="1906"/>
        <v>1.8</v>
      </c>
      <c r="AT209" s="64">
        <f t="shared" ref="AT209" si="1907">AT208</f>
        <v>9.98</v>
      </c>
      <c r="AU209" s="64">
        <f t="shared" si="1906"/>
        <v>9</v>
      </c>
      <c r="AV209" s="64">
        <f t="shared" si="1906"/>
        <v>5</v>
      </c>
      <c r="AW209" s="64">
        <f t="shared" si="1906"/>
        <v>0.5</v>
      </c>
      <c r="AX209" s="256">
        <f t="shared" si="1805"/>
        <v>0</v>
      </c>
      <c r="AY209" s="256">
        <f t="shared" si="1906"/>
        <v>0</v>
      </c>
      <c r="AZ209" s="256">
        <f t="shared" si="1906"/>
        <v>0</v>
      </c>
      <c r="BA209" s="256">
        <f t="shared" ref="BA209:BB209" si="1908">BA208</f>
        <v>0</v>
      </c>
      <c r="BB209" s="256">
        <f t="shared" si="1908"/>
        <v>0</v>
      </c>
      <c r="BC209" s="256"/>
      <c r="BD209" s="66"/>
      <c r="BE209" s="66"/>
      <c r="BF209" s="261"/>
      <c r="BG209" s="66"/>
      <c r="BH209" s="175"/>
      <c r="BI209" s="66"/>
      <c r="BJ209" s="66"/>
      <c r="BK209" s="65" t="str">
        <f t="shared" ref="BK209:BM209" si="1909" xml:space="preserve"> BK208</f>
        <v>Seilrett</v>
      </c>
      <c r="BL209" s="267">
        <f t="shared" si="1909"/>
        <v>3</v>
      </c>
      <c r="BM209" s="267">
        <f t="shared" si="1909"/>
        <v>0</v>
      </c>
      <c r="BN209" s="45">
        <f t="shared" si="1723"/>
        <v>1</v>
      </c>
      <c r="BO209" s="59">
        <f t="shared" si="1868"/>
        <v>0</v>
      </c>
      <c r="BP209" s="59"/>
      <c r="BR209" s="49">
        <f t="shared" si="1808"/>
        <v>0</v>
      </c>
      <c r="BS209" s="49">
        <f t="shared" si="1809"/>
        <v>0</v>
      </c>
      <c r="BT209" s="49">
        <f t="shared" si="1810"/>
        <v>0</v>
      </c>
      <c r="BU209" s="49">
        <f t="shared" si="1811"/>
        <v>0</v>
      </c>
      <c r="BV209" s="49">
        <f t="shared" si="1812"/>
        <v>0</v>
      </c>
      <c r="BW209" s="49">
        <f t="shared" si="1813"/>
        <v>11</v>
      </c>
      <c r="BX209" s="49">
        <f t="shared" si="1814"/>
        <v>12.4</v>
      </c>
      <c r="BY209" s="549">
        <f t="shared" si="1815"/>
        <v>-5.5</v>
      </c>
      <c r="BZ209" s="85">
        <f t="shared" si="1816"/>
        <v>0</v>
      </c>
      <c r="CA209" s="85">
        <f t="shared" si="1817"/>
        <v>0</v>
      </c>
      <c r="CB209" s="85">
        <f t="shared" si="1818"/>
        <v>0</v>
      </c>
      <c r="CC209" s="85">
        <f t="shared" si="1819"/>
        <v>24.180000000000003</v>
      </c>
      <c r="CD209" s="85">
        <f t="shared" si="1820"/>
        <v>0</v>
      </c>
      <c r="CE209" s="85">
        <f t="shared" si="1821"/>
        <v>0</v>
      </c>
      <c r="CF209" s="85">
        <f t="shared" si="1822"/>
        <v>0</v>
      </c>
      <c r="CG209" s="85">
        <f t="shared" si="1823"/>
        <v>0</v>
      </c>
      <c r="CH209" s="85">
        <f t="shared" si="1824"/>
        <v>0</v>
      </c>
      <c r="CI209" s="85">
        <f t="shared" si="1825"/>
        <v>0</v>
      </c>
      <c r="CJ209" s="85">
        <f t="shared" si="1826"/>
        <v>0</v>
      </c>
      <c r="CK209" s="85">
        <f t="shared" si="1827"/>
        <v>0</v>
      </c>
      <c r="CL209" s="100">
        <f t="shared" si="1828"/>
        <v>42.08</v>
      </c>
      <c r="CM209" s="50"/>
      <c r="CN209" s="104">
        <f t="shared" si="1829"/>
        <v>54.400000000000006</v>
      </c>
      <c r="CO209" s="101">
        <f t="shared" si="1830"/>
        <v>0.7735294117647058</v>
      </c>
      <c r="CP209" s="51">
        <f t="shared" si="1831"/>
        <v>0.77465952005285899</v>
      </c>
      <c r="CQ209" s="116">
        <f t="shared" si="1832"/>
        <v>1.1643263184603505</v>
      </c>
      <c r="CR209" s="51">
        <f t="shared" si="1833"/>
        <v>1.1754058184975384</v>
      </c>
      <c r="CS209" s="204"/>
      <c r="CT209" s="204">
        <f t="shared" si="1834"/>
        <v>105.5</v>
      </c>
      <c r="CU209" s="107">
        <f t="shared" si="1041"/>
        <v>1.0572970634703185</v>
      </c>
      <c r="CV209" s="62">
        <f t="shared" si="523"/>
        <v>3.1026899790559828</v>
      </c>
      <c r="CW209" s="62">
        <f t="shared" si="998"/>
        <v>1.719387596295177</v>
      </c>
      <c r="CX209" s="62">
        <f t="shared" si="524"/>
        <v>1.7014179278548895</v>
      </c>
      <c r="CY209" s="107">
        <f t="shared" si="999"/>
        <v>1.0022201417492413</v>
      </c>
      <c r="CZ209" s="168" t="str">
        <f t="shared" si="1875"/>
        <v>-</v>
      </c>
      <c r="DA209" s="158"/>
      <c r="DB209" s="168" t="str">
        <f t="shared" si="1876"/>
        <v>-</v>
      </c>
      <c r="DC209" s="160"/>
      <c r="DD209" s="190" t="s">
        <v>134</v>
      </c>
      <c r="DE209" s="62">
        <v>0.76</v>
      </c>
      <c r="DF209" s="62">
        <v>0.8</v>
      </c>
      <c r="DG209" s="62">
        <v>0.81</v>
      </c>
      <c r="DH209" s="150">
        <v>0.79</v>
      </c>
      <c r="DI209" s="62">
        <f t="shared" si="542"/>
        <v>2.2101391924363338</v>
      </c>
      <c r="DJ209" s="47">
        <f t="shared" si="543"/>
        <v>14.705882352941178</v>
      </c>
      <c r="DK209" s="48">
        <f t="shared" si="1726"/>
        <v>0</v>
      </c>
      <c r="DM209" s="107">
        <f t="shared" si="1658"/>
        <v>1.0223479270742604</v>
      </c>
      <c r="DN209" s="141" t="str">
        <f t="shared" si="1791"/>
        <v>-</v>
      </c>
      <c r="DO209" s="107">
        <f t="shared" si="1727"/>
        <v>4.8458060846742432</v>
      </c>
      <c r="DP209" s="133">
        <f t="shared" si="1835"/>
        <v>3.1188094192120648</v>
      </c>
      <c r="DQ209" s="133">
        <f t="shared" si="1836"/>
        <v>0</v>
      </c>
      <c r="DR209" s="133">
        <f t="shared" si="1837"/>
        <v>0</v>
      </c>
      <c r="DS209" s="133">
        <f t="shared" si="1838"/>
        <v>1.7269966654621782</v>
      </c>
      <c r="DT209" s="107">
        <f t="shared" si="1839"/>
        <v>1.7014179278548895</v>
      </c>
      <c r="DU209" s="133">
        <f t="shared" si="1840"/>
        <v>2.2968452802704382</v>
      </c>
      <c r="DW209" s="107">
        <f t="shared" si="769"/>
        <v>1.0788745545615492</v>
      </c>
      <c r="DX209" s="107">
        <f t="shared" si="544"/>
        <v>1.0580741514722056</v>
      </c>
      <c r="DZ209" s="107">
        <f t="shared" si="545"/>
        <v>1.0691509069669916</v>
      </c>
      <c r="EA209" s="122" t="str">
        <f t="shared" si="1792"/>
        <v>-</v>
      </c>
      <c r="EB209" s="107">
        <f t="shared" si="1728"/>
        <v>1.0477792534236254</v>
      </c>
      <c r="EC209" s="122" t="str">
        <f t="shared" si="1793"/>
        <v>-</v>
      </c>
      <c r="ED209" s="107">
        <f t="shared" si="67"/>
        <v>3.1186038442463166</v>
      </c>
      <c r="EE209" s="107">
        <f t="shared" si="68"/>
        <v>2.0310341765391291</v>
      </c>
      <c r="EF209" s="107">
        <f t="shared" si="1841"/>
        <v>1.5593528329588258</v>
      </c>
      <c r="EH209" s="107">
        <f t="shared" si="1729"/>
        <v>1.0510935010951341</v>
      </c>
      <c r="EJ209" s="107">
        <f t="shared" si="69"/>
        <v>3.1186038442463166</v>
      </c>
      <c r="EK209" s="107">
        <f t="shared" si="1842"/>
        <v>2.0311637107626899</v>
      </c>
      <c r="EL209" s="107">
        <f t="shared" si="1843"/>
        <v>1.8081458776238697</v>
      </c>
      <c r="EM209" s="107">
        <f t="shared" si="1730"/>
        <v>1.0407702712384628</v>
      </c>
      <c r="EO209" s="107">
        <f t="shared" si="1844"/>
        <v>4.8630037394017789</v>
      </c>
      <c r="EP209" s="107">
        <f t="shared" si="70"/>
        <v>3.1186038442463166</v>
      </c>
      <c r="EQ209" s="107">
        <f t="shared" si="1845"/>
        <v>1.5593528329588258</v>
      </c>
      <c r="ER209" s="107">
        <f t="shared" si="1846"/>
        <v>1.7014179278548895</v>
      </c>
      <c r="ES209" s="107">
        <f t="shared" si="1666"/>
        <v>1.0351247168164111</v>
      </c>
      <c r="EU209" s="107">
        <f t="shared" si="1847"/>
        <v>1.7627202572202441</v>
      </c>
      <c r="EV209" s="107">
        <f t="shared" si="71"/>
        <v>3.1186038442463166</v>
      </c>
      <c r="EW209" s="107">
        <f t="shared" si="1848"/>
        <v>0.9963377397059312</v>
      </c>
      <c r="EX209" s="107">
        <f t="shared" si="1849"/>
        <v>1.7036974657315185</v>
      </c>
      <c r="EY209" s="107">
        <f t="shared" si="1667"/>
        <v>1.0098442715815319</v>
      </c>
      <c r="FA209" s="107">
        <f t="shared" si="1668"/>
        <v>1.7627783545617175</v>
      </c>
      <c r="FB209" s="107">
        <f t="shared" si="72"/>
        <v>3.1188094192120648</v>
      </c>
      <c r="FC209" s="107">
        <f t="shared" si="1850"/>
        <v>0.9963377397059312</v>
      </c>
      <c r="FD209" s="107">
        <f t="shared" si="1851"/>
        <v>1.7036974657315185</v>
      </c>
      <c r="FE209" s="107">
        <f t="shared" si="1669"/>
        <v>1.0252784464363329</v>
      </c>
      <c r="FF209" s="141" t="str">
        <f t="shared" si="1794"/>
        <v>-</v>
      </c>
      <c r="FG209" s="107">
        <f t="shared" si="1671"/>
        <v>3.09600746535176</v>
      </c>
      <c r="FH209" s="133">
        <f t="shared" si="1852"/>
        <v>3.1188094192120648</v>
      </c>
      <c r="FI209" s="133">
        <f t="shared" si="1853"/>
        <v>0.99268889156232398</v>
      </c>
      <c r="FJ209" s="107">
        <f t="shared" si="1854"/>
        <v>0.95805949060290141</v>
      </c>
      <c r="FK209" s="107">
        <f t="shared" si="1672"/>
        <v>1.0366197379303848</v>
      </c>
      <c r="FL209" s="141" t="str">
        <f t="shared" si="1795"/>
        <v>-</v>
      </c>
      <c r="FM209" s="107">
        <f t="shared" si="1674"/>
        <v>5.1199003443509428</v>
      </c>
      <c r="FN209" s="133">
        <f t="shared" si="1855"/>
        <v>3.1188094192120648</v>
      </c>
      <c r="FO209" s="133">
        <f t="shared" si="1856"/>
        <v>0.77409425967669943</v>
      </c>
      <c r="FP209" s="133">
        <f t="shared" si="1857"/>
        <v>1.7269966654621782</v>
      </c>
      <c r="FQ209" s="107">
        <f t="shared" si="1858"/>
        <v>1.7014179278548895</v>
      </c>
      <c r="FR209" s="107">
        <f t="shared" si="1675"/>
        <v>1.0220674439062472</v>
      </c>
      <c r="FS209" s="141" t="str">
        <f t="shared" si="1796"/>
        <v>-</v>
      </c>
      <c r="FT209" s="107">
        <f t="shared" si="1677"/>
        <v>5.3861734671912682</v>
      </c>
      <c r="FU209" s="133">
        <f t="shared" si="1859"/>
        <v>3.1188094192120648</v>
      </c>
      <c r="FV209" s="133">
        <f t="shared" si="1860"/>
        <v>1.7269966654621782</v>
      </c>
      <c r="FW209" s="107">
        <f t="shared" si="1861"/>
        <v>1.7014179278548895</v>
      </c>
      <c r="FY209">
        <v>0.95</v>
      </c>
      <c r="FZ209" s="62">
        <f t="shared" si="1452"/>
        <v>1.079778214992007</v>
      </c>
      <c r="GA209" s="62">
        <f t="shared" si="1378"/>
        <v>2.2968452802704382</v>
      </c>
      <c r="GB209" s="107">
        <f t="shared" si="525"/>
        <v>1.3706386836977598</v>
      </c>
      <c r="GC209" s="440"/>
      <c r="GD209" s="17"/>
      <c r="GE209" s="442"/>
      <c r="GF209" s="462"/>
      <c r="GG209" s="17"/>
      <c r="GH209" s="17"/>
      <c r="GI209" s="17"/>
      <c r="GJ209" s="17"/>
      <c r="GL209" s="17"/>
      <c r="GM209" s="442"/>
      <c r="GN209" s="8"/>
      <c r="GO209" s="8"/>
      <c r="GP209" s="8"/>
      <c r="GQ209" s="8"/>
      <c r="GS209" s="17"/>
      <c r="GT209" s="17"/>
      <c r="GU209" s="17"/>
      <c r="GV209" s="629"/>
      <c r="GW209" s="17"/>
      <c r="GX209" s="17"/>
      <c r="GY209" s="17"/>
      <c r="GZ209" s="17"/>
    </row>
    <row r="210" spans="1:208" ht="15.6" x14ac:dyDescent="0.3">
      <c r="A210" s="60" t="s">
        <v>35</v>
      </c>
      <c r="B210" s="218"/>
      <c r="C210" s="61" t="s">
        <v>19</v>
      </c>
      <c r="D210" s="61"/>
      <c r="E210" s="61"/>
      <c r="F210" s="61"/>
      <c r="G210" s="54"/>
      <c r="H210" s="204">
        <f t="shared" si="1877"/>
        <v>101</v>
      </c>
      <c r="I210" s="63">
        <f t="shared" ref="I210:I211" si="1910">COUNTA(O210:AG210)</f>
        <v>2</v>
      </c>
      <c r="J210" s="222">
        <f t="shared" ref="J210:J211" si="1911">SUM(O210:AG210)</f>
        <v>43.400000000000006</v>
      </c>
      <c r="K210" s="116">
        <f t="shared" si="1880"/>
        <v>0.92889268788932378</v>
      </c>
      <c r="L210" s="116">
        <f t="shared" si="1797"/>
        <v>0.9377318478454626</v>
      </c>
      <c r="M210" s="92">
        <f t="shared" si="1798"/>
        <v>0.84285714285714286</v>
      </c>
      <c r="N210" s="242">
        <f t="shared" si="1799"/>
        <v>1.0022201417492413</v>
      </c>
      <c r="O210" s="143"/>
      <c r="P210" s="143"/>
      <c r="Q210" s="143"/>
      <c r="R210" s="143"/>
      <c r="S210" s="143"/>
      <c r="T210" s="143"/>
      <c r="U210" s="165">
        <v>12.4</v>
      </c>
      <c r="V210" s="559"/>
      <c r="W210" s="559"/>
      <c r="X210" s="143"/>
      <c r="Y210" s="180">
        <f>Y$202</f>
        <v>31.000000000000004</v>
      </c>
      <c r="Z210" s="143"/>
      <c r="AA210" s="143"/>
      <c r="AB210" s="143"/>
      <c r="AC210" s="143"/>
      <c r="AD210" s="143"/>
      <c r="AE210" s="143"/>
      <c r="AF210" s="143"/>
      <c r="AG210" s="551"/>
      <c r="AH210" s="557">
        <f t="shared" si="1894"/>
        <v>0</v>
      </c>
      <c r="AI210" s="557">
        <f t="shared" si="1894"/>
        <v>8.5299999999999994</v>
      </c>
      <c r="AJ210" s="337">
        <f xml:space="preserve"> AJ208</f>
        <v>0</v>
      </c>
      <c r="AK210" s="339"/>
      <c r="AL210" s="337">
        <f xml:space="preserve"> AL208</f>
        <v>0</v>
      </c>
      <c r="AM210" s="339"/>
      <c r="AN210" s="267" t="str">
        <f xml:space="preserve"> AN208</f>
        <v>Lystb</v>
      </c>
      <c r="AO210" s="45">
        <f>VLOOKUP(AN210,Skrogform!$1:$1048576,3,FALSE)</f>
        <v>0.98</v>
      </c>
      <c r="AP210" s="64">
        <f t="shared" ref="AP210:BB210" si="1912">AP208</f>
        <v>8.5299999999999994</v>
      </c>
      <c r="AQ210" s="64">
        <f t="shared" si="1912"/>
        <v>8.3800000000000008</v>
      </c>
      <c r="AR210" s="64">
        <f t="shared" si="1912"/>
        <v>2.86</v>
      </c>
      <c r="AS210" s="64">
        <f t="shared" si="1912"/>
        <v>1.8</v>
      </c>
      <c r="AT210" s="64">
        <f t="shared" ref="AT210" si="1913">AT208</f>
        <v>9.98</v>
      </c>
      <c r="AU210" s="64">
        <f t="shared" si="1912"/>
        <v>9</v>
      </c>
      <c r="AV210" s="64">
        <f t="shared" si="1912"/>
        <v>5</v>
      </c>
      <c r="AW210" s="64">
        <f t="shared" si="1912"/>
        <v>0.5</v>
      </c>
      <c r="AX210" s="256">
        <f>AX208</f>
        <v>0</v>
      </c>
      <c r="AY210" s="256">
        <f t="shared" si="1912"/>
        <v>0</v>
      </c>
      <c r="AZ210" s="256">
        <f t="shared" si="1912"/>
        <v>0</v>
      </c>
      <c r="BA210" s="256">
        <f t="shared" si="1912"/>
        <v>0</v>
      </c>
      <c r="BB210" s="256">
        <f t="shared" si="1912"/>
        <v>0</v>
      </c>
      <c r="BC210" s="256"/>
      <c r="BD210" s="66"/>
      <c r="BE210" s="66"/>
      <c r="BF210" s="261"/>
      <c r="BG210" s="66"/>
      <c r="BH210" s="175"/>
      <c r="BI210" s="66"/>
      <c r="BJ210" s="66"/>
      <c r="BK210" s="65" t="str">
        <f xml:space="preserve"> BK208</f>
        <v>Seilrett</v>
      </c>
      <c r="BL210" s="267">
        <f xml:space="preserve"> BL208</f>
        <v>3</v>
      </c>
      <c r="BM210" s="267">
        <f xml:space="preserve"> BM208</f>
        <v>0</v>
      </c>
      <c r="BN210" s="45">
        <f t="shared" si="1723"/>
        <v>1</v>
      </c>
      <c r="BO210" s="59">
        <f>BO208</f>
        <v>0</v>
      </c>
      <c r="BP210" s="59"/>
      <c r="BR210" s="49">
        <f t="shared" si="1808"/>
        <v>0</v>
      </c>
      <c r="BS210" s="49">
        <f t="shared" si="1809"/>
        <v>0</v>
      </c>
      <c r="BT210" s="49">
        <f t="shared" si="1810"/>
        <v>0</v>
      </c>
      <c r="BU210" s="49">
        <f t="shared" si="1811"/>
        <v>0</v>
      </c>
      <c r="BV210" s="49">
        <f t="shared" si="1812"/>
        <v>0</v>
      </c>
      <c r="BW210" s="49">
        <f t="shared" si="1813"/>
        <v>0</v>
      </c>
      <c r="BX210" s="49">
        <f t="shared" si="1814"/>
        <v>12.4</v>
      </c>
      <c r="BY210" s="549">
        <f t="shared" si="1815"/>
        <v>0</v>
      </c>
      <c r="BZ210" s="85">
        <f t="shared" si="1816"/>
        <v>0</v>
      </c>
      <c r="CA210" s="85">
        <f t="shared" si="1817"/>
        <v>0</v>
      </c>
      <c r="CB210" s="85">
        <f t="shared" si="1818"/>
        <v>0</v>
      </c>
      <c r="CC210" s="85">
        <f t="shared" si="1819"/>
        <v>24.180000000000003</v>
      </c>
      <c r="CD210" s="85">
        <f t="shared" si="1820"/>
        <v>0</v>
      </c>
      <c r="CE210" s="85">
        <f t="shared" si="1821"/>
        <v>0</v>
      </c>
      <c r="CF210" s="85">
        <f t="shared" si="1822"/>
        <v>0</v>
      </c>
      <c r="CG210" s="85">
        <f t="shared" si="1823"/>
        <v>0</v>
      </c>
      <c r="CH210" s="85">
        <f t="shared" si="1824"/>
        <v>0</v>
      </c>
      <c r="CI210" s="85">
        <f t="shared" si="1825"/>
        <v>0</v>
      </c>
      <c r="CJ210" s="85">
        <f t="shared" si="1826"/>
        <v>0</v>
      </c>
      <c r="CK210" s="85">
        <f t="shared" si="1827"/>
        <v>0</v>
      </c>
      <c r="CL210" s="100">
        <f t="shared" ref="CL210:CL211" si="1914">SUM(BR210:CK210)</f>
        <v>36.580000000000005</v>
      </c>
      <c r="CM210" s="50"/>
      <c r="CN210" s="104">
        <f t="shared" si="1829"/>
        <v>43.400000000000006</v>
      </c>
      <c r="CO210" s="101">
        <f t="shared" ref="CO210:CO211" si="1915">CL210/CN210</f>
        <v>0.84285714285714286</v>
      </c>
      <c r="CP210" s="51">
        <f t="shared" si="1831"/>
        <v>0.61801880827746469</v>
      </c>
      <c r="CQ210" s="116">
        <f t="shared" si="1832"/>
        <v>0.92889268788932378</v>
      </c>
      <c r="CR210" s="51">
        <f t="shared" si="1833"/>
        <v>0.9377318478454626</v>
      </c>
      <c r="CS210" s="204"/>
      <c r="CT210" s="204">
        <f t="shared" si="1834"/>
        <v>101</v>
      </c>
      <c r="CU210" s="107">
        <f t="shared" si="1041"/>
        <v>1.0112820063120922</v>
      </c>
      <c r="CV210" s="62">
        <f t="shared" si="523"/>
        <v>2.8928263722065601</v>
      </c>
      <c r="CW210" s="62">
        <f t="shared" si="998"/>
        <v>1.719387596295177</v>
      </c>
      <c r="CX210" s="62">
        <f t="shared" si="524"/>
        <v>1.7014179278548895</v>
      </c>
      <c r="CY210" s="107">
        <f t="shared" si="999"/>
        <v>1.0022201417492413</v>
      </c>
      <c r="CZ210" s="168" t="str">
        <f t="shared" ref="CZ210:CZ211" si="1916">IF(DA210=0,"-",IF(CP210="TBF","-",CZ$7*DA210))</f>
        <v>-</v>
      </c>
      <c r="DA210" s="158"/>
      <c r="DB210" s="168" t="str">
        <f t="shared" ref="DB210:DB211" si="1917">IF(DC210=0,"-",IF(CT210="TBF","-",DB$7*DC210))</f>
        <v>-</v>
      </c>
      <c r="DC210" s="160"/>
      <c r="DD210" s="190" t="s">
        <v>134</v>
      </c>
      <c r="DE210" s="62">
        <v>0.71</v>
      </c>
      <c r="DF210" s="62">
        <v>0.77</v>
      </c>
      <c r="DG210" s="62">
        <v>0.76</v>
      </c>
      <c r="DH210" s="150">
        <v>0.79</v>
      </c>
      <c r="DI210" s="62">
        <f t="shared" si="542"/>
        <v>2.2101391924363338</v>
      </c>
      <c r="DJ210" s="47">
        <f t="shared" si="543"/>
        <v>14.705882352941178</v>
      </c>
      <c r="DK210" s="48">
        <f t="shared" ref="DK210:DK211" si="1918">DJ$7*IF(DJ210&lt;DJ$5,-0.04,IF(DJ210&lt;DJ$5*1.1,-0.03,IF(DJ210&lt;DJ$5*1.2,-0.02,IF(DJ210&lt;DJ$5*1.3,-0.01,0))))</f>
        <v>0</v>
      </c>
      <c r="DM210" s="107">
        <f t="shared" si="1658"/>
        <v>0.97784175152451092</v>
      </c>
      <c r="DN210" s="141" t="str">
        <f t="shared" ref="DN210:DN211" si="1919">IF($DY210=0,"-",(DM210-$DW210)*100)</f>
        <v>-</v>
      </c>
      <c r="DO210" s="107">
        <f t="shared" ref="DO210:DO211" si="1920">SUM(DP210:DS210)^DO$3+DO$7</f>
        <v>4.6348521710670125</v>
      </c>
      <c r="DP210" s="133">
        <f>IF(SeilBeregnet=0,DP208,(SeilBeregnet^0.5/(Depl^0.3333))^DP$3*DP$7)</f>
        <v>2.9078555056048341</v>
      </c>
      <c r="DQ210" s="133">
        <f>IF(SeilBeregnet=0,DQ208,(SeilBeregnet^0.5/Lwl)^DQ$3*DQ$7)</f>
        <v>0</v>
      </c>
      <c r="DR210" s="133">
        <f>IF(SeilBeregnet=0,DR208,(0.1*Loa/Depl^0.3333)^DR$3*DR$7)</f>
        <v>0</v>
      </c>
      <c r="DS210" s="133">
        <f>IF(SeilBeregnet=0,DS208,((Loa)/Bredde)^DS$3*DS$7)</f>
        <v>1.7269966654621782</v>
      </c>
      <c r="DT210" s="107">
        <f>IF(SeilBeregnet=0,DT208,(Lwl)^DT$3)</f>
        <v>1.7014179278548895</v>
      </c>
      <c r="DU210" s="133">
        <f>IF(SeilBeregnet=0,DU208,(Dypg/Loa)^DU$3*5*DU$7)</f>
        <v>2.2968452802704382</v>
      </c>
      <c r="DW210" s="107">
        <f t="shared" si="769"/>
        <v>1.0319204146041758</v>
      </c>
      <c r="DX210" s="107">
        <f t="shared" si="544"/>
        <v>1.0030285602601985</v>
      </c>
      <c r="DZ210" s="107">
        <f t="shared" si="545"/>
        <v>1.0248054380205756</v>
      </c>
      <c r="EA210" s="122" t="str">
        <f t="shared" ref="EA210:EA211" si="1921">IF($DY210=0,"-",DZ210-$DW210)</f>
        <v>-</v>
      </c>
      <c r="EB210" s="107">
        <f t="shared" ref="EB210:EB211" si="1922">IF(SeilBeregnet=0,"-",EB$7*(EB$4*ED210*EE210*EF210*PropF+EB$6)+ErfaringsF+Dyp_F)</f>
        <v>0.99583954465775459</v>
      </c>
      <c r="EC210" s="122" t="str">
        <f t="shared" ref="EC210:EC211" si="1923">IF($DY210=0,"-",EB210-$DW210)</f>
        <v>-</v>
      </c>
      <c r="ED210" s="107">
        <f>IF(SeilBeregnet=0,ED208,SeilBeregnet^0.5/Depl^0.33333)</f>
        <v>2.9076638355745068</v>
      </c>
      <c r="EE210" s="107">
        <f>IF(SeilBeregnet=0,EE208,Lwl^0.3333)</f>
        <v>2.0310341765391291</v>
      </c>
      <c r="EF210" s="107">
        <f>IF(SeilBeregnet=0,EF208,((Loa+Lwl)/Bredde)^EF$3)</f>
        <v>1.5593528329588258</v>
      </c>
      <c r="EH210" s="107">
        <f t="shared" ref="EH210:EH211" si="1924">IF(SeilBeregnet=0,"-",EH$7*(EH$4*EJ210*EK210*EL210*PropF+EH$6)+ErfaringsF+Dyp_F)</f>
        <v>1.0044387451081236</v>
      </c>
      <c r="EJ210" s="107">
        <f>IF(SeilBeregnet=0,EJ208,SeilBeregnet^0.5/Depl^0.33333)</f>
        <v>2.9076638355745068</v>
      </c>
      <c r="EK210" s="107">
        <f>IF(SeilBeregnet=0,EK208,Lwl^EK$3)</f>
        <v>2.0311637107626899</v>
      </c>
      <c r="EL210" s="107">
        <f>IF(SeilBeregnet=0,EL208,((Loa+Lwl)/Bredde)^EL$3)</f>
        <v>1.8081458776238697</v>
      </c>
      <c r="EM210" s="107">
        <f t="shared" ref="EM210:EM211" si="1925">IF(SeilBeregnet=0,"-",EM$7*(EM$4*EO210+EM$6)*ER210*PropF+ErfaringsF+Dyp_F)</f>
        <v>0.99088825538189285</v>
      </c>
      <c r="EO210" s="107">
        <f>IF(SeilBeregnet=0,EO208,(EP210*EQ210)^EO$3)</f>
        <v>4.5340738392950328</v>
      </c>
      <c r="EP210" s="107">
        <f>IF(SeilBeregnet=0,EP208,SeilBeregnet^0.5/Depl^0.33333)</f>
        <v>2.9076638355745068</v>
      </c>
      <c r="EQ210" s="107">
        <f>IF(SeilBeregnet=0,EQ208,((Loa+Lwl)/Bredde)^EQ$3)</f>
        <v>1.5593528329588258</v>
      </c>
      <c r="ER210" s="107">
        <f>IF(SeilBeregnet=0,ER208,Lwl^ER$3)</f>
        <v>1.7014179278548895</v>
      </c>
      <c r="ES210" s="107">
        <f t="shared" si="1666"/>
        <v>0.98539967935621164</v>
      </c>
      <c r="EU210" s="107">
        <f>IF(SeilBeregnet=0,EU208,(EV:EV*EW:EW)^EU$3)</f>
        <v>1.7020620475649477</v>
      </c>
      <c r="EV210" s="107">
        <f>IF(SeilBeregnet=0,EV208,SeilBeregnet^0.5/Depl^0.33333)</f>
        <v>2.9076638355745068</v>
      </c>
      <c r="EW210" s="107">
        <f>IF(SeilBeregnet=0,EW208,((Loa+Lwl)/Bredde/6)^EW$3)</f>
        <v>0.9963377397059312</v>
      </c>
      <c r="EX210" s="107">
        <f>IF(SeilBeregnet=0,EX208,(Lwl*0.7+Loa*0.3)^EX$3)</f>
        <v>1.7036974657315185</v>
      </c>
      <c r="EY210" s="107">
        <f t="shared" si="1667"/>
        <v>0.9750938083166516</v>
      </c>
      <c r="FA210" s="107">
        <f t="shared" si="1668"/>
        <v>1.7021181456778398</v>
      </c>
      <c r="FB210" s="107">
        <f>IF(SeilBeregnet=0,FB208,SeilBeregnet^0.5/Depl^0.3333)</f>
        <v>2.9078555056048341</v>
      </c>
      <c r="FC210" s="107">
        <f>IF(SeilBeregnet=0,FC208,((Loa+Lwl)/Bredde/6)^FC$3)</f>
        <v>0.9963377397059312</v>
      </c>
      <c r="FD210" s="107">
        <f>IF(SeilBeregnet=0,FD208,(Lwl*0.7+Loa*0.3)^FD$3)</f>
        <v>1.7036974657315185</v>
      </c>
      <c r="FE210" s="107">
        <f t="shared" si="1669"/>
        <v>0.98314640322178926</v>
      </c>
      <c r="FF210" s="141" t="str">
        <f t="shared" ref="FF210:FF211" si="1926">IF($DY210=0,"-",(FE210-$DW210)*100)</f>
        <v>-</v>
      </c>
      <c r="FG210" s="107">
        <f t="shared" si="1671"/>
        <v>2.8865958586822638</v>
      </c>
      <c r="FH210" s="133">
        <f>IF(SeilBeregnet=0,FH208,(SeilBeregnet^0.5/(Depl^0.3333))^FH$3)</f>
        <v>2.9078555056048341</v>
      </c>
      <c r="FI210" s="133">
        <f>IF(SeilBeregnet=0,FI208,((Loa+Lwl)/Bredde/6)^FI$3)</f>
        <v>0.99268889156232398</v>
      </c>
      <c r="FJ210" s="107">
        <f>IF(SeilBeregnet=0,FJ208,(Lwl*0.07+Loa*0.03)^FJ$3)</f>
        <v>0.95805949060290141</v>
      </c>
      <c r="FK210" s="107">
        <f t="shared" si="1672"/>
        <v>0.98330707523099703</v>
      </c>
      <c r="FL210" s="141" t="str">
        <f t="shared" ref="FL210:FL211" si="1927">IF($DY210=0,"-",(FK210-$DW210)*100)</f>
        <v>-</v>
      </c>
      <c r="FM210" s="107">
        <f t="shared" si="1674"/>
        <v>4.856587279660685</v>
      </c>
      <c r="FN210" s="133">
        <f>IF(SeilBeregnet=0,FN208,(SeilBeregnet^0.5/(Depl^0.3333))^FN$3)</f>
        <v>2.9078555056048341</v>
      </c>
      <c r="FO210" s="133">
        <f>IF(SeilBeregnet=0,FO208,(SeilBeregnet^0.5/Lwl*FO$7)^FO$3)</f>
        <v>0.72173510859367263</v>
      </c>
      <c r="FP210" s="133">
        <f>IF(SeilBeregnet=0,FP208,((Loa)/Bredde)^FP$3*FP$7)</f>
        <v>1.7269966654621782</v>
      </c>
      <c r="FQ210" s="107">
        <f>IF(SeilBeregnet=0,FQ208,(Lwl)^FQ$3)</f>
        <v>1.7014179278548895</v>
      </c>
      <c r="FR210" s="107">
        <f t="shared" si="1675"/>
        <v>0.98239672557494839</v>
      </c>
      <c r="FS210" s="141" t="str">
        <f t="shared" ref="FS210:FS211" si="1928">IF($DY210=0,"-",(FR210-$DW210)*100)</f>
        <v>-</v>
      </c>
      <c r="FT210" s="107">
        <f t="shared" si="1677"/>
        <v>5.0218567618253847</v>
      </c>
      <c r="FU210" s="133">
        <f>IF(SeilBeregnet=0,FU208,(SeilBeregnet^0.5/(Depl^0.3333))^FU$3)</f>
        <v>2.9078555056048341</v>
      </c>
      <c r="FV210" s="133">
        <f>IF(SeilBeregnet=0,FV208,(Loa/Bredde)^FV$3)</f>
        <v>1.7269966654621782</v>
      </c>
      <c r="FW210" s="107">
        <f>IF(SeilBeregnet=0,FW208,Lwl^FW$3)</f>
        <v>1.7014179278548895</v>
      </c>
      <c r="FY210">
        <v>0.95</v>
      </c>
      <c r="FZ210" s="62">
        <f t="shared" si="1452"/>
        <v>1.0478889304359074</v>
      </c>
      <c r="GA210" s="62">
        <f t="shared" si="1378"/>
        <v>2.2968452802704382</v>
      </c>
      <c r="GB210" s="107">
        <f t="shared" si="525"/>
        <v>1.3390115191086414</v>
      </c>
      <c r="GC210" s="440"/>
      <c r="GD210" s="17"/>
      <c r="GE210" s="442"/>
      <c r="GF210" s="462"/>
      <c r="GG210" s="17"/>
      <c r="GH210" s="17"/>
      <c r="GI210" s="17"/>
      <c r="GJ210" s="17"/>
      <c r="GL210" s="17"/>
      <c r="GM210" s="442"/>
      <c r="GN210" s="8"/>
      <c r="GO210" s="8"/>
      <c r="GP210" s="8"/>
      <c r="GQ210" s="8"/>
      <c r="GS210" s="17"/>
      <c r="GT210" s="17"/>
      <c r="GU210" s="17"/>
      <c r="GV210" s="629"/>
      <c r="GW210" s="17"/>
      <c r="GX210" s="17"/>
      <c r="GY210" s="17"/>
      <c r="GZ210" s="17"/>
    </row>
    <row r="211" spans="1:208" ht="15.6" x14ac:dyDescent="0.3">
      <c r="A211" s="60" t="s">
        <v>873</v>
      </c>
      <c r="B211" s="218"/>
      <c r="C211" s="61" t="s">
        <v>19</v>
      </c>
      <c r="D211" s="61"/>
      <c r="E211" s="61"/>
      <c r="F211" s="61"/>
      <c r="G211" s="54"/>
      <c r="H211" s="204">
        <f t="shared" si="1877"/>
        <v>131.5</v>
      </c>
      <c r="I211" s="63">
        <f t="shared" si="1910"/>
        <v>4</v>
      </c>
      <c r="J211" s="222">
        <f t="shared" si="1911"/>
        <v>103.10000000000001</v>
      </c>
      <c r="K211" s="116">
        <f t="shared" si="1880"/>
        <v>2.2066552101702603</v>
      </c>
      <c r="L211" s="116">
        <f t="shared" si="1797"/>
        <v>2.2276533067480924</v>
      </c>
      <c r="M211" s="92">
        <f t="shared" si="1798"/>
        <v>0.77284190106692519</v>
      </c>
      <c r="N211" s="242">
        <f t="shared" si="1799"/>
        <v>1.0022201417492413</v>
      </c>
      <c r="O211" s="143"/>
      <c r="P211" s="143"/>
      <c r="Q211" s="165">
        <v>37.200000000000003</v>
      </c>
      <c r="R211" s="143"/>
      <c r="S211" s="143"/>
      <c r="T211" s="143"/>
      <c r="U211" s="165">
        <v>12.4</v>
      </c>
      <c r="V211" s="559"/>
      <c r="W211" s="559"/>
      <c r="X211" s="165">
        <v>37.200000000000003</v>
      </c>
      <c r="Y211" s="143"/>
      <c r="Z211" s="143"/>
      <c r="AA211" s="165">
        <v>16.3</v>
      </c>
      <c r="AB211" s="143"/>
      <c r="AC211" s="143"/>
      <c r="AD211" s="143"/>
      <c r="AE211" s="143"/>
      <c r="AF211" s="143"/>
      <c r="AG211" s="551"/>
      <c r="AH211" s="557">
        <f t="shared" si="1894"/>
        <v>0</v>
      </c>
      <c r="AI211" s="557">
        <f t="shared" si="1894"/>
        <v>8.5299999999999994</v>
      </c>
      <c r="AJ211" s="337">
        <f xml:space="preserve"> AJ208</f>
        <v>0</v>
      </c>
      <c r="AK211" s="339"/>
      <c r="AL211" s="337">
        <f xml:space="preserve"> AL208</f>
        <v>0</v>
      </c>
      <c r="AM211" s="339"/>
      <c r="AN211" s="267" t="str">
        <f xml:space="preserve"> AN208</f>
        <v>Lystb</v>
      </c>
      <c r="AO211" s="45">
        <f>VLOOKUP(AN211,Skrogform!$1:$1048576,3,FALSE)</f>
        <v>0.98</v>
      </c>
      <c r="AP211" s="64">
        <f t="shared" ref="AP211:BB211" si="1929">AP208</f>
        <v>8.5299999999999994</v>
      </c>
      <c r="AQ211" s="64">
        <f t="shared" si="1929"/>
        <v>8.3800000000000008</v>
      </c>
      <c r="AR211" s="64">
        <f t="shared" si="1929"/>
        <v>2.86</v>
      </c>
      <c r="AS211" s="64">
        <f t="shared" si="1929"/>
        <v>1.8</v>
      </c>
      <c r="AT211" s="64">
        <f t="shared" ref="AT211" si="1930">AT208</f>
        <v>9.98</v>
      </c>
      <c r="AU211" s="64">
        <f t="shared" si="1929"/>
        <v>9</v>
      </c>
      <c r="AV211" s="64">
        <f t="shared" si="1929"/>
        <v>5</v>
      </c>
      <c r="AW211" s="64">
        <f t="shared" si="1929"/>
        <v>0.5</v>
      </c>
      <c r="AX211" s="256">
        <f>AX208</f>
        <v>0</v>
      </c>
      <c r="AY211" s="256">
        <f t="shared" si="1929"/>
        <v>0</v>
      </c>
      <c r="AZ211" s="256">
        <f t="shared" si="1929"/>
        <v>0</v>
      </c>
      <c r="BA211" s="256">
        <f t="shared" si="1929"/>
        <v>0</v>
      </c>
      <c r="BB211" s="256">
        <f t="shared" si="1929"/>
        <v>0</v>
      </c>
      <c r="BC211" s="256"/>
      <c r="BD211" s="66"/>
      <c r="BE211" s="66"/>
      <c r="BF211" s="261"/>
      <c r="BG211" s="66"/>
      <c r="BH211" s="175"/>
      <c r="BI211" s="66"/>
      <c r="BJ211" s="66"/>
      <c r="BK211" s="65" t="str">
        <f t="shared" ref="BK211:BM212" si="1931" xml:space="preserve"> BK208</f>
        <v>Seilrett</v>
      </c>
      <c r="BL211" s="267">
        <f t="shared" si="1931"/>
        <v>3</v>
      </c>
      <c r="BM211" s="267">
        <f t="shared" si="1931"/>
        <v>0</v>
      </c>
      <c r="BN211" s="45">
        <f t="shared" ref="BN211:BN242" si="1932">IF((BK211="Fast"),(1.006248-(0.06415*((BM211/100*SQRT(BL211))/POWER(AU211,(1/3))))),1)</f>
        <v>1</v>
      </c>
      <c r="BO211" s="59">
        <f>BO208</f>
        <v>0</v>
      </c>
      <c r="BP211" s="59"/>
      <c r="BR211" s="49">
        <f t="shared" si="1808"/>
        <v>0</v>
      </c>
      <c r="BS211" s="49">
        <f t="shared" si="1809"/>
        <v>0</v>
      </c>
      <c r="BT211" s="49">
        <f t="shared" si="1810"/>
        <v>37.200000000000003</v>
      </c>
      <c r="BU211" s="49">
        <f t="shared" si="1811"/>
        <v>0</v>
      </c>
      <c r="BV211" s="49">
        <f t="shared" si="1812"/>
        <v>0</v>
      </c>
      <c r="BW211" s="49">
        <f t="shared" si="1813"/>
        <v>0</v>
      </c>
      <c r="BX211" s="49">
        <f t="shared" si="1814"/>
        <v>12.4</v>
      </c>
      <c r="BY211" s="549">
        <f t="shared" si="1815"/>
        <v>-6.2</v>
      </c>
      <c r="BZ211" s="85">
        <f t="shared" si="1816"/>
        <v>0</v>
      </c>
      <c r="CA211" s="85">
        <f t="shared" si="1817"/>
        <v>0</v>
      </c>
      <c r="CB211" s="85">
        <f t="shared" si="1818"/>
        <v>29.760000000000005</v>
      </c>
      <c r="CC211" s="85">
        <f t="shared" si="1819"/>
        <v>0</v>
      </c>
      <c r="CD211" s="85">
        <f t="shared" si="1820"/>
        <v>0</v>
      </c>
      <c r="CE211" s="85">
        <f t="shared" si="1821"/>
        <v>0</v>
      </c>
      <c r="CF211" s="85">
        <f t="shared" si="1822"/>
        <v>6.5200000000000005</v>
      </c>
      <c r="CG211" s="85">
        <f t="shared" si="1823"/>
        <v>0</v>
      </c>
      <c r="CH211" s="85">
        <f t="shared" si="1824"/>
        <v>0</v>
      </c>
      <c r="CI211" s="85">
        <f t="shared" si="1825"/>
        <v>0</v>
      </c>
      <c r="CJ211" s="85">
        <f t="shared" si="1826"/>
        <v>0</v>
      </c>
      <c r="CK211" s="85">
        <f t="shared" si="1827"/>
        <v>0</v>
      </c>
      <c r="CL211" s="100">
        <f t="shared" si="1914"/>
        <v>79.679999999999993</v>
      </c>
      <c r="CM211" s="50"/>
      <c r="CN211" s="104">
        <f t="shared" si="1829"/>
        <v>103.10000000000001</v>
      </c>
      <c r="CO211" s="101">
        <f t="shared" si="1915"/>
        <v>0.77284190106692519</v>
      </c>
      <c r="CP211" s="51">
        <f t="shared" si="1831"/>
        <v>1.4681506712766501</v>
      </c>
      <c r="CQ211" s="116">
        <f t="shared" si="1832"/>
        <v>2.2066552101702603</v>
      </c>
      <c r="CR211" s="51">
        <f t="shared" si="1833"/>
        <v>2.2276533067480924</v>
      </c>
      <c r="CS211" s="204"/>
      <c r="CT211" s="204">
        <f t="shared" si="1834"/>
        <v>131.5</v>
      </c>
      <c r="CU211" s="107">
        <f t="shared" si="1041"/>
        <v>1.3131298840401815</v>
      </c>
      <c r="CV211" s="62">
        <f t="shared" si="523"/>
        <v>4.2694819334946281</v>
      </c>
      <c r="CW211" s="62">
        <f t="shared" si="998"/>
        <v>1.719387596295177</v>
      </c>
      <c r="CX211" s="62">
        <f t="shared" si="524"/>
        <v>1.7014179278548895</v>
      </c>
      <c r="CY211" s="107">
        <f t="shared" si="999"/>
        <v>1.0022201417492413</v>
      </c>
      <c r="CZ211" s="168" t="str">
        <f t="shared" si="1916"/>
        <v>-</v>
      </c>
      <c r="DA211" s="158"/>
      <c r="DB211" s="168" t="str">
        <f t="shared" si="1917"/>
        <v>-</v>
      </c>
      <c r="DC211" s="160"/>
      <c r="DD211" s="190" t="s">
        <v>134</v>
      </c>
      <c r="DE211" s="62">
        <v>0.71</v>
      </c>
      <c r="DF211" s="62">
        <v>0.77</v>
      </c>
      <c r="DG211" s="62">
        <v>0.76</v>
      </c>
      <c r="DH211" s="150">
        <v>0.79</v>
      </c>
      <c r="DI211" s="62">
        <f t="shared" si="542"/>
        <v>2.2101391924363338</v>
      </c>
      <c r="DJ211" s="47">
        <f t="shared" si="543"/>
        <v>14.705882352941178</v>
      </c>
      <c r="DK211" s="48">
        <f t="shared" si="1918"/>
        <v>0</v>
      </c>
      <c r="DM211" s="107">
        <f t="shared" si="1658"/>
        <v>1.2697917232324996</v>
      </c>
      <c r="DN211" s="141" t="str">
        <f t="shared" si="1919"/>
        <v>-</v>
      </c>
      <c r="DO211" s="107">
        <f t="shared" si="1920"/>
        <v>6.0186598864811822</v>
      </c>
      <c r="DP211" s="133">
        <f>IF(SeilBeregnet=0,DP208,(SeilBeregnet^0.5/(Depl^0.3333))^DP$3*DP$7)</f>
        <v>4.2916632210190038</v>
      </c>
      <c r="DQ211" s="133">
        <f>IF(SeilBeregnet=0,DQ208,(SeilBeregnet^0.5/Lwl)^DQ$3*DQ$7)</f>
        <v>0</v>
      </c>
      <c r="DR211" s="133">
        <f>IF(SeilBeregnet=0,DR208,(0.1*Loa/Depl^0.3333)^DR$3*DR$7)</f>
        <v>0</v>
      </c>
      <c r="DS211" s="133">
        <f>IF(SeilBeregnet=0,DS208,((Loa)/Bredde)^DS$3*DS$7)</f>
        <v>1.7269966654621782</v>
      </c>
      <c r="DT211" s="107">
        <f>IF(SeilBeregnet=0,DT208,(Lwl)^DT$3)</f>
        <v>1.7014179278548895</v>
      </c>
      <c r="DU211" s="133">
        <f>IF(SeilBeregnet=0,DU208,(Dypg/Loa)^DU$3*5*DU$7)</f>
        <v>2.2968452802704382</v>
      </c>
      <c r="DW211" s="107">
        <f t="shared" si="769"/>
        <v>1.3399284531022257</v>
      </c>
      <c r="DX211" s="107">
        <f t="shared" si="544"/>
        <v>1.3641146027809985</v>
      </c>
      <c r="DZ211" s="107">
        <f t="shared" si="545"/>
        <v>1.3157012124690401</v>
      </c>
      <c r="EA211" s="122" t="str">
        <f t="shared" si="1921"/>
        <v>-</v>
      </c>
      <c r="EB211" s="107">
        <f t="shared" si="1922"/>
        <v>1.3365517338632051</v>
      </c>
      <c r="EC211" s="122" t="str">
        <f t="shared" si="1923"/>
        <v>-</v>
      </c>
      <c r="ED211" s="107">
        <f>IF(SeilBeregnet=0,ED208,SeilBeregnet^0.5/Depl^0.33333)</f>
        <v>4.2913803379052649</v>
      </c>
      <c r="EE211" s="107">
        <f>IF(SeilBeregnet=0,EE208,Lwl^0.3333)</f>
        <v>2.0310341765391291</v>
      </c>
      <c r="EF211" s="107">
        <f>IF(SeilBeregnet=0,EF208,((Loa+Lwl)/Bredde)^EF$3)</f>
        <v>1.5593528329588258</v>
      </c>
      <c r="EH211" s="107">
        <f t="shared" si="1924"/>
        <v>1.3104828956603387</v>
      </c>
      <c r="EJ211" s="107">
        <f>IF(SeilBeregnet=0,EJ208,SeilBeregnet^0.5/Depl^0.33333)</f>
        <v>4.2913803379052649</v>
      </c>
      <c r="EK211" s="107">
        <f>IF(SeilBeregnet=0,EK208,Lwl^EK$3)</f>
        <v>2.0311637107626899</v>
      </c>
      <c r="EL211" s="107">
        <f>IF(SeilBeregnet=0,EL208,((Loa+Lwl)/Bredde)^EL$3)</f>
        <v>1.8081458776238697</v>
      </c>
      <c r="EM211" s="107">
        <f t="shared" si="1925"/>
        <v>1.3181024664026617</v>
      </c>
      <c r="EO211" s="107">
        <f>IF(SeilBeregnet=0,EO208,(EP211*EQ211)^EO$3)</f>
        <v>6.6917760872163781</v>
      </c>
      <c r="EP211" s="107">
        <f>IF(SeilBeregnet=0,EP208,SeilBeregnet^0.5/Depl^0.33333)</f>
        <v>4.2913803379052649</v>
      </c>
      <c r="EQ211" s="107">
        <f>IF(SeilBeregnet=0,EQ208,((Loa+Lwl)/Bredde)^EQ$3)</f>
        <v>1.5593528329588258</v>
      </c>
      <c r="ER211" s="107">
        <f>IF(SeilBeregnet=0,ER208,Lwl^ER$3)</f>
        <v>1.7014179278548895</v>
      </c>
      <c r="ES211" s="107">
        <f t="shared" si="1666"/>
        <v>1.2851899054643903</v>
      </c>
      <c r="EU211" s="107">
        <f>IF(SeilBeregnet=0,EU208,(EV:EV*EW:EW)^EU$3)</f>
        <v>2.0677679236527022</v>
      </c>
      <c r="EV211" s="107">
        <f>IF(SeilBeregnet=0,EV208,SeilBeregnet^0.5/Depl^0.33333)</f>
        <v>4.2913803379052649</v>
      </c>
      <c r="EW211" s="107">
        <f>IF(SeilBeregnet=0,EW208,((Loa+Lwl)/Bredde/6)^EW$3)</f>
        <v>0.9963377397059312</v>
      </c>
      <c r="EX211" s="107">
        <f>IF(SeilBeregnet=0,EX208,(Lwl*0.7+Loa*0.3)^EX$3)</f>
        <v>1.7036974657315185</v>
      </c>
      <c r="EY211" s="107">
        <f t="shared" si="1667"/>
        <v>1.1846029363465913</v>
      </c>
      <c r="FA211" s="107">
        <f t="shared" si="1668"/>
        <v>2.0678360750333065</v>
      </c>
      <c r="FB211" s="107">
        <f>IF(SeilBeregnet=0,FB208,SeilBeregnet^0.5/Depl^0.3333)</f>
        <v>4.2916632210190038</v>
      </c>
      <c r="FC211" s="107">
        <f>IF(SeilBeregnet=0,FC208,((Loa+Lwl)/Bredde/6)^FC$3)</f>
        <v>0.9963377397059312</v>
      </c>
      <c r="FD211" s="107">
        <f>IF(SeilBeregnet=0,FD208,(Lwl*0.7+Loa*0.3)^FD$3)</f>
        <v>1.7036974657315185</v>
      </c>
      <c r="FE211" s="107">
        <f t="shared" si="1669"/>
        <v>1.2595226290499615</v>
      </c>
      <c r="FF211" s="141" t="str">
        <f t="shared" si="1926"/>
        <v>-</v>
      </c>
      <c r="FG211" s="107">
        <f t="shared" si="1671"/>
        <v>4.2602864058321481</v>
      </c>
      <c r="FH211" s="133">
        <f>IF(SeilBeregnet=0,FH208,(SeilBeregnet^0.5/(Depl^0.3333))^FH$3)</f>
        <v>4.2916632210190038</v>
      </c>
      <c r="FI211" s="133">
        <f>IF(SeilBeregnet=0,FI208,((Loa+Lwl)/Bredde/6)^FI$3)</f>
        <v>0.99268889156232398</v>
      </c>
      <c r="FJ211" s="107">
        <f>IF(SeilBeregnet=0,FJ208,(Lwl*0.07+Loa*0.03)^FJ$3)</f>
        <v>0.95805949060290141</v>
      </c>
      <c r="FK211" s="107">
        <f t="shared" si="1672"/>
        <v>1.3330255170990379</v>
      </c>
      <c r="FL211" s="141" t="str">
        <f t="shared" si="1927"/>
        <v>-</v>
      </c>
      <c r="FM211" s="107">
        <f t="shared" si="1674"/>
        <v>6.5838586265490289</v>
      </c>
      <c r="FN211" s="133">
        <f>IF(SeilBeregnet=0,FN208,(SeilBeregnet^0.5/(Depl^0.3333))^FN$3)</f>
        <v>4.2916632210190038</v>
      </c>
      <c r="FO211" s="133">
        <f>IF(SeilBeregnet=0,FO208,(SeilBeregnet^0.5/Lwl*FO$7)^FO$3)</f>
        <v>1.0651987400678469</v>
      </c>
      <c r="FP211" s="133">
        <f>IF(SeilBeregnet=0,FP208,((Loa)/Bredde)^FP$3*FP$7)</f>
        <v>1.7269966654621782</v>
      </c>
      <c r="FQ211" s="107">
        <f>IF(SeilBeregnet=0,FQ208,(Lwl)^FQ$3)</f>
        <v>1.7014179278548895</v>
      </c>
      <c r="FR211" s="107">
        <f t="shared" si="1675"/>
        <v>1.2426272430569991</v>
      </c>
      <c r="FS211" s="141" t="str">
        <f t="shared" si="1928"/>
        <v>-</v>
      </c>
      <c r="FT211" s="107">
        <f t="shared" si="1677"/>
        <v>7.4116880719864904</v>
      </c>
      <c r="FU211" s="133">
        <f>IF(SeilBeregnet=0,FU208,(SeilBeregnet^0.5/(Depl^0.3333))^FU$3)</f>
        <v>4.2916632210190038</v>
      </c>
      <c r="FV211" s="133">
        <f>IF(SeilBeregnet=0,FV208,(Loa/Bredde)^FV$3)</f>
        <v>1.7269966654621782</v>
      </c>
      <c r="FW211" s="107">
        <f>IF(SeilBeregnet=0,FW208,Lwl^FW$3)</f>
        <v>1.7014179278548895</v>
      </c>
      <c r="FY211">
        <v>0.95</v>
      </c>
      <c r="FZ211" s="62">
        <f t="shared" si="1452"/>
        <v>1.2570750851423358</v>
      </c>
      <c r="GA211" s="62">
        <f t="shared" si="1378"/>
        <v>2.2968452802704382</v>
      </c>
      <c r="GB211" s="107">
        <f t="shared" si="525"/>
        <v>1.524527457073354</v>
      </c>
      <c r="GC211" s="440"/>
      <c r="GD211" s="17"/>
      <c r="GE211" s="442"/>
      <c r="GF211" s="462"/>
      <c r="GG211" s="17"/>
      <c r="GH211" s="17"/>
      <c r="GI211" s="17"/>
      <c r="GJ211" s="17"/>
      <c r="GL211" s="17"/>
      <c r="GM211" s="442"/>
      <c r="GN211" s="8"/>
      <c r="GO211" s="8"/>
      <c r="GP211" s="8"/>
      <c r="GQ211" s="8"/>
      <c r="GS211" s="17"/>
      <c r="GT211" s="17"/>
      <c r="GU211" s="17"/>
      <c r="GV211" s="629"/>
      <c r="GW211" s="17"/>
      <c r="GX211" s="17"/>
      <c r="GY211" s="17"/>
      <c r="GZ211" s="17"/>
    </row>
    <row r="212" spans="1:208" ht="15.6" x14ac:dyDescent="0.3">
      <c r="A212" s="60" t="s">
        <v>668</v>
      </c>
      <c r="B212" s="218"/>
      <c r="C212" s="61" t="s">
        <v>19</v>
      </c>
      <c r="D212" s="61"/>
      <c r="E212" s="61"/>
      <c r="F212" s="61"/>
      <c r="G212" s="54"/>
      <c r="H212" s="204">
        <f t="shared" si="1877"/>
        <v>127.49999999999999</v>
      </c>
      <c r="I212" s="63">
        <f t="shared" si="1878"/>
        <v>3</v>
      </c>
      <c r="J212" s="222">
        <f t="shared" si="1879"/>
        <v>90.7</v>
      </c>
      <c r="K212" s="116">
        <f t="shared" si="1880"/>
        <v>1.941257299344739</v>
      </c>
      <c r="L212" s="116">
        <f t="shared" si="1797"/>
        <v>1.9597299216493884</v>
      </c>
      <c r="M212" s="92">
        <f t="shared" si="1798"/>
        <v>0.8101433296582139</v>
      </c>
      <c r="N212" s="242">
        <f t="shared" si="1799"/>
        <v>1.0022201417492413</v>
      </c>
      <c r="O212" s="143"/>
      <c r="P212" s="143"/>
      <c r="Q212" s="165">
        <v>37.200000000000003</v>
      </c>
      <c r="R212" s="143"/>
      <c r="S212" s="143"/>
      <c r="T212" s="143"/>
      <c r="U212" s="143"/>
      <c r="V212" s="559"/>
      <c r="W212" s="559"/>
      <c r="X212" s="165">
        <v>37.200000000000003</v>
      </c>
      <c r="Y212" s="143"/>
      <c r="Z212" s="143"/>
      <c r="AA212" s="165">
        <v>16.3</v>
      </c>
      <c r="AB212" s="143"/>
      <c r="AC212" s="143"/>
      <c r="AD212" s="143"/>
      <c r="AE212" s="143"/>
      <c r="AF212" s="143"/>
      <c r="AG212" s="551"/>
      <c r="AH212" s="557">
        <f t="shared" si="1894"/>
        <v>0</v>
      </c>
      <c r="AI212" s="557">
        <f t="shared" si="1894"/>
        <v>8.5299999999999994</v>
      </c>
      <c r="AJ212" s="337">
        <f xml:space="preserve"> AJ209</f>
        <v>0</v>
      </c>
      <c r="AK212" s="339"/>
      <c r="AL212" s="337">
        <f xml:space="preserve"> AL209</f>
        <v>0</v>
      </c>
      <c r="AM212" s="339"/>
      <c r="AN212" s="267" t="str">
        <f xml:space="preserve"> AN209</f>
        <v>Lystb</v>
      </c>
      <c r="AO212" s="45">
        <f>VLOOKUP(AN212,Skrogform!$1:$1048576,3,FALSE)</f>
        <v>0.98</v>
      </c>
      <c r="AP212" s="64">
        <f t="shared" ref="AP212:BB212" si="1933">AP209</f>
        <v>8.5299999999999994</v>
      </c>
      <c r="AQ212" s="64">
        <f t="shared" si="1933"/>
        <v>8.3800000000000008</v>
      </c>
      <c r="AR212" s="64">
        <f t="shared" si="1933"/>
        <v>2.86</v>
      </c>
      <c r="AS212" s="64">
        <f t="shared" si="1933"/>
        <v>1.8</v>
      </c>
      <c r="AT212" s="64">
        <f t="shared" ref="AT212" si="1934">AT209</f>
        <v>9.98</v>
      </c>
      <c r="AU212" s="64">
        <f t="shared" si="1933"/>
        <v>9</v>
      </c>
      <c r="AV212" s="64">
        <f t="shared" si="1933"/>
        <v>5</v>
      </c>
      <c r="AW212" s="64">
        <f t="shared" si="1933"/>
        <v>0.5</v>
      </c>
      <c r="AX212" s="256">
        <f>AX209</f>
        <v>0</v>
      </c>
      <c r="AY212" s="256">
        <f t="shared" si="1933"/>
        <v>0</v>
      </c>
      <c r="AZ212" s="256">
        <f t="shared" si="1933"/>
        <v>0</v>
      </c>
      <c r="BA212" s="256">
        <f t="shared" si="1933"/>
        <v>0</v>
      </c>
      <c r="BB212" s="256">
        <f t="shared" si="1933"/>
        <v>0</v>
      </c>
      <c r="BC212" s="256"/>
      <c r="BD212" s="66"/>
      <c r="BE212" s="66"/>
      <c r="BF212" s="261"/>
      <c r="BG212" s="66"/>
      <c r="BH212" s="175"/>
      <c r="BI212" s="66"/>
      <c r="BJ212" s="66"/>
      <c r="BK212" s="65" t="str">
        <f t="shared" si="1931"/>
        <v>Seilrett</v>
      </c>
      <c r="BL212" s="267">
        <f t="shared" si="1931"/>
        <v>3</v>
      </c>
      <c r="BM212" s="267">
        <f t="shared" si="1931"/>
        <v>0</v>
      </c>
      <c r="BN212" s="45">
        <f t="shared" si="1932"/>
        <v>1</v>
      </c>
      <c r="BO212" s="59">
        <f>BO209</f>
        <v>0</v>
      </c>
      <c r="BP212" s="59"/>
      <c r="BR212" s="49">
        <f t="shared" si="1808"/>
        <v>0</v>
      </c>
      <c r="BS212" s="49">
        <f t="shared" si="1809"/>
        <v>0</v>
      </c>
      <c r="BT212" s="49">
        <f t="shared" si="1810"/>
        <v>37.200000000000003</v>
      </c>
      <c r="BU212" s="49">
        <f t="shared" si="1811"/>
        <v>0</v>
      </c>
      <c r="BV212" s="49">
        <f t="shared" si="1812"/>
        <v>0</v>
      </c>
      <c r="BW212" s="49">
        <f t="shared" si="1813"/>
        <v>0</v>
      </c>
      <c r="BX212" s="49">
        <f t="shared" si="1814"/>
        <v>0</v>
      </c>
      <c r="BY212" s="549">
        <f t="shared" si="1815"/>
        <v>0</v>
      </c>
      <c r="BZ212" s="85">
        <f t="shared" si="1816"/>
        <v>0</v>
      </c>
      <c r="CA212" s="85">
        <f t="shared" si="1817"/>
        <v>0</v>
      </c>
      <c r="CB212" s="85">
        <f t="shared" si="1818"/>
        <v>29.760000000000005</v>
      </c>
      <c r="CC212" s="85">
        <f t="shared" si="1819"/>
        <v>0</v>
      </c>
      <c r="CD212" s="85">
        <f t="shared" si="1820"/>
        <v>0</v>
      </c>
      <c r="CE212" s="85">
        <f t="shared" si="1821"/>
        <v>0</v>
      </c>
      <c r="CF212" s="85">
        <f t="shared" si="1822"/>
        <v>6.5200000000000005</v>
      </c>
      <c r="CG212" s="85">
        <f t="shared" si="1823"/>
        <v>0</v>
      </c>
      <c r="CH212" s="85">
        <f t="shared" si="1824"/>
        <v>0</v>
      </c>
      <c r="CI212" s="85">
        <f t="shared" si="1825"/>
        <v>0</v>
      </c>
      <c r="CJ212" s="85">
        <f t="shared" si="1826"/>
        <v>0</v>
      </c>
      <c r="CK212" s="85">
        <f t="shared" si="1827"/>
        <v>0</v>
      </c>
      <c r="CL212" s="100">
        <f t="shared" si="1828"/>
        <v>73.48</v>
      </c>
      <c r="CM212" s="50"/>
      <c r="CN212" s="104">
        <f t="shared" si="1829"/>
        <v>90.7</v>
      </c>
      <c r="CO212" s="101">
        <f t="shared" si="1830"/>
        <v>0.8101433296582139</v>
      </c>
      <c r="CP212" s="51">
        <f t="shared" si="1831"/>
        <v>1.29157386891166</v>
      </c>
      <c r="CQ212" s="116">
        <f t="shared" si="1832"/>
        <v>1.941257299344739</v>
      </c>
      <c r="CR212" s="51">
        <f t="shared" si="1833"/>
        <v>1.9597299216493884</v>
      </c>
      <c r="CS212" s="204"/>
      <c r="CT212" s="204">
        <f t="shared" si="1834"/>
        <v>127.49999999999999</v>
      </c>
      <c r="CU212" s="107">
        <f t="shared" si="1041"/>
        <v>1.2759715378493366</v>
      </c>
      <c r="CV212" s="62">
        <f t="shared" si="523"/>
        <v>4.1000116548996122</v>
      </c>
      <c r="CW212" s="62">
        <f t="shared" si="998"/>
        <v>1.719387596295177</v>
      </c>
      <c r="CX212" s="62">
        <f t="shared" si="524"/>
        <v>1.7014179278548895</v>
      </c>
      <c r="CY212" s="107">
        <f t="shared" si="999"/>
        <v>1.0022201417492413</v>
      </c>
      <c r="CZ212" s="168" t="str">
        <f t="shared" si="1875"/>
        <v>-</v>
      </c>
      <c r="DA212" s="158"/>
      <c r="DB212" s="168" t="str">
        <f t="shared" si="1876"/>
        <v>-</v>
      </c>
      <c r="DC212" s="160"/>
      <c r="DD212" s="190" t="s">
        <v>134</v>
      </c>
      <c r="DE212" s="62">
        <v>0.71</v>
      </c>
      <c r="DF212" s="62">
        <v>0.77</v>
      </c>
      <c r="DG212" s="62">
        <v>0.76</v>
      </c>
      <c r="DH212" s="150">
        <v>0.79</v>
      </c>
      <c r="DI212" s="62">
        <f t="shared" si="542"/>
        <v>2.2101391924363338</v>
      </c>
      <c r="DJ212" s="47">
        <f t="shared" si="543"/>
        <v>14.705882352941178</v>
      </c>
      <c r="DK212" s="48">
        <f t="shared" si="1726"/>
        <v>0</v>
      </c>
      <c r="DM212" s="107">
        <f t="shared" si="1658"/>
        <v>1.2338518378810273</v>
      </c>
      <c r="DN212" s="141" t="str">
        <f t="shared" si="1791"/>
        <v>-</v>
      </c>
      <c r="DO212" s="107">
        <f t="shared" si="1727"/>
        <v>5.8483091570410979</v>
      </c>
      <c r="DP212" s="133">
        <f>IF(SeilBeregnet=0,DP209,(SeilBeregnet^0.5/(Depl^0.3333))^DP$3*DP$7)</f>
        <v>4.1213124915789194</v>
      </c>
      <c r="DQ212" s="133">
        <f>IF(SeilBeregnet=0,DQ209,(SeilBeregnet^0.5/Lwl)^DQ$3*DQ$7)</f>
        <v>0</v>
      </c>
      <c r="DR212" s="133">
        <f>IF(SeilBeregnet=0,DR209,(0.1*Loa/Depl^0.3333)^DR$3*DR$7)</f>
        <v>0</v>
      </c>
      <c r="DS212" s="133">
        <f>IF(SeilBeregnet=0,DS209,((Loa)/Bredde)^DS$3*DS$7)</f>
        <v>1.7269966654621782</v>
      </c>
      <c r="DT212" s="107">
        <f>IF(SeilBeregnet=0,DT209,(Lwl)^DT$3)</f>
        <v>1.7014179278548895</v>
      </c>
      <c r="DU212" s="133">
        <f>IF(SeilBeregnet=0,DU209,(Dypg/Loa)^DU$3*5*DU$7)</f>
        <v>2.2968452802704382</v>
      </c>
      <c r="DW212" s="107">
        <f t="shared" si="769"/>
        <v>1.3020117733156498</v>
      </c>
      <c r="DX212" s="107">
        <f t="shared" si="544"/>
        <v>1.3196638672858281</v>
      </c>
      <c r="DZ212" s="107">
        <f t="shared" si="545"/>
        <v>1.2798911018472023</v>
      </c>
      <c r="EA212" s="122" t="str">
        <f t="shared" si="1792"/>
        <v>-</v>
      </c>
      <c r="EB212" s="107">
        <f t="shared" si="1728"/>
        <v>1.2946090785984847</v>
      </c>
      <c r="EC212" s="122" t="str">
        <f t="shared" si="1793"/>
        <v>-</v>
      </c>
      <c r="ED212" s="107">
        <f>IF(SeilBeregnet=0,ED209,SeilBeregnet^0.5/Depl^0.33333)</f>
        <v>4.1210408370593852</v>
      </c>
      <c r="EE212" s="107">
        <f>IF(SeilBeregnet=0,EE209,Lwl^0.3333)</f>
        <v>2.0310341765391291</v>
      </c>
      <c r="EF212" s="107">
        <f>IF(SeilBeregnet=0,EF209,((Loa+Lwl)/Bredde)^EF$3)</f>
        <v>1.5593528329588258</v>
      </c>
      <c r="EH212" s="107">
        <f t="shared" si="1729"/>
        <v>1.2728079761561957</v>
      </c>
      <c r="EJ212" s="107">
        <f>IF(SeilBeregnet=0,EJ209,SeilBeregnet^0.5/Depl^0.33333)</f>
        <v>4.1210408370593852</v>
      </c>
      <c r="EK212" s="107">
        <f>IF(SeilBeregnet=0,EK209,Lwl^EK$3)</f>
        <v>2.0311637107626899</v>
      </c>
      <c r="EL212" s="107">
        <f>IF(SeilBeregnet=0,EL209,((Loa+Lwl)/Bredde)^EL$3)</f>
        <v>1.8081458776238697</v>
      </c>
      <c r="EM212" s="107">
        <f t="shared" si="1730"/>
        <v>1.2778214512662007</v>
      </c>
      <c r="EO212" s="107">
        <f>IF(SeilBeregnet=0,EO209,(EP212*EQ212)^EO$3)</f>
        <v>6.4261567040075631</v>
      </c>
      <c r="EP212" s="107">
        <f>IF(SeilBeregnet=0,EP209,SeilBeregnet^0.5/Depl^0.33333)</f>
        <v>4.1210408370593852</v>
      </c>
      <c r="EQ212" s="107">
        <f>IF(SeilBeregnet=0,EQ209,((Loa+Lwl)/Bredde)^EQ$3)</f>
        <v>1.5593528329588258</v>
      </c>
      <c r="ER212" s="107">
        <f>IF(SeilBeregnet=0,ER209,Lwl^ER$3)</f>
        <v>1.7014179278548895</v>
      </c>
      <c r="ES212" s="107">
        <f t="shared" si="1666"/>
        <v>1.2512077477297481</v>
      </c>
      <c r="EU212" s="107">
        <f>IF(SeilBeregnet=0,EU209,(EV:EV*EW:EW)^EU$3)</f>
        <v>2.0263140212789299</v>
      </c>
      <c r="EV212" s="107">
        <f>IF(SeilBeregnet=0,EV209,SeilBeregnet^0.5/Depl^0.33333)</f>
        <v>4.1210408370593852</v>
      </c>
      <c r="EW212" s="107">
        <f>IF(SeilBeregnet=0,EW209,((Loa+Lwl)/Bredde/6)^EW$3)</f>
        <v>0.9963377397059312</v>
      </c>
      <c r="EX212" s="107">
        <f>IF(SeilBeregnet=0,EX209,(Lwl*0.7+Loa*0.3)^EX$3)</f>
        <v>1.7036974657315185</v>
      </c>
      <c r="EY212" s="107">
        <f t="shared" si="1667"/>
        <v>1.160854422834374</v>
      </c>
      <c r="FA212" s="107">
        <f t="shared" si="1668"/>
        <v>2.0263808063840223</v>
      </c>
      <c r="FB212" s="107">
        <f>IF(SeilBeregnet=0,FB209,SeilBeregnet^0.5/Depl^0.3333)</f>
        <v>4.1213124915789194</v>
      </c>
      <c r="FC212" s="107">
        <f>IF(SeilBeregnet=0,FC209,((Loa+Lwl)/Bredde/6)^FC$3)</f>
        <v>0.9963377397059312</v>
      </c>
      <c r="FD212" s="107">
        <f>IF(SeilBeregnet=0,FD209,(Lwl*0.7+Loa*0.3)^FD$3)</f>
        <v>1.7036974657315185</v>
      </c>
      <c r="FE212" s="107">
        <f t="shared" si="1669"/>
        <v>1.2254999168296905</v>
      </c>
      <c r="FF212" s="141" t="str">
        <f t="shared" si="1794"/>
        <v>-</v>
      </c>
      <c r="FG212" s="107">
        <f t="shared" si="1671"/>
        <v>4.0911811290474374</v>
      </c>
      <c r="FH212" s="133">
        <f>IF(SeilBeregnet=0,FH209,(SeilBeregnet^0.5/(Depl^0.3333))^FH$3)</f>
        <v>4.1213124915789194</v>
      </c>
      <c r="FI212" s="133">
        <f>IF(SeilBeregnet=0,FI209,((Loa+Lwl)/Bredde/6)^FI$3)</f>
        <v>0.99268889156232398</v>
      </c>
      <c r="FJ212" s="107">
        <f>IF(SeilBeregnet=0,FJ209,(Lwl*0.07+Loa*0.03)^FJ$3)</f>
        <v>0.95805949060290141</v>
      </c>
      <c r="FK212" s="107">
        <f t="shared" si="1672"/>
        <v>1.2899741661004349</v>
      </c>
      <c r="FL212" s="141" t="str">
        <f t="shared" si="1795"/>
        <v>-</v>
      </c>
      <c r="FM212" s="107">
        <f t="shared" si="1674"/>
        <v>6.3712265313483458</v>
      </c>
      <c r="FN212" s="133">
        <f>IF(SeilBeregnet=0,FN209,(SeilBeregnet^0.5/(Depl^0.3333))^FN$3)</f>
        <v>4.1213124915789194</v>
      </c>
      <c r="FO212" s="133">
        <f>IF(SeilBeregnet=0,FO209,(SeilBeregnet^0.5/Lwl*FO$7)^FO$3)</f>
        <v>1.0229173743072477</v>
      </c>
      <c r="FP212" s="133">
        <f>IF(SeilBeregnet=0,FP209,((Loa)/Bredde)^FP$3*FP$7)</f>
        <v>1.7269966654621782</v>
      </c>
      <c r="FQ212" s="107">
        <f>IF(SeilBeregnet=0,FQ209,(Lwl)^FQ$3)</f>
        <v>1.7014179278548895</v>
      </c>
      <c r="FR212" s="107">
        <f t="shared" si="1675"/>
        <v>1.2105921142006972</v>
      </c>
      <c r="FS212" s="141" t="str">
        <f t="shared" si="1796"/>
        <v>-</v>
      </c>
      <c r="FT212" s="107">
        <f t="shared" si="1677"/>
        <v>7.1174929302844152</v>
      </c>
      <c r="FU212" s="133">
        <f>IF(SeilBeregnet=0,FU209,(SeilBeregnet^0.5/(Depl^0.3333))^FU$3)</f>
        <v>4.1213124915789194</v>
      </c>
      <c r="FV212" s="133">
        <f>IF(SeilBeregnet=0,FV209,(Loa/Bredde)^FV$3)</f>
        <v>1.7269966654621782</v>
      </c>
      <c r="FW212" s="107">
        <f>IF(SeilBeregnet=0,FW209,Lwl^FW$3)</f>
        <v>1.7014179278548895</v>
      </c>
      <c r="FY212">
        <v>0.95</v>
      </c>
      <c r="FZ212" s="62">
        <f t="shared" si="1452"/>
        <v>1.2313236648791956</v>
      </c>
      <c r="GA212" s="62">
        <f t="shared" si="1378"/>
        <v>2.2968452802704382</v>
      </c>
      <c r="GB212" s="107">
        <f t="shared" si="525"/>
        <v>1.5040832940441677</v>
      </c>
      <c r="GC212" s="440"/>
      <c r="GD212" s="17"/>
      <c r="GE212" s="442"/>
      <c r="GF212" s="462"/>
      <c r="GG212" s="17"/>
      <c r="GH212" s="17"/>
      <c r="GI212" s="17"/>
      <c r="GJ212" s="17"/>
      <c r="GL212" s="17"/>
      <c r="GM212" s="442"/>
      <c r="GN212" s="8"/>
      <c r="GO212" s="8"/>
      <c r="GP212" s="8"/>
      <c r="GQ212" s="8"/>
      <c r="GS212" s="17"/>
      <c r="GT212" s="17"/>
      <c r="GU212" s="17"/>
      <c r="GV212" s="629"/>
      <c r="GW212" s="17"/>
      <c r="GX212" s="17"/>
      <c r="GY212" s="17"/>
      <c r="GZ212" s="17"/>
    </row>
    <row r="213" spans="1:208" ht="15.6" x14ac:dyDescent="0.3">
      <c r="A213" s="52" t="s">
        <v>907</v>
      </c>
      <c r="B213" s="218">
        <f t="shared" ref="B213:B214" si="1935">Loa/0.3048</f>
        <v>38.385826771653541</v>
      </c>
      <c r="C213" s="53" t="s">
        <v>19</v>
      </c>
      <c r="D213" s="53"/>
      <c r="E213" s="53"/>
      <c r="F213" s="53"/>
      <c r="G213" s="54"/>
      <c r="H213" s="204"/>
      <c r="I213" s="123" t="str">
        <f>A213</f>
        <v>Løpern</v>
      </c>
      <c r="J213" s="223"/>
      <c r="K213" s="116"/>
      <c r="L213" s="116"/>
      <c r="M213" s="92"/>
      <c r="N213" s="242"/>
      <c r="O213" s="165"/>
      <c r="P213" s="165"/>
      <c r="Q213" s="165"/>
      <c r="R213" s="165">
        <v>21.1</v>
      </c>
      <c r="S213" s="165">
        <v>11.4</v>
      </c>
      <c r="T213" s="165"/>
      <c r="U213" s="165">
        <v>17.3</v>
      </c>
      <c r="V213" s="559"/>
      <c r="W213" s="559"/>
      <c r="X213" s="165">
        <v>39</v>
      </c>
      <c r="Y213" s="165"/>
      <c r="Z213" s="165"/>
      <c r="AA213" s="165">
        <v>14</v>
      </c>
      <c r="AB213" s="165">
        <v>10.220000000000001</v>
      </c>
      <c r="AC213" s="165"/>
      <c r="AD213" s="165"/>
      <c r="AE213" s="165"/>
      <c r="AF213" s="165"/>
      <c r="AG213" s="552"/>
      <c r="AH213" s="241"/>
      <c r="AI213" s="241">
        <v>9.9</v>
      </c>
      <c r="AJ213" s="554"/>
      <c r="AK213" s="339"/>
      <c r="AL213" s="268"/>
      <c r="AM213" s="339"/>
      <c r="AN213" s="268" t="s">
        <v>211</v>
      </c>
      <c r="AO213" s="45">
        <f>VLOOKUP(AN213,Skrogform!$1:$1048576,3,FALSE)</f>
        <v>0.98</v>
      </c>
      <c r="AP213" s="55">
        <v>11.7</v>
      </c>
      <c r="AQ213" s="55">
        <v>10.199999999999999</v>
      </c>
      <c r="AR213" s="55">
        <v>3.85</v>
      </c>
      <c r="AS213" s="55">
        <v>1.9</v>
      </c>
      <c r="AT213" s="637">
        <v>15.17</v>
      </c>
      <c r="AU213" s="55">
        <v>15.17</v>
      </c>
      <c r="AV213" s="55">
        <v>4.2</v>
      </c>
      <c r="AW213" s="55">
        <v>1</v>
      </c>
      <c r="AX213" s="253"/>
      <c r="AY213" s="253">
        <v>38</v>
      </c>
      <c r="AZ213" s="253">
        <v>200</v>
      </c>
      <c r="BA213" s="253"/>
      <c r="BB213" s="253"/>
      <c r="BC213" s="244">
        <f>Depl+Diesel/1000*0.84+Vann/1000</f>
        <v>15.17</v>
      </c>
      <c r="BD213" s="95">
        <f>Bredde/(Loa+Lwl)*2</f>
        <v>0.35159817351598177</v>
      </c>
      <c r="BE213" s="95">
        <f>(Kjøl+Ballast)/Depl</f>
        <v>0.34278180619644033</v>
      </c>
      <c r="BF213" s="260">
        <f>BF$7*((Depl-Kjøl-Ballast-VektMotor/1000-VektAnnet/1000)/Lwl/Lwl/Bredde)</f>
        <v>0.92047736707736716</v>
      </c>
      <c r="BG213" s="95">
        <f>BG$7*(Depl/Loa/Lwl/Lwl)</f>
        <v>0.91709349002849005</v>
      </c>
      <c r="BH213" s="174">
        <f>BH$7*(Depl/Loa/Lwl/Bredde)</f>
        <v>0.89810138195138201</v>
      </c>
      <c r="BI213" s="95">
        <f>BI$7*Bredde/(Loa+Lwl)*2</f>
        <v>1.0029999509009673</v>
      </c>
      <c r="BJ213" s="95">
        <f>BJ$7*(Dypg/Lwl)</f>
        <v>1.018840579710145</v>
      </c>
      <c r="BK213" s="56" t="s">
        <v>21</v>
      </c>
      <c r="BL213" s="268">
        <v>3</v>
      </c>
      <c r="BM213" s="268">
        <v>53</v>
      </c>
      <c r="BN213" s="45">
        <f t="shared" si="1932"/>
        <v>1</v>
      </c>
      <c r="BO213" s="59"/>
      <c r="BP213" s="59"/>
      <c r="BR213" s="209"/>
      <c r="BS213" s="209"/>
      <c r="BT213" s="209" t="str">
        <f>$A213</f>
        <v>Løpern</v>
      </c>
      <c r="BU213" s="10"/>
      <c r="BV213" s="10"/>
      <c r="BW213" s="10"/>
      <c r="BX213" s="10"/>
      <c r="BY213" s="549"/>
      <c r="BZ213" s="10"/>
      <c r="CA213" s="10"/>
      <c r="CB213" s="209" t="str">
        <f>$A213</f>
        <v>Løpern</v>
      </c>
      <c r="CC213" s="10"/>
      <c r="CD213" s="10"/>
      <c r="CE213" s="10"/>
      <c r="CF213" s="10"/>
      <c r="CG213" s="10"/>
      <c r="CH213" s="10"/>
      <c r="CI213" s="10"/>
      <c r="CJ213" s="10"/>
      <c r="CK213" s="10"/>
      <c r="CL213" s="209"/>
      <c r="CM213" s="10"/>
      <c r="CN213" s="209" t="str">
        <f>$A213</f>
        <v>Løpern</v>
      </c>
      <c r="CO213" s="207"/>
      <c r="CP213" s="207"/>
      <c r="CQ213" s="116"/>
      <c r="CR213" s="207"/>
      <c r="CS213" s="203"/>
      <c r="CT213" s="203" t="s">
        <v>23</v>
      </c>
      <c r="CU213" s="107" t="str">
        <f t="shared" si="1041"/>
        <v>-</v>
      </c>
      <c r="CV213" s="62" t="str">
        <f t="shared" si="523"/>
        <v>-</v>
      </c>
      <c r="CW213" s="62" t="str">
        <f t="shared" si="998"/>
        <v>-</v>
      </c>
      <c r="CX213" s="62" t="str">
        <f t="shared" si="524"/>
        <v>-</v>
      </c>
      <c r="CY213" s="107" t="str">
        <f t="shared" si="999"/>
        <v>-</v>
      </c>
      <c r="CZ213" s="168">
        <f t="shared" si="1875"/>
        <v>1.159764705882353</v>
      </c>
      <c r="DA213" s="158">
        <v>0.93</v>
      </c>
      <c r="DB213" s="168">
        <f>DB$7*DC213</f>
        <v>1.1436842105263159</v>
      </c>
      <c r="DC213" s="160">
        <v>1.23</v>
      </c>
      <c r="DD213" s="190" t="s">
        <v>134</v>
      </c>
      <c r="DE213" s="29" t="s">
        <v>23</v>
      </c>
      <c r="DF213" s="29" t="s">
        <v>23</v>
      </c>
      <c r="DG213" s="29" t="s">
        <v>23</v>
      </c>
      <c r="DH213" s="149">
        <v>2022</v>
      </c>
      <c r="DI213" s="62" t="str">
        <f t="shared" si="542"/>
        <v>-</v>
      </c>
      <c r="DJ213" s="47">
        <f t="shared" si="543"/>
        <v>12.624584717607974</v>
      </c>
      <c r="DK213" s="48">
        <f t="shared" si="1726"/>
        <v>0</v>
      </c>
      <c r="DM213" s="107" t="str">
        <f t="shared" si="1658"/>
        <v>-</v>
      </c>
      <c r="DN213" s="141" t="str">
        <f t="shared" ref="DN213" si="1936">IF($DY213=0,"-",(DM213-$DW213)*100)</f>
        <v>-</v>
      </c>
      <c r="DO213" s="107">
        <f t="shared" si="1727"/>
        <v>5.0918052395540068</v>
      </c>
      <c r="DP213" s="133">
        <f>IF(SeilBeregnet=0,DP208,(SeilBeregnet^0.5/(Depl^0.3333))^DP$3*DP$7)</f>
        <v>3.3648085740918283</v>
      </c>
      <c r="DQ213" s="133">
        <f>IF(SeilBeregnet=0,DQ208,(SeilBeregnet^0.5/Lwl)^DQ$3*DQ$7)</f>
        <v>0</v>
      </c>
      <c r="DR213" s="133">
        <f>IF(SeilBeregnet=0,DR208,(0.1*Loa/Depl^0.3333)^DR$3*DR$7)</f>
        <v>0</v>
      </c>
      <c r="DS213" s="133">
        <f>IF(SeilBeregnet=0,DS208,((Loa)/Bredde)^DS$3*DS$7)</f>
        <v>1.7269966654621782</v>
      </c>
      <c r="DT213" s="107">
        <f>IF(SeilBeregnet=0,DT208,(Lwl)^DT$3)</f>
        <v>1.7014179278548895</v>
      </c>
      <c r="DU213" s="133">
        <f>IF(SeilBeregnet=0,DU208,(Dypg/Loa)^DU$3*5*DU$7)</f>
        <v>2.2968452802704382</v>
      </c>
      <c r="DW213" s="107" t="str">
        <f t="shared" si="512"/>
        <v>-</v>
      </c>
      <c r="DX213" s="107" t="str">
        <f t="shared" si="544"/>
        <v>-</v>
      </c>
      <c r="DZ213" s="107" t="str">
        <f t="shared" si="545"/>
        <v>-</v>
      </c>
      <c r="EA213" s="122" t="str">
        <f t="shared" ref="EA213" si="1937">IF($DY213=0,"-",DZ213-$DW213)</f>
        <v>-</v>
      </c>
      <c r="EB213" s="107" t="str">
        <f t="shared" si="1728"/>
        <v>-</v>
      </c>
      <c r="EC213" s="122" t="str">
        <f t="shared" ref="EC213" si="1938">IF($DY213=0,"-",EB213-$DW213)</f>
        <v>-</v>
      </c>
      <c r="ED213" s="107" t="e">
        <f>IF(SeilBeregnet=0,#REF!,SeilBeregnet^0.5/Depl^0.33333)</f>
        <v>#REF!</v>
      </c>
      <c r="EE213" s="107" t="e">
        <f>IF(SeilBeregnet=0,#REF!,Lwl^0.3333)</f>
        <v>#REF!</v>
      </c>
      <c r="EF213" s="107" t="e">
        <f>IF(SeilBeregnet=0,#REF!,((Loa+Lwl)/Bredde)^EF$3)</f>
        <v>#REF!</v>
      </c>
      <c r="EH213" s="107" t="str">
        <f t="shared" si="1729"/>
        <v>-</v>
      </c>
      <c r="EJ213" s="107" t="e">
        <f>IF(SeilBeregnet=0,#REF!,SeilBeregnet^0.5/Depl^0.33333)</f>
        <v>#REF!</v>
      </c>
      <c r="EK213" s="107" t="e">
        <f>IF(SeilBeregnet=0,#REF!,Lwl^EK$3)</f>
        <v>#REF!</v>
      </c>
      <c r="EL213" s="107" t="e">
        <f>IF(SeilBeregnet=0,#REF!,((Loa+Lwl)/Bredde)^EL$3)</f>
        <v>#REF!</v>
      </c>
      <c r="EM213" s="107" t="str">
        <f t="shared" si="1730"/>
        <v>-</v>
      </c>
      <c r="EO213" s="107" t="e">
        <f>IF(SeilBeregnet=0,#REF!,(EP213*EQ213)^EO$3)</f>
        <v>#REF!</v>
      </c>
      <c r="EP213" s="107" t="e">
        <f>IF(SeilBeregnet=0,#REF!,SeilBeregnet^0.5/Depl^0.33333)</f>
        <v>#REF!</v>
      </c>
      <c r="EQ213" s="107" t="e">
        <f>IF(SeilBeregnet=0,#REF!,((Loa+Lwl)/Bredde)^EQ$3)</f>
        <v>#REF!</v>
      </c>
      <c r="ER213" s="107" t="e">
        <f>IF(SeilBeregnet=0,#REF!,Lwl^ER$3)</f>
        <v>#REF!</v>
      </c>
      <c r="ES213" s="107" t="str">
        <f t="shared" si="1666"/>
        <v>-</v>
      </c>
      <c r="EU213" s="107" t="e">
        <f>IF(SeilBeregnet=0,#REF!,(EV:EV*EW:EW)^EU$3)</f>
        <v>#REF!</v>
      </c>
      <c r="EV213" s="107" t="e">
        <f>IF(SeilBeregnet=0,#REF!,SeilBeregnet^0.5/Depl^0.33333)</f>
        <v>#REF!</v>
      </c>
      <c r="EW213" s="107" t="e">
        <f>IF(SeilBeregnet=0,#REF!,((Loa+Lwl)/Bredde/6)^EW$3)</f>
        <v>#REF!</v>
      </c>
      <c r="EX213" s="107" t="e">
        <f>IF(SeilBeregnet=0,#REF!,(Lwl*0.7+Loa*0.3)^EX$3)</f>
        <v>#REF!</v>
      </c>
      <c r="EY213" s="107" t="str">
        <f t="shared" si="1667"/>
        <v>-</v>
      </c>
      <c r="FA213" s="107" t="e">
        <f t="shared" si="1668"/>
        <v>#REF!</v>
      </c>
      <c r="FB213" s="107" t="e">
        <f>IF(SeilBeregnet=0,#REF!,SeilBeregnet^0.5/Depl^0.3333)</f>
        <v>#REF!</v>
      </c>
      <c r="FC213" s="107" t="e">
        <f>IF(SeilBeregnet=0,#REF!,((Loa+Lwl)/Bredde/6)^FC$3)</f>
        <v>#REF!</v>
      </c>
      <c r="FD213" s="107" t="e">
        <f>IF(SeilBeregnet=0,#REF!,(Lwl*0.7+Loa*0.3)^FD$3)</f>
        <v>#REF!</v>
      </c>
      <c r="FE213" s="107" t="str">
        <f t="shared" si="1669"/>
        <v>-</v>
      </c>
      <c r="FF213" s="141" t="str">
        <f t="shared" ref="FF213" si="1939">IF($DY213=0,"-",(FE213-$DW213)*100)</f>
        <v>-</v>
      </c>
      <c r="FG213" s="107" t="e">
        <f t="shared" si="1671"/>
        <v>#REF!</v>
      </c>
      <c r="FH213" s="133" t="e">
        <f>IF(SeilBeregnet=0,#REF!,(SeilBeregnet^0.5/(Depl^0.3333))^FH$3)</f>
        <v>#REF!</v>
      </c>
      <c r="FI213" s="133" t="e">
        <f>IF(SeilBeregnet=0,#REF!,((Loa+Lwl)/Bredde/6)^FI$3)</f>
        <v>#REF!</v>
      </c>
      <c r="FJ213" s="107" t="e">
        <f>IF(SeilBeregnet=0,#REF!,(Lwl*0.07+Loa*0.03)^FJ$3)</f>
        <v>#REF!</v>
      </c>
      <c r="FK213" s="107" t="str">
        <f t="shared" si="1672"/>
        <v>-</v>
      </c>
      <c r="FL213" s="141" t="str">
        <f t="shared" ref="FL213" si="1940">IF($DY213=0,"-",(FK213-$DW213)*100)</f>
        <v>-</v>
      </c>
      <c r="FM213" s="107" t="e">
        <f t="shared" si="1674"/>
        <v>#REF!</v>
      </c>
      <c r="FN213" s="133" t="e">
        <f>IF(SeilBeregnet=0,#REF!,(SeilBeregnet^0.5/(Depl^0.3333))^FN$3)</f>
        <v>#REF!</v>
      </c>
      <c r="FO213" s="133" t="e">
        <f>IF(SeilBeregnet=0,#REF!,(SeilBeregnet^0.5/Lwl*FO$7)^FO$3)</f>
        <v>#REF!</v>
      </c>
      <c r="FP213" s="133" t="e">
        <f>IF(SeilBeregnet=0,#REF!,((Loa)/Bredde)^FP$3*FP$7)</f>
        <v>#REF!</v>
      </c>
      <c r="FQ213" s="107" t="e">
        <f>IF(SeilBeregnet=0,#REF!,(Lwl)^FQ$3)</f>
        <v>#REF!</v>
      </c>
      <c r="FR213" s="107" t="str">
        <f t="shared" si="1675"/>
        <v>-</v>
      </c>
      <c r="FS213" s="141" t="str">
        <f t="shared" ref="FS213" si="1941">IF($DY213=0,"-",(FR213-$DW213)*100)</f>
        <v>-</v>
      </c>
      <c r="FT213" s="107" t="e">
        <f t="shared" si="1677"/>
        <v>#REF!</v>
      </c>
      <c r="FU213" s="133" t="e">
        <f>IF(SeilBeregnet=0,#REF!,(SeilBeregnet^0.5/(Depl^0.3333))^FU$3)</f>
        <v>#REF!</v>
      </c>
      <c r="FV213" s="133" t="e">
        <f>IF(SeilBeregnet=0,#REF!,(Loa/Bredde)^FV$3)</f>
        <v>#REF!</v>
      </c>
      <c r="FW213" s="107" t="e">
        <f>IF(SeilBeregnet=0,#REF!,Lwl^FW$3)</f>
        <v>#REF!</v>
      </c>
      <c r="FY213">
        <v>0.95</v>
      </c>
      <c r="FZ213" s="62" t="str">
        <f t="shared" si="1452"/>
        <v>-</v>
      </c>
      <c r="GA213" s="62">
        <f t="shared" si="1378"/>
        <v>2.0149017494232964</v>
      </c>
      <c r="GB213" s="107" t="str">
        <f t="shared" si="525"/>
        <v>-</v>
      </c>
      <c r="GC213" s="441"/>
      <c r="GD213" s="57" t="s">
        <v>75</v>
      </c>
      <c r="GE213" s="436"/>
      <c r="GF213" s="75"/>
      <c r="GG213" s="57"/>
      <c r="GH213" s="57"/>
      <c r="GI213" s="57"/>
      <c r="GJ213" s="57"/>
      <c r="GL213" s="57" t="s">
        <v>478</v>
      </c>
      <c r="GM213" s="436" t="s">
        <v>478</v>
      </c>
      <c r="GN213" s="58" t="s">
        <v>478</v>
      </c>
      <c r="GO213" s="58" t="s">
        <v>478</v>
      </c>
      <c r="GP213" s="58" t="s">
        <v>478</v>
      </c>
      <c r="GQ213" s="58" t="s">
        <v>478</v>
      </c>
      <c r="GS213" s="57"/>
      <c r="GT213" s="57"/>
      <c r="GU213" s="57"/>
      <c r="GV213" s="632"/>
      <c r="GW213" s="57"/>
      <c r="GX213" s="57"/>
      <c r="GY213" s="57"/>
      <c r="GZ213" s="57"/>
    </row>
    <row r="214" spans="1:208" ht="15.6" x14ac:dyDescent="0.3">
      <c r="A214" s="52" t="s">
        <v>907</v>
      </c>
      <c r="B214" s="218">
        <f t="shared" si="1935"/>
        <v>38.385826771653541</v>
      </c>
      <c r="C214" s="53" t="s">
        <v>19</v>
      </c>
      <c r="D214" s="53"/>
      <c r="E214" s="53"/>
      <c r="F214" s="53"/>
      <c r="G214" s="54"/>
      <c r="H214" s="112">
        <f>J215</f>
        <v>92.8</v>
      </c>
      <c r="I214" s="601">
        <f>H215/100</f>
        <v>1.1749999999999998</v>
      </c>
      <c r="J214" s="651">
        <f>IF(DC215=0,"-",DC215)</f>
        <v>1.24</v>
      </c>
      <c r="K214" s="123" t="str">
        <f>A214</f>
        <v>Løpern</v>
      </c>
      <c r="L214" s="116"/>
      <c r="M214" s="116"/>
      <c r="N214" s="92"/>
      <c r="O214" s="165"/>
      <c r="P214" s="165"/>
      <c r="Q214" s="165"/>
      <c r="R214" s="177">
        <v>22.2</v>
      </c>
      <c r="S214" s="165">
        <v>11.4</v>
      </c>
      <c r="T214" s="165"/>
      <c r="U214" s="177">
        <v>19.3</v>
      </c>
      <c r="V214" s="559"/>
      <c r="W214" s="559"/>
      <c r="X214" s="177">
        <v>41.1</v>
      </c>
      <c r="Y214" s="165"/>
      <c r="Z214" s="165"/>
      <c r="AA214" s="165">
        <v>14</v>
      </c>
      <c r="AB214" s="165">
        <v>10.199999999999999</v>
      </c>
      <c r="AC214" s="165"/>
      <c r="AD214" s="165"/>
      <c r="AE214" s="165"/>
      <c r="AF214" s="165"/>
      <c r="AG214" s="552"/>
      <c r="AH214" s="241"/>
      <c r="AI214" s="241">
        <v>9.9</v>
      </c>
      <c r="AJ214" s="554"/>
      <c r="AK214" s="339"/>
      <c r="AL214" s="268"/>
      <c r="AM214" s="339"/>
      <c r="AN214" s="268" t="s">
        <v>211</v>
      </c>
      <c r="AO214" s="45">
        <f>VLOOKUP(AN214,Skrogform!$1:$1048576,3,FALSE)</f>
        <v>0.98</v>
      </c>
      <c r="AP214" s="55">
        <v>11.7</v>
      </c>
      <c r="AQ214" s="55">
        <v>10.199999999999999</v>
      </c>
      <c r="AR214" s="55">
        <v>3.85</v>
      </c>
      <c r="AS214" s="55">
        <v>1.9</v>
      </c>
      <c r="AT214" s="637">
        <v>15.17</v>
      </c>
      <c r="AU214" s="55">
        <v>15.17</v>
      </c>
      <c r="AV214" s="55">
        <v>4.2</v>
      </c>
      <c r="AW214" s="55">
        <v>1</v>
      </c>
      <c r="AX214" s="253"/>
      <c r="AY214" s="253">
        <v>38</v>
      </c>
      <c r="AZ214" s="253">
        <v>200</v>
      </c>
      <c r="BA214" s="253"/>
      <c r="BB214" s="253"/>
      <c r="BC214" s="244">
        <f>Depl+Diesel/1000*0.84+Vann/1000</f>
        <v>15.17</v>
      </c>
      <c r="BD214" s="95">
        <f>Bredde/(Loa+Lwl)*2</f>
        <v>0.35159817351598177</v>
      </c>
      <c r="BE214" s="95">
        <f>(Kjøl+Ballast)/Depl</f>
        <v>0.34278180619644033</v>
      </c>
      <c r="BF214" s="260">
        <f>BF$7*((Depl-Kjøl-Ballast-VektMotor/1000-VektAnnet/1000)/Lwl/Lwl/Bredde)</f>
        <v>0.92047736707736716</v>
      </c>
      <c r="BG214" s="95">
        <f>BG$7*(Depl/Loa/Lwl/Lwl)</f>
        <v>0.91709349002849005</v>
      </c>
      <c r="BH214" s="174">
        <f>BH$7*(Depl/Loa/Lwl/Bredde)</f>
        <v>0.89810138195138201</v>
      </c>
      <c r="BI214" s="95">
        <f>BI$7*Bredde/(Loa+Lwl)*2</f>
        <v>1.0029999509009673</v>
      </c>
      <c r="BJ214" s="95">
        <f>BJ$7*(Dypg/Lwl)</f>
        <v>1.018840579710145</v>
      </c>
      <c r="BK214" s="56" t="s">
        <v>21</v>
      </c>
      <c r="BL214" s="268">
        <v>3</v>
      </c>
      <c r="BM214" s="268">
        <v>53</v>
      </c>
      <c r="BN214" s="45">
        <f t="shared" si="1932"/>
        <v>1</v>
      </c>
      <c r="BO214" s="36">
        <v>0.02</v>
      </c>
      <c r="BP214" s="59"/>
      <c r="BR214" s="209"/>
      <c r="BS214" s="209"/>
      <c r="BT214" s="209" t="str">
        <f>$A214</f>
        <v>Løpern</v>
      </c>
      <c r="BU214" s="10"/>
      <c r="BV214" s="10"/>
      <c r="BW214" s="10"/>
      <c r="BX214" s="10"/>
      <c r="BY214" s="549"/>
      <c r="BZ214" s="10"/>
      <c r="CA214" s="10"/>
      <c r="CB214" s="209" t="str">
        <f>$A214</f>
        <v>Løpern</v>
      </c>
      <c r="CC214" s="10"/>
      <c r="CD214" s="10"/>
      <c r="CE214" s="10"/>
      <c r="CF214" s="10"/>
      <c r="CG214" s="10"/>
      <c r="CH214" s="10"/>
      <c r="CI214" s="10"/>
      <c r="CJ214" s="10"/>
      <c r="CK214" s="10"/>
      <c r="CL214" s="209"/>
      <c r="CM214" s="10"/>
      <c r="CN214" s="209" t="str">
        <f>$A214</f>
        <v>Løpern</v>
      </c>
      <c r="CO214" s="207"/>
      <c r="CP214" s="207"/>
      <c r="CQ214" s="116"/>
      <c r="CR214" s="207"/>
      <c r="CS214" s="203"/>
      <c r="CT214" s="203" t="s">
        <v>23</v>
      </c>
      <c r="CU214" s="107" t="str">
        <f t="shared" si="1041"/>
        <v>-</v>
      </c>
      <c r="CV214" s="62" t="str">
        <f t="shared" si="523"/>
        <v>-</v>
      </c>
      <c r="CW214" s="62" t="str">
        <f t="shared" si="998"/>
        <v>-</v>
      </c>
      <c r="CX214" s="62" t="str">
        <f t="shared" si="524"/>
        <v>-</v>
      </c>
      <c r="CY214" s="107" t="str">
        <f t="shared" si="999"/>
        <v>-</v>
      </c>
      <c r="CZ214" s="168">
        <f t="shared" si="1875"/>
        <v>1.159764705882353</v>
      </c>
      <c r="DA214" s="158">
        <v>0.93</v>
      </c>
      <c r="DB214" s="168">
        <f>DB$7*DC214</f>
        <v>0</v>
      </c>
      <c r="DC214" s="160"/>
      <c r="DD214" s="190" t="s">
        <v>134</v>
      </c>
      <c r="DE214" s="29" t="s">
        <v>23</v>
      </c>
      <c r="DF214" s="29" t="s">
        <v>23</v>
      </c>
      <c r="DG214" s="29" t="s">
        <v>23</v>
      </c>
      <c r="DH214" s="149">
        <v>2022</v>
      </c>
      <c r="DI214" s="62" t="str">
        <f t="shared" si="542"/>
        <v>-</v>
      </c>
      <c r="DJ214" s="47">
        <f t="shared" si="543"/>
        <v>12.624584717607974</v>
      </c>
      <c r="DK214" s="48">
        <f t="shared" si="1726"/>
        <v>0</v>
      </c>
      <c r="DM214" s="107" t="str">
        <f t="shared" si="1658"/>
        <v>-</v>
      </c>
      <c r="DN214" s="141" t="str">
        <f t="shared" ref="DN214" si="1942">IF($DY214=0,"-",(DM214-$DW214)*100)</f>
        <v>-</v>
      </c>
      <c r="DO214" s="107">
        <f t="shared" si="1727"/>
        <v>5.8483091570410979</v>
      </c>
      <c r="DP214" s="133">
        <f>IF(SeilBeregnet=0,DP212,(SeilBeregnet^0.5/(Depl^0.3333))^DP$3*DP$7)</f>
        <v>4.1213124915789194</v>
      </c>
      <c r="DQ214" s="133">
        <f>IF(SeilBeregnet=0,DQ212,(SeilBeregnet^0.5/Lwl)^DQ$3*DQ$7)</f>
        <v>0</v>
      </c>
      <c r="DR214" s="133">
        <f>IF(SeilBeregnet=0,DR212,(0.1*Loa/Depl^0.3333)^DR$3*DR$7)</f>
        <v>0</v>
      </c>
      <c r="DS214" s="133">
        <f>IF(SeilBeregnet=0,DS212,((Loa)/Bredde)^DS$3*DS$7)</f>
        <v>1.7269966654621782</v>
      </c>
      <c r="DT214" s="107">
        <f>IF(SeilBeregnet=0,DT212,(Lwl)^DT$3)</f>
        <v>1.7014179278548895</v>
      </c>
      <c r="DU214" s="133">
        <f>IF(SeilBeregnet=0,DU212,(Dypg/Loa)^DU$3*5*DU$7)</f>
        <v>2.2968452802704382</v>
      </c>
      <c r="DW214" s="107" t="str">
        <f t="shared" si="512"/>
        <v>-</v>
      </c>
      <c r="DX214" s="107" t="str">
        <f t="shared" si="544"/>
        <v>-</v>
      </c>
      <c r="DZ214" s="107" t="str">
        <f t="shared" si="545"/>
        <v>-</v>
      </c>
      <c r="EA214" s="122" t="str">
        <f t="shared" ref="EA214" si="1943">IF($DY214=0,"-",DZ214-$DW214)</f>
        <v>-</v>
      </c>
      <c r="EB214" s="107" t="str">
        <f t="shared" si="1728"/>
        <v>-</v>
      </c>
      <c r="EC214" s="122" t="str">
        <f t="shared" ref="EC214" si="1944">IF($DY214=0,"-",EB214-$DW214)</f>
        <v>-</v>
      </c>
      <c r="ED214" s="107" t="e">
        <f>IF(SeilBeregnet=0,ED213,SeilBeregnet^0.5/Depl^0.33333)</f>
        <v>#REF!</v>
      </c>
      <c r="EE214" s="107" t="e">
        <f>IF(SeilBeregnet=0,EE213,Lwl^0.3333)</f>
        <v>#REF!</v>
      </c>
      <c r="EF214" s="107" t="e">
        <f t="shared" ref="EF214:EF242" si="1945">IF(SeilBeregnet=0,EF213,((Loa+Lwl)/Bredde)^EF$3)</f>
        <v>#REF!</v>
      </c>
      <c r="EH214" s="107" t="str">
        <f t="shared" si="1729"/>
        <v>-</v>
      </c>
      <c r="EJ214" s="107" t="e">
        <f>IF(SeilBeregnet=0,EJ213,SeilBeregnet^0.5/Depl^0.33333)</f>
        <v>#REF!</v>
      </c>
      <c r="EK214" s="107" t="e">
        <f t="shared" ref="EK214:EK242" si="1946">IF(SeilBeregnet=0,EK213,Lwl^EK$3)</f>
        <v>#REF!</v>
      </c>
      <c r="EL214" s="107" t="e">
        <f t="shared" ref="EL214:EL242" si="1947">IF(SeilBeregnet=0,EL213,((Loa+Lwl)/Bredde)^EL$3)</f>
        <v>#REF!</v>
      </c>
      <c r="EM214" s="107" t="str">
        <f t="shared" si="1730"/>
        <v>-</v>
      </c>
      <c r="EO214" s="107" t="e">
        <f t="shared" ref="EO214:EO242" si="1948">IF(SeilBeregnet=0,EO213,(EP214*EQ214)^EO$3)</f>
        <v>#REF!</v>
      </c>
      <c r="EP214" s="107" t="e">
        <f>IF(SeilBeregnet=0,EP213,SeilBeregnet^0.5/Depl^0.33333)</f>
        <v>#REF!</v>
      </c>
      <c r="EQ214" s="107" t="e">
        <f t="shared" ref="EQ214:EQ242" si="1949">IF(SeilBeregnet=0,EQ213,((Loa+Lwl)/Bredde)^EQ$3)</f>
        <v>#REF!</v>
      </c>
      <c r="ER214" s="107" t="e">
        <f t="shared" ref="ER214:ER242" si="1950">IF(SeilBeregnet=0,ER213,Lwl^ER$3)</f>
        <v>#REF!</v>
      </c>
      <c r="ES214" s="107" t="str">
        <f t="shared" si="1666"/>
        <v>-</v>
      </c>
      <c r="EU214" s="107" t="e">
        <f t="shared" ref="EU214:EU242" si="1951">IF(SeilBeregnet=0,EU213,(EV:EV*EW:EW)^EU$3)</f>
        <v>#REF!</v>
      </c>
      <c r="EV214" s="107" t="e">
        <f>IF(SeilBeregnet=0,EV213,SeilBeregnet^0.5/Depl^0.33333)</f>
        <v>#REF!</v>
      </c>
      <c r="EW214" s="107" t="e">
        <f t="shared" ref="EW214:EW242" si="1952">IF(SeilBeregnet=0,EW213,((Loa+Lwl)/Bredde/6)^EW$3)</f>
        <v>#REF!</v>
      </c>
      <c r="EX214" s="107" t="e">
        <f t="shared" ref="EX214:EX242" si="1953">IF(SeilBeregnet=0,EX213,(Lwl*0.7+Loa*0.3)^EX$3)</f>
        <v>#REF!</v>
      </c>
      <c r="EY214" s="107" t="str">
        <f t="shared" si="1667"/>
        <v>-</v>
      </c>
      <c r="FA214" s="107" t="e">
        <f t="shared" si="1668"/>
        <v>#REF!</v>
      </c>
      <c r="FB214" s="107" t="e">
        <f>IF(SeilBeregnet=0,FB213,SeilBeregnet^0.5/Depl^0.3333)</f>
        <v>#REF!</v>
      </c>
      <c r="FC214" s="107" t="e">
        <f t="shared" ref="FC214:FC242" si="1954">IF(SeilBeregnet=0,FC213,((Loa+Lwl)/Bredde/6)^FC$3)</f>
        <v>#REF!</v>
      </c>
      <c r="FD214" s="107" t="e">
        <f t="shared" ref="FD214:FD242" si="1955">IF(SeilBeregnet=0,FD213,(Lwl*0.7+Loa*0.3)^FD$3)</f>
        <v>#REF!</v>
      </c>
      <c r="FE214" s="107" t="str">
        <f t="shared" si="1669"/>
        <v>-</v>
      </c>
      <c r="FF214" s="141" t="str">
        <f t="shared" ref="FF214" si="1956">IF($DY214=0,"-",(FE214-$DW214)*100)</f>
        <v>-</v>
      </c>
      <c r="FG214" s="107" t="e">
        <f t="shared" si="1671"/>
        <v>#REF!</v>
      </c>
      <c r="FH214" s="133" t="e">
        <f t="shared" ref="FH214:FH242" si="1957">IF(SeilBeregnet=0,FH213,(SeilBeregnet^0.5/(Depl^0.3333))^FH$3)</f>
        <v>#REF!</v>
      </c>
      <c r="FI214" s="133" t="e">
        <f t="shared" ref="FI214:FI242" si="1958">IF(SeilBeregnet=0,FI213,((Loa+Lwl)/Bredde/6)^FI$3)</f>
        <v>#REF!</v>
      </c>
      <c r="FJ214" s="107" t="e">
        <f t="shared" ref="FJ214:FJ242" si="1959">IF(SeilBeregnet=0,FJ213,(Lwl*0.07+Loa*0.03)^FJ$3)</f>
        <v>#REF!</v>
      </c>
      <c r="FK214" s="107" t="str">
        <f t="shared" si="1672"/>
        <v>-</v>
      </c>
      <c r="FL214" s="141" t="str">
        <f t="shared" ref="FL214" si="1960">IF($DY214=0,"-",(FK214-$DW214)*100)</f>
        <v>-</v>
      </c>
      <c r="FM214" s="107" t="e">
        <f t="shared" si="1674"/>
        <v>#REF!</v>
      </c>
      <c r="FN214" s="133" t="e">
        <f t="shared" ref="FN214:FN242" si="1961">IF(SeilBeregnet=0,FN213,(SeilBeregnet^0.5/(Depl^0.3333))^FN$3)</f>
        <v>#REF!</v>
      </c>
      <c r="FO214" s="133" t="e">
        <f t="shared" ref="FO214:FO242" si="1962">IF(SeilBeregnet=0,FO213,(SeilBeregnet^0.5/Lwl*FO$7)^FO$3)</f>
        <v>#REF!</v>
      </c>
      <c r="FP214" s="133" t="e">
        <f t="shared" ref="FP214:FP242" si="1963">IF(SeilBeregnet=0,FP213,((Loa)/Bredde)^FP$3*FP$7)</f>
        <v>#REF!</v>
      </c>
      <c r="FQ214" s="107" t="e">
        <f t="shared" ref="FQ214:FQ242" si="1964">IF(SeilBeregnet=0,FQ213,(Lwl)^FQ$3)</f>
        <v>#REF!</v>
      </c>
      <c r="FR214" s="107" t="str">
        <f t="shared" si="1675"/>
        <v>-</v>
      </c>
      <c r="FS214" s="141" t="str">
        <f t="shared" ref="FS214" si="1965">IF($DY214=0,"-",(FR214-$DW214)*100)</f>
        <v>-</v>
      </c>
      <c r="FT214" s="107" t="e">
        <f t="shared" si="1677"/>
        <v>#REF!</v>
      </c>
      <c r="FU214" s="133" t="e">
        <f t="shared" ref="FU214:FU242" si="1966">IF(SeilBeregnet=0,FU213,(SeilBeregnet^0.5/(Depl^0.3333))^FU$3)</f>
        <v>#REF!</v>
      </c>
      <c r="FV214" s="133" t="e">
        <f t="shared" ref="FV214:FV242" si="1967">IF(SeilBeregnet=0,FV213,(Loa/Bredde)^FV$3)</f>
        <v>#REF!</v>
      </c>
      <c r="FW214" s="107" t="e">
        <f t="shared" ref="FW214:FW242" si="1968">IF(SeilBeregnet=0,FW213,Lwl^FW$3)</f>
        <v>#REF!</v>
      </c>
      <c r="FY214">
        <v>0.95</v>
      </c>
      <c r="FZ214" s="62" t="str">
        <f t="shared" si="1452"/>
        <v>-</v>
      </c>
      <c r="GA214" s="62">
        <f t="shared" si="1378"/>
        <v>2.0149017494232964</v>
      </c>
      <c r="GB214" s="107" t="str">
        <f t="shared" si="525"/>
        <v>-</v>
      </c>
      <c r="GC214" s="441"/>
      <c r="GD214" s="57" t="s">
        <v>75</v>
      </c>
      <c r="GE214" s="436"/>
      <c r="GF214" s="75"/>
      <c r="GG214" s="57"/>
      <c r="GH214" s="57"/>
      <c r="GI214" s="57"/>
      <c r="GJ214" s="57"/>
      <c r="GL214" s="57" t="s">
        <v>478</v>
      </c>
      <c r="GM214" s="436" t="s">
        <v>478</v>
      </c>
      <c r="GN214" s="58" t="s">
        <v>478</v>
      </c>
      <c r="GO214" s="58" t="s">
        <v>478</v>
      </c>
      <c r="GP214" s="58" t="s">
        <v>478</v>
      </c>
      <c r="GQ214" s="58" t="s">
        <v>478</v>
      </c>
      <c r="GS214" s="57"/>
      <c r="GT214" s="57"/>
      <c r="GU214" s="57"/>
      <c r="GV214" s="632"/>
      <c r="GW214" s="57"/>
      <c r="GX214" s="57"/>
      <c r="GY214" s="57"/>
      <c r="GZ214" s="57"/>
    </row>
    <row r="215" spans="1:208" ht="15.6" x14ac:dyDescent="0.3">
      <c r="A215" s="60" t="s">
        <v>28</v>
      </c>
      <c r="B215" s="218"/>
      <c r="C215" s="61" t="str">
        <f>C214</f>
        <v>Gaffel</v>
      </c>
      <c r="D215" s="61"/>
      <c r="E215" s="61"/>
      <c r="F215" s="61"/>
      <c r="G215" s="54"/>
      <c r="H215" s="204">
        <f>IF(StH=0,0,TBFavrundet)</f>
        <v>117.49999999999999</v>
      </c>
      <c r="I215" s="63">
        <f>COUNTA(O215:AG215)</f>
        <v>4</v>
      </c>
      <c r="J215" s="222">
        <f>SUM(O215:AG215)</f>
        <v>92.8</v>
      </c>
      <c r="K215" s="116">
        <f>Seilareal/Depl^0.667/K$7</f>
        <v>1.4021231578885733</v>
      </c>
      <c r="L215" s="116">
        <f>Seilareal/Lwl/Lwl/L$7</f>
        <v>1.3533951209118993</v>
      </c>
      <c r="M215" s="92">
        <f>RiggF</f>
        <v>0.7414870689655173</v>
      </c>
      <c r="N215" s="242">
        <f>StHfaktor</f>
        <v>0.99627533344928132</v>
      </c>
      <c r="O215" s="143"/>
      <c r="P215" s="143"/>
      <c r="Q215" s="143"/>
      <c r="R215" s="165">
        <f>R214</f>
        <v>22.2</v>
      </c>
      <c r="S215" s="143"/>
      <c r="T215" s="143"/>
      <c r="U215" s="165">
        <f>U214</f>
        <v>19.3</v>
      </c>
      <c r="V215" s="559"/>
      <c r="W215" s="559"/>
      <c r="X215" s="165">
        <f>X214</f>
        <v>41.1</v>
      </c>
      <c r="Y215" s="143"/>
      <c r="Z215" s="143"/>
      <c r="AA215" s="143"/>
      <c r="AB215" s="165">
        <f>AB214</f>
        <v>10.199999999999999</v>
      </c>
      <c r="AC215" s="143"/>
      <c r="AD215" s="143"/>
      <c r="AE215" s="143"/>
      <c r="AF215" s="143"/>
      <c r="AG215" s="551"/>
      <c r="AH215" s="557">
        <f t="shared" ref="AH215:AI215" si="1969">AH214</f>
        <v>0</v>
      </c>
      <c r="AI215" s="557">
        <f t="shared" si="1969"/>
        <v>9.9</v>
      </c>
      <c r="AJ215" s="337">
        <f t="shared" ref="AJ215:AL218" si="1970" xml:space="preserve"> AJ214</f>
        <v>0</v>
      </c>
      <c r="AK215" s="339"/>
      <c r="AL215" s="337">
        <f t="shared" si="1970"/>
        <v>0</v>
      </c>
      <c r="AM215" s="339"/>
      <c r="AN215" s="267" t="str">
        <f t="shared" ref="AN215" si="1971" xml:space="preserve"> AN214</f>
        <v>Lystb</v>
      </c>
      <c r="AO215" s="45">
        <f>VLOOKUP(AN215,Skrogform!$1:$1048576,3,FALSE)</f>
        <v>0.98</v>
      </c>
      <c r="AP215" s="64">
        <f t="shared" ref="AP215:AZ215" si="1972">AP214</f>
        <v>11.7</v>
      </c>
      <c r="AQ215" s="64">
        <f t="shared" si="1972"/>
        <v>10.199999999999999</v>
      </c>
      <c r="AR215" s="64">
        <f t="shared" si="1972"/>
        <v>3.85</v>
      </c>
      <c r="AS215" s="64">
        <f t="shared" si="1972"/>
        <v>1.9</v>
      </c>
      <c r="AT215" s="64">
        <f t="shared" ref="AT215" si="1973">AT214</f>
        <v>15.17</v>
      </c>
      <c r="AU215" s="64">
        <f t="shared" si="1972"/>
        <v>15.17</v>
      </c>
      <c r="AV215" s="64">
        <f t="shared" si="1972"/>
        <v>4.2</v>
      </c>
      <c r="AW215" s="64">
        <f t="shared" si="1972"/>
        <v>1</v>
      </c>
      <c r="AX215" s="256">
        <f>AX214</f>
        <v>0</v>
      </c>
      <c r="AY215" s="256">
        <f t="shared" si="1972"/>
        <v>38</v>
      </c>
      <c r="AZ215" s="256">
        <f t="shared" si="1972"/>
        <v>200</v>
      </c>
      <c r="BA215" s="256">
        <f t="shared" ref="BA215:BB215" si="1974">BA214</f>
        <v>0</v>
      </c>
      <c r="BB215" s="256">
        <f t="shared" si="1974"/>
        <v>0</v>
      </c>
      <c r="BC215" s="256"/>
      <c r="BD215" s="66"/>
      <c r="BE215" s="66"/>
      <c r="BF215" s="261"/>
      <c r="BG215" s="66"/>
      <c r="BH215" s="175"/>
      <c r="BI215" s="66"/>
      <c r="BJ215" s="66"/>
      <c r="BK215" s="65" t="str">
        <f t="shared" ref="BK215:BM215" si="1975" xml:space="preserve"> BK214</f>
        <v>Seilrett</v>
      </c>
      <c r="BL215" s="267">
        <f t="shared" si="1975"/>
        <v>3</v>
      </c>
      <c r="BM215" s="267">
        <f t="shared" si="1975"/>
        <v>53</v>
      </c>
      <c r="BN215" s="45">
        <f t="shared" si="1932"/>
        <v>1</v>
      </c>
      <c r="BO215" s="59">
        <f>BO214</f>
        <v>0.02</v>
      </c>
      <c r="BP215" s="59"/>
      <c r="BR215" s="49">
        <f t="shared" ref="BR215:BX218" si="1976">IF(O215=0,0,O215*BR$9)</f>
        <v>0</v>
      </c>
      <c r="BS215" s="49">
        <f t="shared" si="1976"/>
        <v>0</v>
      </c>
      <c r="BT215" s="49">
        <f t="shared" si="1976"/>
        <v>0</v>
      </c>
      <c r="BU215" s="49">
        <f t="shared" si="1976"/>
        <v>22.2</v>
      </c>
      <c r="BV215" s="49">
        <f t="shared" si="1976"/>
        <v>0</v>
      </c>
      <c r="BW215" s="49">
        <f t="shared" si="1976"/>
        <v>0</v>
      </c>
      <c r="BX215" s="49">
        <f t="shared" si="1976"/>
        <v>19.3</v>
      </c>
      <c r="BY215" s="549">
        <f>IF(COUNT(Q215:U215)&gt;1,MINA(Q215:U215)*BY$9,0)</f>
        <v>-9.65</v>
      </c>
      <c r="BZ215" s="85">
        <f t="shared" ref="BZ215:CD218" si="1977">IF(V215=0,0,V215*BZ$9)</f>
        <v>0</v>
      </c>
      <c r="CA215" s="85">
        <f t="shared" si="1977"/>
        <v>0</v>
      </c>
      <c r="CB215" s="85">
        <f t="shared" si="1977"/>
        <v>32.880000000000003</v>
      </c>
      <c r="CC215" s="85">
        <f t="shared" si="1977"/>
        <v>0</v>
      </c>
      <c r="CD215" s="85">
        <f t="shared" si="1977"/>
        <v>0</v>
      </c>
      <c r="CE215" s="85">
        <f>IF(AC215=0,0,AC215*CE$9)</f>
        <v>0</v>
      </c>
      <c r="CF215" s="85">
        <f t="shared" ref="CF215:CG218" si="1978">IF(AA215=0,0,AA215*CF$9)</f>
        <v>0</v>
      </c>
      <c r="CG215" s="85">
        <f t="shared" si="1978"/>
        <v>4.08</v>
      </c>
      <c r="CH215" s="85">
        <f t="shared" ref="CH215:CK218" si="1979">IF(AD215=0,0,AD215*CH$9)</f>
        <v>0</v>
      </c>
      <c r="CI215" s="85">
        <f t="shared" si="1979"/>
        <v>0</v>
      </c>
      <c r="CJ215" s="85">
        <f t="shared" si="1979"/>
        <v>0</v>
      </c>
      <c r="CK215" s="85">
        <f t="shared" si="1979"/>
        <v>0</v>
      </c>
      <c r="CL215" s="100">
        <f>SUM(BR215:CK215)</f>
        <v>68.81</v>
      </c>
      <c r="CM215" s="50"/>
      <c r="CN215" s="104">
        <f>J215</f>
        <v>92.8</v>
      </c>
      <c r="CO215" s="101">
        <f>CL215/CN215</f>
        <v>0.7414870689655173</v>
      </c>
      <c r="CP215" s="51">
        <f>Seilareal/Lwl/Lwl</f>
        <v>0.89196462898885043</v>
      </c>
      <c r="CQ215" s="116">
        <f>Seilareal/Depl^0.667/K$7</f>
        <v>1.4021231578885733</v>
      </c>
      <c r="CR215" s="51">
        <f>Seilareal/Lwl/Lwl/SApRS1</f>
        <v>1.3533951209118993</v>
      </c>
      <c r="CS215" s="204"/>
      <c r="CT215" s="204">
        <f>(ROUND(TBF/CT$6,3)*CT$6)*CT$4</f>
        <v>117.49999999999999</v>
      </c>
      <c r="CU215" s="107">
        <f t="shared" si="1041"/>
        <v>1.1739062486617056</v>
      </c>
      <c r="CV215" s="62">
        <f t="shared" si="523"/>
        <v>3.3238942709038</v>
      </c>
      <c r="CW215" s="62">
        <f t="shared" si="998"/>
        <v>1.6864625237922852</v>
      </c>
      <c r="CX215" s="62">
        <f t="shared" si="524"/>
        <v>1.7871048890689831</v>
      </c>
      <c r="CY215" s="107">
        <f t="shared" si="999"/>
        <v>0.99627533344928132</v>
      </c>
      <c r="CZ215" s="168">
        <f t="shared" si="1875"/>
        <v>1.159764705882353</v>
      </c>
      <c r="DA215" s="159">
        <f>DA214</f>
        <v>0.93</v>
      </c>
      <c r="DB215" s="168">
        <f t="shared" ref="DB215:DB246" si="1980">IF(DC215=0,"-",IF(CT215="TBF","-",DB$7*DC215))</f>
        <v>1.152982456140351</v>
      </c>
      <c r="DC215" s="160">
        <v>1.24</v>
      </c>
      <c r="DD215" s="190" t="s">
        <v>134</v>
      </c>
      <c r="DE215" s="62">
        <v>0.91</v>
      </c>
      <c r="DF215" s="62">
        <v>0.89</v>
      </c>
      <c r="DG215" s="62">
        <v>0.93</v>
      </c>
      <c r="DH215" s="150">
        <v>0.95</v>
      </c>
      <c r="DI215" s="62">
        <f t="shared" si="542"/>
        <v>2.0722993742641451</v>
      </c>
      <c r="DJ215" s="47">
        <f t="shared" si="543"/>
        <v>12.624584717607974</v>
      </c>
      <c r="DK215" s="48">
        <f t="shared" si="1726"/>
        <v>0</v>
      </c>
      <c r="DM215" s="107">
        <f t="shared" si="1658"/>
        <v>1.1489428419619041</v>
      </c>
      <c r="DN215" s="141">
        <f t="shared" si="1791"/>
        <v>-4.8512513815346381</v>
      </c>
      <c r="DO215" s="107">
        <f t="shared" si="1727"/>
        <v>5.094484276465912</v>
      </c>
      <c r="DP215" s="133">
        <f t="shared" ref="DP215:DP222" si="1981">IF(SeilBeregnet=0,DP214,(SeilBeregnet^0.5/(Depl^0.3333))^DP$3*DP$7)</f>
        <v>3.3512226670219825</v>
      </c>
      <c r="DQ215" s="133">
        <f t="shared" ref="DQ215:DQ222" si="1982">IF(SeilBeregnet=0,DQ214,(SeilBeregnet^0.5/Lwl)^DQ$3*DQ$7)</f>
        <v>0</v>
      </c>
      <c r="DR215" s="133">
        <f t="shared" ref="DR215:DR222" si="1983">IF(SeilBeregnet=0,DR214,(0.1*Loa/Depl^0.3333)^DR$3*DR$7)</f>
        <v>0</v>
      </c>
      <c r="DS215" s="133">
        <f t="shared" ref="DS215:DS222" si="1984">IF(SeilBeregnet=0,DS214,((Loa)/Bredde)^DS$3*DS$7)</f>
        <v>1.7432616094439293</v>
      </c>
      <c r="DT215" s="107">
        <f t="shared" ref="DT215:DT222" si="1985">IF(SeilBeregnet=0,DT214,(Lwl)^DT$3)</f>
        <v>1.7871048890689831</v>
      </c>
      <c r="DU215" s="133">
        <f t="shared" ref="DU215:DU222" si="1986">IF(SeilBeregnet=0,DU214,(Dypg/Loa)^DU$3*5*DU$7)</f>
        <v>2.0149017494232964</v>
      </c>
      <c r="DW215" s="107">
        <f t="shared" si="512"/>
        <v>1.1974553557772505</v>
      </c>
      <c r="DX215" s="107">
        <f t="shared" si="544"/>
        <v>1.1642401720517817</v>
      </c>
      <c r="DY215" s="122">
        <f>DX215-DW215</f>
        <v>-3.3215183725468833E-2</v>
      </c>
      <c r="DZ215" s="107">
        <f t="shared" si="545"/>
        <v>1.1431466881337982</v>
      </c>
      <c r="EA215" s="122">
        <f t="shared" si="1792"/>
        <v>-5.4308667643452324E-2</v>
      </c>
      <c r="EB215" s="107">
        <f t="shared" si="1728"/>
        <v>1.172373362056466</v>
      </c>
      <c r="EC215" s="122">
        <f t="shared" si="1793"/>
        <v>-2.5081993720784457E-2</v>
      </c>
      <c r="ED215" s="107">
        <f t="shared" si="67"/>
        <v>3.350949286789346</v>
      </c>
      <c r="EE215" s="107">
        <f t="shared" si="68"/>
        <v>2.1685350061166324</v>
      </c>
      <c r="EF215" s="107">
        <f t="shared" si="1945"/>
        <v>1.5443504050509418</v>
      </c>
      <c r="EH215" s="107">
        <f t="shared" si="1729"/>
        <v>1.1625291518014109</v>
      </c>
      <c r="EJ215" s="107">
        <f t="shared" si="69"/>
        <v>3.350949286789346</v>
      </c>
      <c r="EK215" s="107">
        <f t="shared" si="1946"/>
        <v>2.1686860967520136</v>
      </c>
      <c r="EL215" s="107">
        <f t="shared" si="1947"/>
        <v>1.7849907189041947</v>
      </c>
      <c r="EM215" s="107">
        <f t="shared" si="1730"/>
        <v>1.1628888638115062</v>
      </c>
      <c r="EO215" s="107">
        <f t="shared" si="1948"/>
        <v>5.1750398883582909</v>
      </c>
      <c r="EP215" s="107">
        <f t="shared" si="70"/>
        <v>3.350949286789346</v>
      </c>
      <c r="EQ215" s="107">
        <f t="shared" si="1949"/>
        <v>1.5443504050509418</v>
      </c>
      <c r="ER215" s="107">
        <f t="shared" si="1950"/>
        <v>1.7871048890689831</v>
      </c>
      <c r="ES215" s="107">
        <f t="shared" si="1666"/>
        <v>1.1659762344894919</v>
      </c>
      <c r="EU215" s="107">
        <f t="shared" si="1951"/>
        <v>1.8183938107203099</v>
      </c>
      <c r="EV215" s="107">
        <f t="shared" si="71"/>
        <v>3.350949286789346</v>
      </c>
      <c r="EW215" s="107">
        <f t="shared" si="1952"/>
        <v>0.98675204184723708</v>
      </c>
      <c r="EX215" s="107">
        <f t="shared" si="1953"/>
        <v>1.8064976541407809</v>
      </c>
      <c r="EY215" s="107">
        <f t="shared" si="1667"/>
        <v>1.1246057026865974</v>
      </c>
      <c r="FA215" s="107">
        <f t="shared" si="1668"/>
        <v>1.8184679841472835</v>
      </c>
      <c r="FB215" s="107">
        <f t="shared" si="72"/>
        <v>3.3512226670219825</v>
      </c>
      <c r="FC215" s="107">
        <f t="shared" si="1954"/>
        <v>0.98675204184723708</v>
      </c>
      <c r="FD215" s="107">
        <f t="shared" si="1955"/>
        <v>1.8064976541407809</v>
      </c>
      <c r="FE215" s="107">
        <f t="shared" si="1669"/>
        <v>1.1427717565180415</v>
      </c>
      <c r="FF215" s="141">
        <f t="shared" si="1794"/>
        <v>-5.4683599259208959</v>
      </c>
      <c r="FG215" s="107">
        <f t="shared" si="1671"/>
        <v>3.2630171194276918</v>
      </c>
      <c r="FH215" s="133">
        <f t="shared" si="1957"/>
        <v>3.3512226670219825</v>
      </c>
      <c r="FI215" s="133">
        <f t="shared" si="1958"/>
        <v>0.97367959208969146</v>
      </c>
      <c r="FJ215" s="107">
        <f t="shared" si="1959"/>
        <v>1.0158682847827836</v>
      </c>
      <c r="FK215" s="107">
        <f t="shared" si="1672"/>
        <v>1.1700390267173677</v>
      </c>
      <c r="FL215" s="141">
        <f t="shared" si="1795"/>
        <v>-2.7416329059882782</v>
      </c>
      <c r="FM215" s="107">
        <f t="shared" si="1674"/>
        <v>5.4077371512655388</v>
      </c>
      <c r="FN215" s="133">
        <f t="shared" si="1961"/>
        <v>3.3512226670219825</v>
      </c>
      <c r="FO215" s="133">
        <f t="shared" si="1962"/>
        <v>0.81325287479962716</v>
      </c>
      <c r="FP215" s="133">
        <f t="shared" si="1963"/>
        <v>1.7432616094439293</v>
      </c>
      <c r="FQ215" s="107">
        <f t="shared" si="1964"/>
        <v>1.7871048890689831</v>
      </c>
      <c r="FR215" s="107">
        <f t="shared" si="1675"/>
        <v>1.1456825375252475</v>
      </c>
      <c r="FS215" s="141">
        <f t="shared" si="1796"/>
        <v>-5.1772818252002972</v>
      </c>
      <c r="FT215" s="107">
        <f t="shared" si="1677"/>
        <v>5.8420578201177182</v>
      </c>
      <c r="FU215" s="133">
        <f t="shared" si="1966"/>
        <v>3.3512226670219825</v>
      </c>
      <c r="FV215" s="133">
        <f t="shared" si="1967"/>
        <v>1.7432616094439293</v>
      </c>
      <c r="FW215" s="107">
        <f t="shared" si="1968"/>
        <v>1.7871048890689831</v>
      </c>
      <c r="FY215">
        <v>0.95</v>
      </c>
      <c r="FZ215" s="62">
        <f t="shared" si="1452"/>
        <v>1.1288638758398755</v>
      </c>
      <c r="GA215" s="62">
        <f t="shared" si="1378"/>
        <v>2.0149017494232964</v>
      </c>
      <c r="GB215" s="107">
        <f t="shared" si="525"/>
        <v>1.2551859638221743</v>
      </c>
      <c r="GC215" s="440"/>
      <c r="GD215" s="17"/>
      <c r="GE215" s="442"/>
      <c r="GF215" s="462"/>
      <c r="GG215" s="17"/>
      <c r="GH215" s="17"/>
      <c r="GI215" s="17"/>
      <c r="GJ215" s="17"/>
      <c r="GL215" s="17"/>
      <c r="GM215" s="442"/>
      <c r="GN215" s="8"/>
      <c r="GO215" s="8"/>
      <c r="GP215" s="8"/>
      <c r="GQ215" s="8"/>
      <c r="GS215" s="17"/>
      <c r="GT215" s="17"/>
      <c r="GU215" s="17"/>
      <c r="GV215" s="629"/>
      <c r="GW215" s="17"/>
      <c r="GX215" s="17"/>
      <c r="GY215" s="17"/>
      <c r="GZ215" s="17"/>
    </row>
    <row r="216" spans="1:208" ht="15.6" x14ac:dyDescent="0.3">
      <c r="A216" s="60" t="s">
        <v>29</v>
      </c>
      <c r="B216" s="218"/>
      <c r="C216" s="14" t="str">
        <f>C214</f>
        <v>Gaffel</v>
      </c>
      <c r="G216" s="54"/>
      <c r="H216" s="204">
        <f>IF(StH=0,0,TBFavrundet)</f>
        <v>115.00000000000001</v>
      </c>
      <c r="I216" s="63">
        <f>COUNTA(O216:AG216)</f>
        <v>3</v>
      </c>
      <c r="J216" s="222">
        <f>SUM(O216:AG216)</f>
        <v>82.6</v>
      </c>
      <c r="K216" s="116">
        <f>Seilareal/Depl^0.667/K$7</f>
        <v>1.2480104832068553</v>
      </c>
      <c r="L216" s="116">
        <f>Seilareal/Lwl/Lwl/L$7</f>
        <v>1.2046383296047725</v>
      </c>
      <c r="M216" s="92">
        <f>RiggF</f>
        <v>0.78365617433414059</v>
      </c>
      <c r="N216" s="242">
        <f>StHfaktor</f>
        <v>0.99627533344928132</v>
      </c>
      <c r="O216" s="143"/>
      <c r="P216" s="143"/>
      <c r="Q216" s="143"/>
      <c r="R216" s="165">
        <f>R215</f>
        <v>22.2</v>
      </c>
      <c r="S216" s="143"/>
      <c r="T216" s="143"/>
      <c r="U216" s="165">
        <f t="shared" ref="U216:X218" si="1987">U215</f>
        <v>19.3</v>
      </c>
      <c r="V216" s="559"/>
      <c r="W216" s="559"/>
      <c r="X216" s="165">
        <f t="shared" si="1987"/>
        <v>41.1</v>
      </c>
      <c r="Y216" s="143"/>
      <c r="Z216" s="143"/>
      <c r="AA216" s="143"/>
      <c r="AB216" s="143"/>
      <c r="AC216" s="143"/>
      <c r="AD216" s="143"/>
      <c r="AE216" s="143"/>
      <c r="AF216" s="143"/>
      <c r="AG216" s="551"/>
      <c r="AH216" s="557">
        <f t="shared" ref="AH216:AI216" si="1988">AH215</f>
        <v>0</v>
      </c>
      <c r="AI216" s="557">
        <f t="shared" si="1988"/>
        <v>9.9</v>
      </c>
      <c r="AJ216" s="337">
        <f t="shared" si="1970"/>
        <v>0</v>
      </c>
      <c r="AK216" s="339"/>
      <c r="AL216" s="337">
        <f t="shared" si="1970"/>
        <v>0</v>
      </c>
      <c r="AM216" s="339"/>
      <c r="AN216" s="267" t="str">
        <f t="shared" ref="AN216" si="1989" xml:space="preserve"> AN215</f>
        <v>Lystb</v>
      </c>
      <c r="AO216" s="45">
        <f>VLOOKUP(AN216,Skrogform!$1:$1048576,3,FALSE)</f>
        <v>0.98</v>
      </c>
      <c r="AP216" s="64">
        <f t="shared" ref="AP216:AZ216" si="1990">AP215</f>
        <v>11.7</v>
      </c>
      <c r="AQ216" s="64">
        <f t="shared" si="1990"/>
        <v>10.199999999999999</v>
      </c>
      <c r="AR216" s="64">
        <f t="shared" si="1990"/>
        <v>3.85</v>
      </c>
      <c r="AS216" s="64">
        <f t="shared" si="1990"/>
        <v>1.9</v>
      </c>
      <c r="AT216" s="64">
        <f t="shared" ref="AT216" si="1991">AT215</f>
        <v>15.17</v>
      </c>
      <c r="AU216" s="64">
        <f t="shared" si="1990"/>
        <v>15.17</v>
      </c>
      <c r="AV216" s="64">
        <f t="shared" si="1990"/>
        <v>4.2</v>
      </c>
      <c r="AW216" s="64">
        <f t="shared" si="1990"/>
        <v>1</v>
      </c>
      <c r="AX216" s="256">
        <f>AX215</f>
        <v>0</v>
      </c>
      <c r="AY216" s="256">
        <f t="shared" si="1990"/>
        <v>38</v>
      </c>
      <c r="AZ216" s="256">
        <f t="shared" si="1990"/>
        <v>200</v>
      </c>
      <c r="BA216" s="256">
        <f t="shared" ref="BA216:BB216" si="1992">BA215</f>
        <v>0</v>
      </c>
      <c r="BB216" s="256">
        <f t="shared" si="1992"/>
        <v>0</v>
      </c>
      <c r="BC216" s="256"/>
      <c r="BD216" s="66"/>
      <c r="BE216" s="66"/>
      <c r="BF216" s="261"/>
      <c r="BG216" s="66"/>
      <c r="BH216" s="175"/>
      <c r="BI216" s="66"/>
      <c r="BJ216" s="66"/>
      <c r="BK216" s="65" t="str">
        <f t="shared" ref="BK216:BM216" si="1993" xml:space="preserve"> BK215</f>
        <v>Seilrett</v>
      </c>
      <c r="BL216" s="267">
        <f t="shared" si="1993"/>
        <v>3</v>
      </c>
      <c r="BM216" s="267">
        <f t="shared" si="1993"/>
        <v>53</v>
      </c>
      <c r="BN216" s="45">
        <f t="shared" si="1932"/>
        <v>1</v>
      </c>
      <c r="BO216" s="59">
        <f t="shared" ref="BO216:BO218" si="1994">BO215</f>
        <v>0.02</v>
      </c>
      <c r="BP216" s="59"/>
      <c r="BR216" s="49">
        <f t="shared" si="1976"/>
        <v>0</v>
      </c>
      <c r="BS216" s="49">
        <f t="shared" si="1976"/>
        <v>0</v>
      </c>
      <c r="BT216" s="49">
        <f t="shared" si="1976"/>
        <v>0</v>
      </c>
      <c r="BU216" s="49">
        <f t="shared" si="1976"/>
        <v>22.2</v>
      </c>
      <c r="BV216" s="49">
        <f t="shared" si="1976"/>
        <v>0</v>
      </c>
      <c r="BW216" s="49">
        <f t="shared" si="1976"/>
        <v>0</v>
      </c>
      <c r="BX216" s="49">
        <f t="shared" si="1976"/>
        <v>19.3</v>
      </c>
      <c r="BY216" s="549">
        <f>IF(COUNT(Q216:U216)&gt;1,MINA(Q216:U216)*BY$9,0)</f>
        <v>-9.65</v>
      </c>
      <c r="BZ216" s="85">
        <f t="shared" si="1977"/>
        <v>0</v>
      </c>
      <c r="CA216" s="85">
        <f t="shared" si="1977"/>
        <v>0</v>
      </c>
      <c r="CB216" s="85">
        <f t="shared" si="1977"/>
        <v>32.880000000000003</v>
      </c>
      <c r="CC216" s="85">
        <f t="shared" si="1977"/>
        <v>0</v>
      </c>
      <c r="CD216" s="85">
        <f t="shared" si="1977"/>
        <v>0</v>
      </c>
      <c r="CE216" s="85">
        <f>IF(AC216=0,0,AC216*CE$9)</f>
        <v>0</v>
      </c>
      <c r="CF216" s="85">
        <f t="shared" si="1978"/>
        <v>0</v>
      </c>
      <c r="CG216" s="85">
        <f t="shared" si="1978"/>
        <v>0</v>
      </c>
      <c r="CH216" s="85">
        <f t="shared" si="1979"/>
        <v>0</v>
      </c>
      <c r="CI216" s="85">
        <f t="shared" si="1979"/>
        <v>0</v>
      </c>
      <c r="CJ216" s="85">
        <f t="shared" si="1979"/>
        <v>0</v>
      </c>
      <c r="CK216" s="85">
        <f t="shared" si="1979"/>
        <v>0</v>
      </c>
      <c r="CL216" s="100">
        <f>SUM(BR216:CK216)</f>
        <v>64.73</v>
      </c>
      <c r="CM216" s="50"/>
      <c r="CN216" s="104">
        <f>J216</f>
        <v>82.6</v>
      </c>
      <c r="CO216" s="101">
        <f>CL216/CN216</f>
        <v>0.78365617433414059</v>
      </c>
      <c r="CP216" s="51">
        <f>Seilareal/Lwl/Lwl</f>
        <v>0.79392541330257593</v>
      </c>
      <c r="CQ216" s="116">
        <f>Seilareal/Depl^0.667/K$7</f>
        <v>1.2480104832068553</v>
      </c>
      <c r="CR216" s="51">
        <f>Seilareal/Lwl/Lwl/SApRS1</f>
        <v>1.2046383296047725</v>
      </c>
      <c r="CS216" s="204"/>
      <c r="CT216" s="204">
        <f>(ROUND(TBF/CT$6,3)*CT$6)*CT$4</f>
        <v>115.00000000000001</v>
      </c>
      <c r="CU216" s="107">
        <f t="shared" si="1041"/>
        <v>1.1508646045049511</v>
      </c>
      <c r="CV216" s="62">
        <f t="shared" si="523"/>
        <v>3.2238455377457464</v>
      </c>
      <c r="CW216" s="62">
        <f t="shared" si="998"/>
        <v>1.6864625237922852</v>
      </c>
      <c r="CX216" s="62">
        <f t="shared" si="524"/>
        <v>1.7871048890689831</v>
      </c>
      <c r="CY216" s="107">
        <f t="shared" si="999"/>
        <v>0.99627533344928132</v>
      </c>
      <c r="CZ216" s="168" t="str">
        <f t="shared" si="1875"/>
        <v>-</v>
      </c>
      <c r="DA216" s="158"/>
      <c r="DB216" s="168" t="str">
        <f t="shared" si="1980"/>
        <v>-</v>
      </c>
      <c r="DC216" s="160"/>
      <c r="DD216" s="190" t="s">
        <v>134</v>
      </c>
      <c r="DE216" s="62">
        <v>0.88</v>
      </c>
      <c r="DF216" s="62">
        <v>0.87</v>
      </c>
      <c r="DG216" s="62">
        <v>0.91</v>
      </c>
      <c r="DH216" s="150">
        <v>0.91</v>
      </c>
      <c r="DI216" s="62">
        <f t="shared" si="542"/>
        <v>2.0722993742641451</v>
      </c>
      <c r="DJ216" s="47">
        <f t="shared" si="543"/>
        <v>12.624584717607974</v>
      </c>
      <c r="DK216" s="48">
        <f t="shared" si="1726"/>
        <v>0</v>
      </c>
      <c r="DM216" s="107">
        <f t="shared" si="1658"/>
        <v>1.1265896573007637</v>
      </c>
      <c r="DN216" s="141" t="str">
        <f t="shared" si="1791"/>
        <v>-</v>
      </c>
      <c r="DO216" s="107">
        <f t="shared" si="1727"/>
        <v>4.9936129625673091</v>
      </c>
      <c r="DP216" s="133">
        <f t="shared" si="1981"/>
        <v>3.2503513531233801</v>
      </c>
      <c r="DQ216" s="133">
        <f t="shared" si="1982"/>
        <v>0</v>
      </c>
      <c r="DR216" s="133">
        <f t="shared" si="1983"/>
        <v>0</v>
      </c>
      <c r="DS216" s="133">
        <f t="shared" si="1984"/>
        <v>1.7432616094439293</v>
      </c>
      <c r="DT216" s="107">
        <f t="shared" si="1985"/>
        <v>1.7871048890689831</v>
      </c>
      <c r="DU216" s="133">
        <f t="shared" si="1986"/>
        <v>2.0149017494232964</v>
      </c>
      <c r="DW216" s="107">
        <f t="shared" si="512"/>
        <v>1.1739434739846439</v>
      </c>
      <c r="DX216" s="107">
        <f t="shared" si="544"/>
        <v>1.1371509816217611</v>
      </c>
      <c r="DZ216" s="107">
        <f t="shared" si="545"/>
        <v>1.1217874333824667</v>
      </c>
      <c r="EA216" s="122" t="str">
        <f t="shared" si="1792"/>
        <v>-</v>
      </c>
      <c r="EB216" s="107">
        <f t="shared" si="1728"/>
        <v>1.1461116244747509</v>
      </c>
      <c r="EC216" s="122" t="str">
        <f t="shared" si="1793"/>
        <v>-</v>
      </c>
      <c r="ED216" s="107">
        <f t="shared" si="67"/>
        <v>3.2500862015959062</v>
      </c>
      <c r="EE216" s="107">
        <f t="shared" si="68"/>
        <v>2.1685350061166324</v>
      </c>
      <c r="EF216" s="107">
        <f t="shared" si="1945"/>
        <v>1.5443504050509418</v>
      </c>
      <c r="EH216" s="107">
        <f t="shared" si="1729"/>
        <v>1.1390153163727208</v>
      </c>
      <c r="EJ216" s="107">
        <f t="shared" si="69"/>
        <v>3.2500862015959062</v>
      </c>
      <c r="EK216" s="107">
        <f t="shared" si="1946"/>
        <v>2.1686860967520136</v>
      </c>
      <c r="EL216" s="107">
        <f t="shared" si="1947"/>
        <v>1.7849907189041947</v>
      </c>
      <c r="EM216" s="107">
        <f t="shared" si="1730"/>
        <v>1.1380770921512773</v>
      </c>
      <c r="EO216" s="107">
        <f t="shared" si="1948"/>
        <v>5.0192719418851146</v>
      </c>
      <c r="EP216" s="107">
        <f t="shared" si="70"/>
        <v>3.2500862015959062</v>
      </c>
      <c r="EQ216" s="107">
        <f t="shared" si="1949"/>
        <v>1.5443504050509418</v>
      </c>
      <c r="ER216" s="107">
        <f t="shared" si="1950"/>
        <v>1.7871048890689831</v>
      </c>
      <c r="ES216" s="107">
        <f t="shared" si="1666"/>
        <v>1.1420067681546542</v>
      </c>
      <c r="EU216" s="107">
        <f t="shared" si="1951"/>
        <v>1.7908180241454716</v>
      </c>
      <c r="EV216" s="107">
        <f t="shared" si="71"/>
        <v>3.2500862015959062</v>
      </c>
      <c r="EW216" s="107">
        <f t="shared" si="1952"/>
        <v>0.98675204184723708</v>
      </c>
      <c r="EX216" s="107">
        <f t="shared" si="1953"/>
        <v>1.8064976541407809</v>
      </c>
      <c r="EY216" s="107">
        <f t="shared" si="1667"/>
        <v>1.1078544517050686</v>
      </c>
      <c r="FA216" s="107">
        <f t="shared" si="1668"/>
        <v>1.7908910727387708</v>
      </c>
      <c r="FB216" s="107">
        <f t="shared" si="72"/>
        <v>3.2503513531233801</v>
      </c>
      <c r="FC216" s="107">
        <f t="shared" si="1954"/>
        <v>0.98675204184723708</v>
      </c>
      <c r="FD216" s="107">
        <f t="shared" si="1955"/>
        <v>1.8064976541407809</v>
      </c>
      <c r="FE216" s="107">
        <f t="shared" si="1669"/>
        <v>1.1218190349478119</v>
      </c>
      <c r="FF216" s="141" t="str">
        <f t="shared" si="1794"/>
        <v>-</v>
      </c>
      <c r="FG216" s="107">
        <f t="shared" si="1671"/>
        <v>3.1648007796573494</v>
      </c>
      <c r="FH216" s="133">
        <f t="shared" si="1957"/>
        <v>3.2503513531233801</v>
      </c>
      <c r="FI216" s="133">
        <f t="shared" si="1958"/>
        <v>0.97367959208969146</v>
      </c>
      <c r="FJ216" s="107">
        <f t="shared" si="1959"/>
        <v>1.0158682847827836</v>
      </c>
      <c r="FK216" s="107">
        <f t="shared" si="1672"/>
        <v>1.1433813858370265</v>
      </c>
      <c r="FL216" s="141" t="str">
        <f t="shared" si="1795"/>
        <v>-</v>
      </c>
      <c r="FM216" s="107">
        <f t="shared" si="1674"/>
        <v>5.282387044352042</v>
      </c>
      <c r="FN216" s="133">
        <f t="shared" si="1961"/>
        <v>3.2503513531233801</v>
      </c>
      <c r="FO216" s="133">
        <f t="shared" si="1962"/>
        <v>0.78877408178473263</v>
      </c>
      <c r="FP216" s="133">
        <f t="shared" si="1963"/>
        <v>1.7432616094439293</v>
      </c>
      <c r="FQ216" s="107">
        <f t="shared" si="1964"/>
        <v>1.7871048890689831</v>
      </c>
      <c r="FR216" s="107">
        <f t="shared" si="1675"/>
        <v>1.1255703059543689</v>
      </c>
      <c r="FS216" s="141" t="str">
        <f t="shared" si="1796"/>
        <v>-</v>
      </c>
      <c r="FT216" s="107">
        <f t="shared" si="1677"/>
        <v>5.6662127311041166</v>
      </c>
      <c r="FU216" s="133">
        <f t="shared" si="1966"/>
        <v>3.2503513531233801</v>
      </c>
      <c r="FV216" s="133">
        <f t="shared" si="1967"/>
        <v>1.7432616094439293</v>
      </c>
      <c r="FW216" s="107">
        <f t="shared" si="1968"/>
        <v>1.7871048890689831</v>
      </c>
      <c r="FY216">
        <v>0.95</v>
      </c>
      <c r="FZ216" s="62">
        <f t="shared" si="1452"/>
        <v>1.1128477915045241</v>
      </c>
      <c r="GA216" s="62">
        <f t="shared" si="1378"/>
        <v>2.0149017494232964</v>
      </c>
      <c r="GB216" s="107">
        <f t="shared" si="525"/>
        <v>1.2426665271631858</v>
      </c>
      <c r="GC216" s="440"/>
      <c r="GD216" s="17"/>
      <c r="GE216" s="442"/>
      <c r="GF216" s="462"/>
      <c r="GG216" s="17"/>
      <c r="GH216" s="17"/>
      <c r="GI216" s="17"/>
      <c r="GJ216" s="17"/>
      <c r="GL216" s="17"/>
      <c r="GM216" s="442"/>
      <c r="GN216" s="8"/>
      <c r="GO216" s="8"/>
      <c r="GP216" s="8"/>
      <c r="GQ216" s="8"/>
      <c r="GS216" s="17"/>
      <c r="GT216" s="17"/>
      <c r="GU216" s="17"/>
      <c r="GV216" s="629"/>
      <c r="GW216" s="17"/>
      <c r="GX216" s="17"/>
      <c r="GY216" s="17"/>
      <c r="GZ216" s="17"/>
    </row>
    <row r="217" spans="1:208" ht="15.6" x14ac:dyDescent="0.3">
      <c r="A217" s="60" t="s">
        <v>30</v>
      </c>
      <c r="B217" s="218"/>
      <c r="C217" s="14" t="str">
        <f>C215</f>
        <v>Gaffel</v>
      </c>
      <c r="G217" s="54"/>
      <c r="H217" s="204">
        <f>IF(StH=0,0,TBFavrundet)</f>
        <v>111.00000000000001</v>
      </c>
      <c r="I217" s="63">
        <f>COUNTA(O217:AG217)</f>
        <v>3</v>
      </c>
      <c r="J217" s="222">
        <f>SUM(O217:AG217)</f>
        <v>71.800000000000011</v>
      </c>
      <c r="K217" s="116">
        <f>Seilareal/Depl^0.667/K$7</f>
        <v>1.0848323570732716</v>
      </c>
      <c r="L217" s="116">
        <f>Seilareal/Lwl/Lwl/L$7</f>
        <v>1.0471311388089912</v>
      </c>
      <c r="M217" s="92">
        <f>RiggF</f>
        <v>0.80612813370473535</v>
      </c>
      <c r="N217" s="242">
        <f>StHfaktor</f>
        <v>0.99627533344928132</v>
      </c>
      <c r="O217" s="143"/>
      <c r="P217" s="143"/>
      <c r="Q217" s="143"/>
      <c r="R217" s="143"/>
      <c r="S217" s="165">
        <v>11.4</v>
      </c>
      <c r="T217" s="143"/>
      <c r="U217" s="165">
        <f t="shared" si="1987"/>
        <v>19.3</v>
      </c>
      <c r="V217" s="559"/>
      <c r="W217" s="559"/>
      <c r="X217" s="165">
        <f t="shared" si="1987"/>
        <v>41.1</v>
      </c>
      <c r="Y217" s="143"/>
      <c r="Z217" s="143"/>
      <c r="AA217" s="143"/>
      <c r="AB217" s="143"/>
      <c r="AC217" s="143"/>
      <c r="AD217" s="143"/>
      <c r="AE217" s="143"/>
      <c r="AF217" s="143"/>
      <c r="AG217" s="551"/>
      <c r="AH217" s="557">
        <f t="shared" ref="AH217:AI217" si="1995">AH216</f>
        <v>0</v>
      </c>
      <c r="AI217" s="557">
        <f t="shared" si="1995"/>
        <v>9.9</v>
      </c>
      <c r="AJ217" s="337">
        <f t="shared" si="1970"/>
        <v>0</v>
      </c>
      <c r="AK217" s="339"/>
      <c r="AL217" s="337">
        <f t="shared" si="1970"/>
        <v>0</v>
      </c>
      <c r="AM217" s="339"/>
      <c r="AN217" s="267" t="str">
        <f t="shared" ref="AN217" si="1996" xml:space="preserve"> AN216</f>
        <v>Lystb</v>
      </c>
      <c r="AO217" s="45">
        <f>VLOOKUP(AN217,Skrogform!$1:$1048576,3,FALSE)</f>
        <v>0.98</v>
      </c>
      <c r="AP217" s="64">
        <f t="shared" ref="AP217:AZ217" si="1997">AP216</f>
        <v>11.7</v>
      </c>
      <c r="AQ217" s="64">
        <f t="shared" si="1997"/>
        <v>10.199999999999999</v>
      </c>
      <c r="AR217" s="64">
        <f t="shared" si="1997"/>
        <v>3.85</v>
      </c>
      <c r="AS217" s="64">
        <f t="shared" si="1997"/>
        <v>1.9</v>
      </c>
      <c r="AT217" s="64">
        <f t="shared" ref="AT217" si="1998">AT216</f>
        <v>15.17</v>
      </c>
      <c r="AU217" s="64">
        <f t="shared" si="1997"/>
        <v>15.17</v>
      </c>
      <c r="AV217" s="64">
        <f t="shared" si="1997"/>
        <v>4.2</v>
      </c>
      <c r="AW217" s="64">
        <f t="shared" si="1997"/>
        <v>1</v>
      </c>
      <c r="AX217" s="256">
        <f>AX216</f>
        <v>0</v>
      </c>
      <c r="AY217" s="256">
        <f t="shared" si="1997"/>
        <v>38</v>
      </c>
      <c r="AZ217" s="256">
        <f t="shared" si="1997"/>
        <v>200</v>
      </c>
      <c r="BA217" s="256">
        <f t="shared" ref="BA217:BB217" si="1999">BA216</f>
        <v>0</v>
      </c>
      <c r="BB217" s="256">
        <f t="shared" si="1999"/>
        <v>0</v>
      </c>
      <c r="BC217" s="256"/>
      <c r="BD217" s="66"/>
      <c r="BE217" s="66"/>
      <c r="BF217" s="261"/>
      <c r="BG217" s="66"/>
      <c r="BH217" s="175"/>
      <c r="BI217" s="66"/>
      <c r="BJ217" s="66"/>
      <c r="BK217" s="65" t="str">
        <f t="shared" ref="BK217:BM217" si="2000" xml:space="preserve"> BK216</f>
        <v>Seilrett</v>
      </c>
      <c r="BL217" s="267">
        <f t="shared" si="2000"/>
        <v>3</v>
      </c>
      <c r="BM217" s="267">
        <f t="shared" si="2000"/>
        <v>53</v>
      </c>
      <c r="BN217" s="45">
        <f t="shared" si="1932"/>
        <v>1</v>
      </c>
      <c r="BO217" s="59">
        <f t="shared" si="1994"/>
        <v>0.02</v>
      </c>
      <c r="BP217" s="59"/>
      <c r="BR217" s="49">
        <f t="shared" si="1976"/>
        <v>0</v>
      </c>
      <c r="BS217" s="49">
        <f t="shared" si="1976"/>
        <v>0</v>
      </c>
      <c r="BT217" s="49">
        <f t="shared" si="1976"/>
        <v>0</v>
      </c>
      <c r="BU217" s="49">
        <f t="shared" si="1976"/>
        <v>0</v>
      </c>
      <c r="BV217" s="49">
        <f t="shared" si="1976"/>
        <v>11.4</v>
      </c>
      <c r="BW217" s="49">
        <f t="shared" si="1976"/>
        <v>0</v>
      </c>
      <c r="BX217" s="49">
        <f t="shared" si="1976"/>
        <v>19.3</v>
      </c>
      <c r="BY217" s="549">
        <f>IF(COUNT(Q217:U217)&gt;1,MINA(Q217:U217)*BY$9,0)</f>
        <v>-5.7</v>
      </c>
      <c r="BZ217" s="85">
        <f t="shared" si="1977"/>
        <v>0</v>
      </c>
      <c r="CA217" s="85">
        <f t="shared" si="1977"/>
        <v>0</v>
      </c>
      <c r="CB217" s="85">
        <f t="shared" si="1977"/>
        <v>32.880000000000003</v>
      </c>
      <c r="CC217" s="85">
        <f t="shared" si="1977"/>
        <v>0</v>
      </c>
      <c r="CD217" s="85">
        <f t="shared" si="1977"/>
        <v>0</v>
      </c>
      <c r="CE217" s="85">
        <f>IF(AC217=0,0,AC217*CE$9)</f>
        <v>0</v>
      </c>
      <c r="CF217" s="85">
        <f t="shared" si="1978"/>
        <v>0</v>
      </c>
      <c r="CG217" s="85">
        <f t="shared" si="1978"/>
        <v>0</v>
      </c>
      <c r="CH217" s="85">
        <f t="shared" si="1979"/>
        <v>0</v>
      </c>
      <c r="CI217" s="85">
        <f t="shared" si="1979"/>
        <v>0</v>
      </c>
      <c r="CJ217" s="85">
        <f t="shared" si="1979"/>
        <v>0</v>
      </c>
      <c r="CK217" s="85">
        <f t="shared" si="1979"/>
        <v>0</v>
      </c>
      <c r="CL217" s="100">
        <f>SUM(BR217:CK217)</f>
        <v>57.88000000000001</v>
      </c>
      <c r="CM217" s="50"/>
      <c r="CN217" s="104">
        <f>J217</f>
        <v>71.800000000000011</v>
      </c>
      <c r="CO217" s="101">
        <f>CL217/CN217</f>
        <v>0.80612813370473535</v>
      </c>
      <c r="CP217" s="51">
        <f>Seilareal/Lwl/Lwl</f>
        <v>0.6901191849288737</v>
      </c>
      <c r="CQ217" s="116">
        <f>Seilareal/Depl^0.667/K$7</f>
        <v>1.0848323570732716</v>
      </c>
      <c r="CR217" s="51">
        <f>Seilareal/Lwl/Lwl/SApRS1</f>
        <v>1.0471311388089912</v>
      </c>
      <c r="CS217" s="204"/>
      <c r="CT217" s="204">
        <f>(ROUND(TBF/CT$6,3)*CT$6)*CT$4</f>
        <v>111.00000000000001</v>
      </c>
      <c r="CU217" s="107">
        <f t="shared" si="1041"/>
        <v>1.1104809551234698</v>
      </c>
      <c r="CV217" s="62">
        <f t="shared" si="523"/>
        <v>3.0484963771811016</v>
      </c>
      <c r="CW217" s="62">
        <f t="shared" si="998"/>
        <v>1.6864625237922852</v>
      </c>
      <c r="CX217" s="62">
        <f t="shared" si="524"/>
        <v>1.7871048890689831</v>
      </c>
      <c r="CY217" s="107">
        <f t="shared" si="999"/>
        <v>0.99627533344928132</v>
      </c>
      <c r="CZ217" s="168" t="str">
        <f t="shared" si="1875"/>
        <v>-</v>
      </c>
      <c r="DA217" s="158"/>
      <c r="DB217" s="168" t="str">
        <f t="shared" si="1980"/>
        <v>-</v>
      </c>
      <c r="DC217" s="160"/>
      <c r="DD217" s="190" t="s">
        <v>134</v>
      </c>
      <c r="DE217" s="62">
        <v>0.83</v>
      </c>
      <c r="DF217" s="62">
        <v>0.84</v>
      </c>
      <c r="DG217" s="62">
        <v>0.86</v>
      </c>
      <c r="DH217" s="150">
        <v>0.88</v>
      </c>
      <c r="DI217" s="62">
        <f t="shared" si="542"/>
        <v>2.0722993742641451</v>
      </c>
      <c r="DJ217" s="47">
        <f t="shared" si="543"/>
        <v>12.624584717607974</v>
      </c>
      <c r="DK217" s="48">
        <f t="shared" si="1726"/>
        <v>0</v>
      </c>
      <c r="DM217" s="107">
        <f t="shared" si="1658"/>
        <v>1.0874126278416758</v>
      </c>
      <c r="DN217" s="141" t="str">
        <f t="shared" si="1791"/>
        <v>-</v>
      </c>
      <c r="DO217" s="107">
        <f t="shared" si="1727"/>
        <v>4.8168221161581872</v>
      </c>
      <c r="DP217" s="133">
        <f t="shared" si="1981"/>
        <v>3.0735605067142577</v>
      </c>
      <c r="DQ217" s="133">
        <f t="shared" si="1982"/>
        <v>0</v>
      </c>
      <c r="DR217" s="133">
        <f t="shared" si="1983"/>
        <v>0</v>
      </c>
      <c r="DS217" s="133">
        <f t="shared" si="1984"/>
        <v>1.7432616094439293</v>
      </c>
      <c r="DT217" s="107">
        <f t="shared" si="1985"/>
        <v>1.7871048890689831</v>
      </c>
      <c r="DU217" s="133">
        <f t="shared" si="1986"/>
        <v>2.0149017494232964</v>
      </c>
      <c r="DW217" s="107">
        <f t="shared" si="512"/>
        <v>1.1327356684933365</v>
      </c>
      <c r="DX217" s="107">
        <f t="shared" si="544"/>
        <v>1.0896734508990487</v>
      </c>
      <c r="DZ217" s="107">
        <f t="shared" si="545"/>
        <v>1.0843524027457898</v>
      </c>
      <c r="EA217" s="122" t="str">
        <f t="shared" si="1792"/>
        <v>-</v>
      </c>
      <c r="EB217" s="107">
        <f t="shared" si="1728"/>
        <v>1.1000843186352258</v>
      </c>
      <c r="EC217" s="122" t="str">
        <f t="shared" si="1793"/>
        <v>-</v>
      </c>
      <c r="ED217" s="107">
        <f t="shared" si="67"/>
        <v>3.0733097771239457</v>
      </c>
      <c r="EE217" s="107">
        <f t="shared" si="68"/>
        <v>2.1685350061166324</v>
      </c>
      <c r="EF217" s="107">
        <f t="shared" si="1945"/>
        <v>1.5443504050509418</v>
      </c>
      <c r="EH217" s="107">
        <f t="shared" si="1729"/>
        <v>1.0978040868655725</v>
      </c>
      <c r="EJ217" s="107">
        <f t="shared" si="69"/>
        <v>3.0733097771239457</v>
      </c>
      <c r="EK217" s="107">
        <f t="shared" si="1946"/>
        <v>2.1686860967520136</v>
      </c>
      <c r="EL217" s="107">
        <f t="shared" si="1947"/>
        <v>1.7849907189041947</v>
      </c>
      <c r="EM217" s="107">
        <f t="shared" si="1730"/>
        <v>1.0945910509450416</v>
      </c>
      <c r="EO217" s="107">
        <f t="shared" si="1948"/>
        <v>4.7462671991483854</v>
      </c>
      <c r="EP217" s="107">
        <f t="shared" si="70"/>
        <v>3.0733097771239457</v>
      </c>
      <c r="EQ217" s="107">
        <f t="shared" si="1949"/>
        <v>1.5443504050509418</v>
      </c>
      <c r="ER217" s="107">
        <f t="shared" si="1950"/>
        <v>1.7871048890689831</v>
      </c>
      <c r="ES217" s="107">
        <f t="shared" si="1666"/>
        <v>1.0990816923981122</v>
      </c>
      <c r="EU217" s="107">
        <f t="shared" si="1951"/>
        <v>1.7414346665339273</v>
      </c>
      <c r="EV217" s="107">
        <f t="shared" si="71"/>
        <v>3.0733097771239457</v>
      </c>
      <c r="EW217" s="107">
        <f t="shared" si="1952"/>
        <v>0.98675204184723708</v>
      </c>
      <c r="EX217" s="107">
        <f t="shared" si="1953"/>
        <v>1.8064976541407809</v>
      </c>
      <c r="EY217" s="107">
        <f t="shared" si="1667"/>
        <v>1.0778559232708371</v>
      </c>
      <c r="FA217" s="107">
        <f t="shared" si="1668"/>
        <v>1.7415057007490162</v>
      </c>
      <c r="FB217" s="107">
        <f t="shared" si="72"/>
        <v>3.0735605067142577</v>
      </c>
      <c r="FC217" s="107">
        <f t="shared" si="1954"/>
        <v>0.98675204184723708</v>
      </c>
      <c r="FD217" s="107">
        <f t="shared" si="1955"/>
        <v>1.8064976541407809</v>
      </c>
      <c r="FE217" s="107">
        <f t="shared" si="1669"/>
        <v>1.0850965096052836</v>
      </c>
      <c r="FF217" s="141" t="str">
        <f t="shared" si="1794"/>
        <v>-</v>
      </c>
      <c r="FG217" s="107">
        <f t="shared" si="1671"/>
        <v>2.992663140440524</v>
      </c>
      <c r="FH217" s="133">
        <f t="shared" si="1957"/>
        <v>3.0735605067142577</v>
      </c>
      <c r="FI217" s="133">
        <f t="shared" si="1958"/>
        <v>0.97367959208969146</v>
      </c>
      <c r="FJ217" s="107">
        <f t="shared" si="1959"/>
        <v>1.0158682847827836</v>
      </c>
      <c r="FK217" s="107">
        <f t="shared" si="1672"/>
        <v>1.0966602050338958</v>
      </c>
      <c r="FL217" s="141" t="str">
        <f t="shared" si="1795"/>
        <v>-</v>
      </c>
      <c r="FM217" s="107">
        <f t="shared" si="1674"/>
        <v>5.0626937475938822</v>
      </c>
      <c r="FN217" s="133">
        <f t="shared" si="1961"/>
        <v>3.0735605067142577</v>
      </c>
      <c r="FO217" s="133">
        <f t="shared" si="1962"/>
        <v>0.74587163143569557</v>
      </c>
      <c r="FP217" s="133">
        <f t="shared" si="1963"/>
        <v>1.7432616094439293</v>
      </c>
      <c r="FQ217" s="107">
        <f t="shared" si="1964"/>
        <v>1.7871048890689831</v>
      </c>
      <c r="FR217" s="107">
        <f t="shared" si="1675"/>
        <v>1.0903208548947139</v>
      </c>
      <c r="FS217" s="141" t="str">
        <f t="shared" si="1796"/>
        <v>-</v>
      </c>
      <c r="FT217" s="107">
        <f t="shared" si="1677"/>
        <v>5.3580200356579955</v>
      </c>
      <c r="FU217" s="133">
        <f t="shared" si="1966"/>
        <v>3.0735605067142577</v>
      </c>
      <c r="FV217" s="133">
        <f t="shared" si="1967"/>
        <v>1.7432616094439293</v>
      </c>
      <c r="FW217" s="107">
        <f t="shared" si="1968"/>
        <v>1.7871048890689831</v>
      </c>
      <c r="FY217">
        <v>0.95</v>
      </c>
      <c r="FZ217" s="62">
        <f t="shared" si="1452"/>
        <v>1.0847774016546123</v>
      </c>
      <c r="GA217" s="62">
        <f t="shared" si="1378"/>
        <v>2.0149017494232964</v>
      </c>
      <c r="GB217" s="107">
        <f t="shared" si="525"/>
        <v>1.2200845426204503</v>
      </c>
      <c r="GC217" s="440"/>
      <c r="GD217" s="17"/>
      <c r="GE217" s="442"/>
      <c r="GF217" s="462"/>
      <c r="GG217" s="17"/>
      <c r="GH217" s="17"/>
      <c r="GI217" s="17"/>
      <c r="GJ217" s="17"/>
      <c r="GL217" s="17"/>
      <c r="GM217" s="442"/>
      <c r="GN217" s="8"/>
      <c r="GO217" s="8"/>
      <c r="GP217" s="8"/>
      <c r="GQ217" s="8"/>
      <c r="GS217" s="17"/>
      <c r="GT217" s="17"/>
      <c r="GU217" s="17"/>
      <c r="GV217" s="629"/>
      <c r="GW217" s="17"/>
      <c r="GX217" s="17"/>
      <c r="GY217" s="17"/>
      <c r="GZ217" s="17"/>
    </row>
    <row r="218" spans="1:208" ht="15.6" x14ac:dyDescent="0.3">
      <c r="A218" s="60" t="s">
        <v>33</v>
      </c>
      <c r="B218" s="218"/>
      <c r="C218" s="14" t="str">
        <f>C216</f>
        <v>Gaffel</v>
      </c>
      <c r="G218" s="54"/>
      <c r="H218" s="204">
        <f>TBFavrundet</f>
        <v>107.5</v>
      </c>
      <c r="I218" s="63">
        <f>COUNTA(O218:AG218)</f>
        <v>2</v>
      </c>
      <c r="J218" s="222">
        <f>SUM(O218:AG218)</f>
        <v>60.400000000000006</v>
      </c>
      <c r="K218" s="116">
        <f>Seilareal/Depl^0.667/K$7</f>
        <v>0.91258877948782169</v>
      </c>
      <c r="L218" s="116">
        <f>Seilareal/Lwl/Lwl/L$7</f>
        <v>0.88087354852455546</v>
      </c>
      <c r="M218" s="92">
        <f>RiggF</f>
        <v>0.86390728476821199</v>
      </c>
      <c r="N218" s="242">
        <f>StHfaktor</f>
        <v>0.99627533344928132</v>
      </c>
      <c r="O218" s="143"/>
      <c r="P218" s="143"/>
      <c r="Q218" s="143"/>
      <c r="R218" s="143"/>
      <c r="S218" s="143"/>
      <c r="T218" s="143"/>
      <c r="U218" s="165">
        <f t="shared" si="1987"/>
        <v>19.3</v>
      </c>
      <c r="V218" s="559"/>
      <c r="W218" s="559"/>
      <c r="X218" s="165">
        <f t="shared" si="1987"/>
        <v>41.1</v>
      </c>
      <c r="Y218" s="143"/>
      <c r="Z218" s="143"/>
      <c r="AA218" s="143"/>
      <c r="AB218" s="143"/>
      <c r="AC218" s="143"/>
      <c r="AD218" s="143"/>
      <c r="AE218" s="143"/>
      <c r="AF218" s="143"/>
      <c r="AG218" s="551"/>
      <c r="AH218" s="557">
        <f t="shared" ref="AH218:AI218" si="2001">AH217</f>
        <v>0</v>
      </c>
      <c r="AI218" s="557">
        <f t="shared" si="2001"/>
        <v>9.9</v>
      </c>
      <c r="AJ218" s="337">
        <f t="shared" si="1970"/>
        <v>0</v>
      </c>
      <c r="AK218" s="339"/>
      <c r="AL218" s="337">
        <f t="shared" si="1970"/>
        <v>0</v>
      </c>
      <c r="AM218" s="339"/>
      <c r="AN218" s="267" t="str">
        <f t="shared" ref="AN218" si="2002" xml:space="preserve"> AN217</f>
        <v>Lystb</v>
      </c>
      <c r="AO218" s="45">
        <f>VLOOKUP(AN218,Skrogform!$1:$1048576,3,FALSE)</f>
        <v>0.98</v>
      </c>
      <c r="AP218" s="64">
        <f t="shared" ref="AP218:AZ218" si="2003">AP217</f>
        <v>11.7</v>
      </c>
      <c r="AQ218" s="64">
        <f t="shared" si="2003"/>
        <v>10.199999999999999</v>
      </c>
      <c r="AR218" s="64">
        <f t="shared" si="2003"/>
        <v>3.85</v>
      </c>
      <c r="AS218" s="64">
        <f t="shared" si="2003"/>
        <v>1.9</v>
      </c>
      <c r="AT218" s="64">
        <f t="shared" ref="AT218" si="2004">AT217</f>
        <v>15.17</v>
      </c>
      <c r="AU218" s="64">
        <f t="shared" si="2003"/>
        <v>15.17</v>
      </c>
      <c r="AV218" s="64">
        <f t="shared" si="2003"/>
        <v>4.2</v>
      </c>
      <c r="AW218" s="64">
        <f t="shared" si="2003"/>
        <v>1</v>
      </c>
      <c r="AX218" s="256">
        <f>AX217</f>
        <v>0</v>
      </c>
      <c r="AY218" s="256">
        <f t="shared" si="2003"/>
        <v>38</v>
      </c>
      <c r="AZ218" s="256">
        <f t="shared" si="2003"/>
        <v>200</v>
      </c>
      <c r="BA218" s="256">
        <f t="shared" ref="BA218:BB218" si="2005">BA217</f>
        <v>0</v>
      </c>
      <c r="BB218" s="256">
        <f t="shared" si="2005"/>
        <v>0</v>
      </c>
      <c r="BC218" s="256"/>
      <c r="BD218" s="66"/>
      <c r="BE218" s="66"/>
      <c r="BF218" s="261"/>
      <c r="BG218" s="66"/>
      <c r="BH218" s="175"/>
      <c r="BI218" s="66"/>
      <c r="BJ218" s="66"/>
      <c r="BK218" s="65" t="str">
        <f t="shared" ref="BK218:BM218" si="2006" xml:space="preserve"> BK217</f>
        <v>Seilrett</v>
      </c>
      <c r="BL218" s="267">
        <f t="shared" si="2006"/>
        <v>3</v>
      </c>
      <c r="BM218" s="267">
        <f t="shared" si="2006"/>
        <v>53</v>
      </c>
      <c r="BN218" s="45">
        <f t="shared" si="1932"/>
        <v>1</v>
      </c>
      <c r="BO218" s="59">
        <f t="shared" si="1994"/>
        <v>0.02</v>
      </c>
      <c r="BP218" s="59"/>
      <c r="BR218" s="49">
        <f t="shared" si="1976"/>
        <v>0</v>
      </c>
      <c r="BS218" s="49">
        <f t="shared" si="1976"/>
        <v>0</v>
      </c>
      <c r="BT218" s="49">
        <f t="shared" si="1976"/>
        <v>0</v>
      </c>
      <c r="BU218" s="49">
        <f t="shared" si="1976"/>
        <v>0</v>
      </c>
      <c r="BV218" s="49">
        <f t="shared" si="1976"/>
        <v>0</v>
      </c>
      <c r="BW218" s="49">
        <f t="shared" si="1976"/>
        <v>0</v>
      </c>
      <c r="BX218" s="49">
        <f t="shared" si="1976"/>
        <v>19.3</v>
      </c>
      <c r="BY218" s="549">
        <f>IF(COUNT(Q218:U218)&gt;1,MINA(Q218:U218)*BY$9,0)</f>
        <v>0</v>
      </c>
      <c r="BZ218" s="85">
        <f t="shared" si="1977"/>
        <v>0</v>
      </c>
      <c r="CA218" s="85">
        <f t="shared" si="1977"/>
        <v>0</v>
      </c>
      <c r="CB218" s="85">
        <f t="shared" si="1977"/>
        <v>32.880000000000003</v>
      </c>
      <c r="CC218" s="85">
        <f t="shared" si="1977"/>
        <v>0</v>
      </c>
      <c r="CD218" s="85">
        <f t="shared" si="1977"/>
        <v>0</v>
      </c>
      <c r="CE218" s="85">
        <f>IF(AC218=0,0,AC218*CE$9)</f>
        <v>0</v>
      </c>
      <c r="CF218" s="85">
        <f t="shared" si="1978"/>
        <v>0</v>
      </c>
      <c r="CG218" s="85">
        <f t="shared" si="1978"/>
        <v>0</v>
      </c>
      <c r="CH218" s="85">
        <f t="shared" si="1979"/>
        <v>0</v>
      </c>
      <c r="CI218" s="85">
        <f t="shared" si="1979"/>
        <v>0</v>
      </c>
      <c r="CJ218" s="85">
        <f t="shared" si="1979"/>
        <v>0</v>
      </c>
      <c r="CK218" s="85">
        <f t="shared" si="1979"/>
        <v>0</v>
      </c>
      <c r="CL218" s="100">
        <f>SUM(BR218:CK218)</f>
        <v>52.180000000000007</v>
      </c>
      <c r="CM218" s="50"/>
      <c r="CN218" s="104">
        <f>J218</f>
        <v>60.400000000000006</v>
      </c>
      <c r="CO218" s="101">
        <f>CL218/CN218</f>
        <v>0.86390728476821199</v>
      </c>
      <c r="CP218" s="51">
        <f>Seilareal/Lwl/Lwl</f>
        <v>0.58054594386774339</v>
      </c>
      <c r="CQ218" s="116">
        <f>Seilareal/Depl^0.667/K$7</f>
        <v>0.91258877948782169</v>
      </c>
      <c r="CR218" s="51">
        <f>Seilareal/Lwl/Lwl/SApRS1</f>
        <v>0.88087354852455546</v>
      </c>
      <c r="CS218" s="204"/>
      <c r="CT218" s="204">
        <f>(ROUND(TBF/CT$6,3)*CT$6)*CT$4</f>
        <v>107.5</v>
      </c>
      <c r="CU218" s="107">
        <f t="shared" si="1041"/>
        <v>1.0750147965365644</v>
      </c>
      <c r="CV218" s="62">
        <f t="shared" si="523"/>
        <v>2.8944993701766211</v>
      </c>
      <c r="CW218" s="62">
        <f t="shared" si="998"/>
        <v>1.6864625237922852</v>
      </c>
      <c r="CX218" s="62">
        <f t="shared" si="524"/>
        <v>1.7871048890689831</v>
      </c>
      <c r="CY218" s="107">
        <f t="shared" si="999"/>
        <v>0.99627533344928132</v>
      </c>
      <c r="CZ218" s="168" t="str">
        <f t="shared" si="1875"/>
        <v>-</v>
      </c>
      <c r="DA218" s="158"/>
      <c r="DB218" s="168" t="str">
        <f t="shared" si="1980"/>
        <v>-</v>
      </c>
      <c r="DC218" s="160"/>
      <c r="DD218" s="190" t="s">
        <v>134</v>
      </c>
      <c r="DE218" s="62">
        <v>0.79</v>
      </c>
      <c r="DF218" s="62">
        <v>0.82</v>
      </c>
      <c r="DG218" s="62">
        <v>0.82</v>
      </c>
      <c r="DH218" s="150" t="s">
        <v>102</v>
      </c>
      <c r="DI218" s="62">
        <f t="shared" si="542"/>
        <v>2.0722993742641451</v>
      </c>
      <c r="DJ218" s="47">
        <f t="shared" si="543"/>
        <v>12.624584717607974</v>
      </c>
      <c r="DK218" s="48">
        <f t="shared" si="1726"/>
        <v>0</v>
      </c>
      <c r="DM218" s="107">
        <f t="shared" si="1658"/>
        <v>1.0530061598517608</v>
      </c>
      <c r="DN218" s="141" t="str">
        <f t="shared" si="1791"/>
        <v>-</v>
      </c>
      <c r="DO218" s="107">
        <f t="shared" si="1727"/>
        <v>4.6615589764595127</v>
      </c>
      <c r="DP218" s="133">
        <f t="shared" si="1981"/>
        <v>2.9182973670155836</v>
      </c>
      <c r="DQ218" s="133">
        <f t="shared" si="1982"/>
        <v>0</v>
      </c>
      <c r="DR218" s="133">
        <f t="shared" si="1983"/>
        <v>0</v>
      </c>
      <c r="DS218" s="133">
        <f t="shared" si="1984"/>
        <v>1.7432616094439293</v>
      </c>
      <c r="DT218" s="107">
        <f t="shared" si="1985"/>
        <v>1.7871048890689831</v>
      </c>
      <c r="DU218" s="133">
        <f t="shared" si="1986"/>
        <v>2.0149017494232964</v>
      </c>
      <c r="DW218" s="107">
        <f t="shared" si="512"/>
        <v>1.0965457107515961</v>
      </c>
      <c r="DX218" s="107">
        <f t="shared" si="544"/>
        <v>1.0479772283011339</v>
      </c>
      <c r="DZ218" s="107">
        <f t="shared" si="545"/>
        <v>1.0514758115114455</v>
      </c>
      <c r="EA218" s="122" t="str">
        <f t="shared" si="1792"/>
        <v>-</v>
      </c>
      <c r="EB218" s="107">
        <f t="shared" si="1728"/>
        <v>1.0596617279770082</v>
      </c>
      <c r="EC218" s="122" t="str">
        <f t="shared" si="1793"/>
        <v>-</v>
      </c>
      <c r="ED218" s="107">
        <f t="shared" si="67"/>
        <v>2.9180593032124986</v>
      </c>
      <c r="EE218" s="107">
        <f t="shared" si="68"/>
        <v>2.1685350061166324</v>
      </c>
      <c r="EF218" s="107">
        <f t="shared" si="1945"/>
        <v>1.5443504050509418</v>
      </c>
      <c r="EH218" s="107">
        <f t="shared" si="1729"/>
        <v>1.0616111220481792</v>
      </c>
      <c r="EJ218" s="107">
        <f t="shared" si="69"/>
        <v>2.9180593032124986</v>
      </c>
      <c r="EK218" s="107">
        <f t="shared" si="1946"/>
        <v>2.1686860967520136</v>
      </c>
      <c r="EL218" s="107">
        <f t="shared" si="1947"/>
        <v>1.7849907189041947</v>
      </c>
      <c r="EM218" s="107">
        <f t="shared" si="1730"/>
        <v>1.0564002767738419</v>
      </c>
      <c r="EO218" s="107">
        <f t="shared" si="1948"/>
        <v>4.5065060668788908</v>
      </c>
      <c r="EP218" s="107">
        <f t="shared" si="70"/>
        <v>2.9180593032124986</v>
      </c>
      <c r="EQ218" s="107">
        <f t="shared" si="1949"/>
        <v>1.5443504050509418</v>
      </c>
      <c r="ER218" s="107">
        <f t="shared" si="1950"/>
        <v>1.7871048890689831</v>
      </c>
      <c r="ES218" s="107">
        <f t="shared" si="1666"/>
        <v>1.0603536243749201</v>
      </c>
      <c r="EU218" s="107">
        <f t="shared" si="1951"/>
        <v>1.6968797764356374</v>
      </c>
      <c r="EV218" s="107">
        <f t="shared" si="71"/>
        <v>2.9180593032124986</v>
      </c>
      <c r="EW218" s="107">
        <f t="shared" si="1952"/>
        <v>0.98675204184723708</v>
      </c>
      <c r="EX218" s="107">
        <f t="shared" si="1953"/>
        <v>1.8064976541407809</v>
      </c>
      <c r="EY218" s="107">
        <f t="shared" si="1667"/>
        <v>1.0507905068604886</v>
      </c>
      <c r="FA218" s="107">
        <f t="shared" si="1668"/>
        <v>1.6969489932287425</v>
      </c>
      <c r="FB218" s="107">
        <f t="shared" si="72"/>
        <v>2.9182973670155836</v>
      </c>
      <c r="FC218" s="107">
        <f t="shared" si="1954"/>
        <v>0.98675204184723708</v>
      </c>
      <c r="FD218" s="107">
        <f t="shared" si="1955"/>
        <v>1.8064976541407809</v>
      </c>
      <c r="FE218" s="107">
        <f t="shared" si="1669"/>
        <v>1.0528456623575109</v>
      </c>
      <c r="FF218" s="141" t="str">
        <f t="shared" si="1794"/>
        <v>-</v>
      </c>
      <c r="FG218" s="107">
        <f t="shared" si="1671"/>
        <v>2.841486589912154</v>
      </c>
      <c r="FH218" s="133">
        <f t="shared" si="1957"/>
        <v>2.9182973670155836</v>
      </c>
      <c r="FI218" s="133">
        <f t="shared" si="1958"/>
        <v>0.97367959208969146</v>
      </c>
      <c r="FJ218" s="107">
        <f t="shared" si="1959"/>
        <v>1.0158682847827836</v>
      </c>
      <c r="FK218" s="107">
        <f t="shared" si="1672"/>
        <v>1.0556282321163821</v>
      </c>
      <c r="FL218" s="141" t="str">
        <f t="shared" si="1795"/>
        <v>-</v>
      </c>
      <c r="FM218" s="107">
        <f t="shared" si="1674"/>
        <v>4.8697523611010114</v>
      </c>
      <c r="FN218" s="133">
        <f t="shared" si="1961"/>
        <v>2.9182973670155836</v>
      </c>
      <c r="FO218" s="133">
        <f t="shared" si="1962"/>
        <v>0.70819338464149817</v>
      </c>
      <c r="FP218" s="133">
        <f t="shared" si="1963"/>
        <v>1.7432616094439293</v>
      </c>
      <c r="FQ218" s="107">
        <f t="shared" si="1964"/>
        <v>1.7871048890689831</v>
      </c>
      <c r="FR218" s="107">
        <f t="shared" si="1675"/>
        <v>1.0593637066297434</v>
      </c>
      <c r="FS218" s="141" t="str">
        <f t="shared" si="1796"/>
        <v>-</v>
      </c>
      <c r="FT218" s="107">
        <f t="shared" si="1677"/>
        <v>5.0873557648595673</v>
      </c>
      <c r="FU218" s="133">
        <f t="shared" si="1966"/>
        <v>2.9182973670155836</v>
      </c>
      <c r="FV218" s="133">
        <f t="shared" si="1967"/>
        <v>1.7432616094439293</v>
      </c>
      <c r="FW218" s="107">
        <f t="shared" si="1968"/>
        <v>1.7871048890689831</v>
      </c>
      <c r="FY218">
        <v>0.95</v>
      </c>
      <c r="FZ218" s="62">
        <f t="shared" si="1452"/>
        <v>1.0601251249718173</v>
      </c>
      <c r="GA218" s="62">
        <f t="shared" si="1378"/>
        <v>2.0149017494232964</v>
      </c>
      <c r="GB218" s="107">
        <f t="shared" si="525"/>
        <v>1.1995266762133321</v>
      </c>
      <c r="GC218" s="440"/>
      <c r="GD218" s="17"/>
      <c r="GE218" s="442"/>
      <c r="GF218" s="462"/>
      <c r="GG218" s="17"/>
      <c r="GH218" s="17"/>
      <c r="GI218" s="17"/>
      <c r="GJ218" s="17"/>
      <c r="GL218" s="17"/>
      <c r="GM218" s="442"/>
      <c r="GN218" s="8"/>
      <c r="GO218" s="8"/>
      <c r="GP218" s="8"/>
      <c r="GQ218" s="8"/>
      <c r="GS218" s="17"/>
      <c r="GT218" s="17"/>
      <c r="GU218" s="17"/>
      <c r="GV218" s="629"/>
      <c r="GW218" s="17"/>
      <c r="GX218" s="17"/>
      <c r="GY218" s="17"/>
      <c r="GZ218" s="17"/>
    </row>
    <row r="219" spans="1:208" ht="15.6" x14ac:dyDescent="0.3">
      <c r="A219" s="52" t="s">
        <v>54</v>
      </c>
      <c r="B219" s="218">
        <f t="shared" si="10"/>
        <v>43.307086614173222</v>
      </c>
      <c r="C219" s="53" t="s">
        <v>19</v>
      </c>
      <c r="D219" s="53"/>
      <c r="E219" s="53"/>
      <c r="F219" s="53"/>
      <c r="G219" s="54"/>
      <c r="H219" s="112">
        <f>J220</f>
        <v>112.3</v>
      </c>
      <c r="I219" s="601">
        <f>H220/100</f>
        <v>1.24</v>
      </c>
      <c r="J219" s="651">
        <f>IF(DC220=0,"-",DC220)</f>
        <v>1.22</v>
      </c>
      <c r="K219" s="123" t="str">
        <f>A219</f>
        <v>Marieto</v>
      </c>
      <c r="L219" s="116"/>
      <c r="M219" s="116"/>
      <c r="N219" s="92"/>
      <c r="O219" s="165"/>
      <c r="P219" s="165"/>
      <c r="Q219" s="165"/>
      <c r="R219" s="165">
        <v>29.4</v>
      </c>
      <c r="S219" s="165">
        <v>15</v>
      </c>
      <c r="T219" s="165"/>
      <c r="U219" s="165">
        <v>18.2</v>
      </c>
      <c r="V219" s="559"/>
      <c r="W219" s="559"/>
      <c r="X219" s="177">
        <v>52.3</v>
      </c>
      <c r="Y219" s="177">
        <f>StorS-StorS/6</f>
        <v>43.583333333333329</v>
      </c>
      <c r="Z219" s="177">
        <f>StorS-StorS/6*1.9</f>
        <v>35.73833333333333</v>
      </c>
      <c r="AA219" s="165">
        <v>12.4</v>
      </c>
      <c r="AB219" s="165"/>
      <c r="AC219" s="165"/>
      <c r="AD219" s="165"/>
      <c r="AE219" s="165"/>
      <c r="AF219" s="165"/>
      <c r="AG219" s="552"/>
      <c r="AH219" s="244"/>
      <c r="AI219" s="244">
        <v>11.58</v>
      </c>
      <c r="AJ219" s="554"/>
      <c r="AK219" s="339"/>
      <c r="AL219" s="268"/>
      <c r="AM219" s="339"/>
      <c r="AN219" s="268" t="s">
        <v>211</v>
      </c>
      <c r="AO219" s="45">
        <f>VLOOKUP(AN219,Skrogform!$1:$1048576,3,FALSE)</f>
        <v>0.98</v>
      </c>
      <c r="AP219" s="55">
        <v>13.2</v>
      </c>
      <c r="AQ219" s="55">
        <v>11.3</v>
      </c>
      <c r="AR219" s="55">
        <v>3.78</v>
      </c>
      <c r="AS219" s="55">
        <v>2</v>
      </c>
      <c r="AT219" s="637">
        <v>18</v>
      </c>
      <c r="AU219" s="55">
        <v>18</v>
      </c>
      <c r="AV219" s="55">
        <v>5.6</v>
      </c>
      <c r="AW219" s="55">
        <v>0.3</v>
      </c>
      <c r="AX219" s="253"/>
      <c r="AY219" s="253">
        <v>72</v>
      </c>
      <c r="AZ219" s="253">
        <v>440</v>
      </c>
      <c r="BA219" s="253"/>
      <c r="BB219" s="253"/>
      <c r="BC219" s="244">
        <f>Depl+Diesel/1000*0.84+Vann/1000</f>
        <v>18</v>
      </c>
      <c r="BD219" s="95">
        <f>Bredde/(Loa+Lwl)*2</f>
        <v>0.30857142857142855</v>
      </c>
      <c r="BE219" s="95">
        <f>(Kjøl+Ballast)/Depl</f>
        <v>0.32777777777777772</v>
      </c>
      <c r="BF219" s="260">
        <f>BF$7*((Depl-Kjøl-Ballast-VektMotor/1000-VektAnnet/1000)/Lwl/Lwl/Bredde)</f>
        <v>0.91165283607949421</v>
      </c>
      <c r="BG219" s="95">
        <f>BG$7*(Depl/Loa/Lwl/Lwl)</f>
        <v>0.7858794310083369</v>
      </c>
      <c r="BH219" s="174">
        <f>BH$7*(Depl/Loa/Lwl/Bredde)</f>
        <v>0.86839012757154366</v>
      </c>
      <c r="BI219" s="95">
        <f>BI$7*Bredde/(Loa+Lwl)*2</f>
        <v>0.88025806451612898</v>
      </c>
      <c r="BJ219" s="95">
        <f>BJ$7*(Dypg/Lwl)</f>
        <v>0.9680646402462485</v>
      </c>
      <c r="BK219" s="56" t="s">
        <v>39</v>
      </c>
      <c r="BL219" s="268">
        <v>3</v>
      </c>
      <c r="BM219" s="268">
        <v>51</v>
      </c>
      <c r="BN219" s="45">
        <f t="shared" si="1932"/>
        <v>0.98462562994431868</v>
      </c>
      <c r="BO219" s="59"/>
      <c r="BP219" s="59"/>
      <c r="BR219" s="209"/>
      <c r="BS219" s="209"/>
      <c r="BT219" s="209" t="str">
        <f>$A219</f>
        <v>Marieto</v>
      </c>
      <c r="BU219" s="10"/>
      <c r="BV219" s="10"/>
      <c r="BW219" s="10"/>
      <c r="BX219" s="10"/>
      <c r="BY219" s="549"/>
      <c r="BZ219" s="10"/>
      <c r="CA219" s="10"/>
      <c r="CB219" s="209" t="str">
        <f>$A219</f>
        <v>Marieto</v>
      </c>
      <c r="CC219" s="10"/>
      <c r="CD219" s="10"/>
      <c r="CE219" s="10"/>
      <c r="CF219" s="10"/>
      <c r="CG219" s="10"/>
      <c r="CH219" s="10"/>
      <c r="CI219" s="10"/>
      <c r="CJ219" s="10"/>
      <c r="CK219" s="10"/>
      <c r="CL219" s="209"/>
      <c r="CM219" s="10"/>
      <c r="CN219" s="209" t="str">
        <f>$A219</f>
        <v>Marieto</v>
      </c>
      <c r="CO219" s="207"/>
      <c r="CP219" s="207"/>
      <c r="CQ219" s="116"/>
      <c r="CR219" s="207"/>
      <c r="CS219" s="203"/>
      <c r="CT219" s="203" t="s">
        <v>23</v>
      </c>
      <c r="CU219" s="107" t="str">
        <f t="shared" si="1041"/>
        <v>-</v>
      </c>
      <c r="CV219" s="62" t="str">
        <f t="shared" si="523"/>
        <v>-</v>
      </c>
      <c r="CW219" s="62" t="str">
        <f t="shared" si="998"/>
        <v>-</v>
      </c>
      <c r="CX219" s="62" t="str">
        <f t="shared" si="524"/>
        <v>-</v>
      </c>
      <c r="CY219" s="107" t="str">
        <f t="shared" si="999"/>
        <v>-</v>
      </c>
      <c r="CZ219" s="168" t="str">
        <f t="shared" si="1875"/>
        <v>-</v>
      </c>
      <c r="DA219" s="158"/>
      <c r="DB219" s="168" t="str">
        <f t="shared" si="1980"/>
        <v>-</v>
      </c>
      <c r="DC219" s="160">
        <v>1.22</v>
      </c>
      <c r="DD219" s="190" t="s">
        <v>134</v>
      </c>
      <c r="DE219" s="29" t="s">
        <v>23</v>
      </c>
      <c r="DF219" s="29" t="s">
        <v>23</v>
      </c>
      <c r="DG219" s="29" t="s">
        <v>23</v>
      </c>
      <c r="DH219" s="149">
        <v>2022</v>
      </c>
      <c r="DI219" s="62" t="str">
        <f t="shared" ref="DI219:DI248" si="2007">IF(SeilBeregnet=0,"-",((Dypg/(Lwl+DI$6-Bredde*DI$5))^(1/DI$4)*5)*DI$3*DI$7)</f>
        <v>-</v>
      </c>
      <c r="DJ219" s="47">
        <f t="shared" ref="DJ219:DJ247" si="2008">(Dypg/(Lwl+Bredde+DJ$8)*100)</f>
        <v>12.437810945273634</v>
      </c>
      <c r="DK219" s="48">
        <f t="shared" ref="DK219:DK247" si="2009">DJ$7*IF(DJ219&lt;DJ$5,-0.04,IF(DJ219&lt;DJ$5*1.1,-0.03,IF(DJ219&lt;DJ$5*1.2,-0.02,IF(DJ219&lt;DJ$5*1.3,-0.01,0))))</f>
        <v>0</v>
      </c>
      <c r="DM219" s="107" t="str">
        <f t="shared" si="1658"/>
        <v>-</v>
      </c>
      <c r="DN219" s="141" t="str">
        <f t="shared" si="1791"/>
        <v>-</v>
      </c>
      <c r="DO219" s="107">
        <f t="shared" ref="DO219:DO248" si="2010">SUM(DP219:DS219)^DO$3+DO$7</f>
        <v>4.6615589764595127</v>
      </c>
      <c r="DP219" s="133">
        <f t="shared" si="1981"/>
        <v>2.9182973670155836</v>
      </c>
      <c r="DQ219" s="133">
        <f t="shared" si="1982"/>
        <v>0</v>
      </c>
      <c r="DR219" s="133">
        <f t="shared" si="1983"/>
        <v>0</v>
      </c>
      <c r="DS219" s="133">
        <f t="shared" si="1984"/>
        <v>1.7432616094439293</v>
      </c>
      <c r="DT219" s="107">
        <f t="shared" si="1985"/>
        <v>1.7871048890689831</v>
      </c>
      <c r="DU219" s="133">
        <f t="shared" si="1986"/>
        <v>2.0149017494232964</v>
      </c>
      <c r="DW219" s="107" t="str">
        <f t="shared" si="417"/>
        <v>-</v>
      </c>
      <c r="DX219" s="107" t="str">
        <f t="shared" ref="DX219:DX248" si="2011">IF(SeilBeregnet=0,"-",DX$7*(DX$4*SeilBeregnet^0.5/(Depl^0.33333*Bredde*Lwl)^0.3333*((Loa*0.03+Lwl*0.07)^0.33)*PropF+DX$6)+ErfaringsF+Dyp_F)</f>
        <v>-</v>
      </c>
      <c r="DZ219" s="107" t="str">
        <f t="shared" ref="DZ219:DZ248" si="2012">IF(SeilBeregnet=0,"-",DZ$7*(DZ$4*SeilBeregnet^0.5/(Depl^0.33333*Bredde*Lwl)^0.3333*Lwl^0.3333*((Loa+Lwl)/Bredde/6)^0.25*PropF+DZ$6)+ErfaringsF+Dyp_F)</f>
        <v>-</v>
      </c>
      <c r="EA219" s="122" t="str">
        <f t="shared" si="1792"/>
        <v>-</v>
      </c>
      <c r="EB219" s="107" t="str">
        <f t="shared" ref="EB219:EB248" si="2013">IF(SeilBeregnet=0,"-",EB$7*(EB$4*ED219*EE219*EF219*PropF+EB$6)+ErfaringsF+Dyp_F)</f>
        <v>-</v>
      </c>
      <c r="EC219" s="122" t="str">
        <f t="shared" si="1793"/>
        <v>-</v>
      </c>
      <c r="ED219" s="107">
        <f t="shared" si="67"/>
        <v>2.9180593032124986</v>
      </c>
      <c r="EE219" s="107">
        <f t="shared" si="68"/>
        <v>2.1685350061166324</v>
      </c>
      <c r="EF219" s="107">
        <f t="shared" si="1945"/>
        <v>1.5443504050509418</v>
      </c>
      <c r="EH219" s="107" t="str">
        <f t="shared" ref="EH219:EH248" si="2014">IF(SeilBeregnet=0,"-",EH$7*(EH$4*EJ219*EK219*EL219*PropF+EH$6)+ErfaringsF+Dyp_F)</f>
        <v>-</v>
      </c>
      <c r="EJ219" s="107">
        <f t="shared" si="69"/>
        <v>2.9180593032124986</v>
      </c>
      <c r="EK219" s="107">
        <f t="shared" si="1946"/>
        <v>2.1686860967520136</v>
      </c>
      <c r="EL219" s="107">
        <f t="shared" si="1947"/>
        <v>1.7849907189041947</v>
      </c>
      <c r="EM219" s="107" t="str">
        <f t="shared" ref="EM219:EM248" si="2015">IF(SeilBeregnet=0,"-",EM$7*(EM$4*EO219+EM$6)*ER219*PropF+ErfaringsF+Dyp_F)</f>
        <v>-</v>
      </c>
      <c r="EO219" s="107">
        <f t="shared" si="1948"/>
        <v>4.5065060668788908</v>
      </c>
      <c r="EP219" s="107">
        <f t="shared" si="70"/>
        <v>2.9180593032124986</v>
      </c>
      <c r="EQ219" s="107">
        <f t="shared" si="1949"/>
        <v>1.5443504050509418</v>
      </c>
      <c r="ER219" s="107">
        <f t="shared" si="1950"/>
        <v>1.7871048890689831</v>
      </c>
      <c r="ES219" s="107" t="str">
        <f t="shared" si="1666"/>
        <v>-</v>
      </c>
      <c r="EU219" s="107">
        <f t="shared" si="1951"/>
        <v>1.6968797764356374</v>
      </c>
      <c r="EV219" s="107">
        <f t="shared" si="71"/>
        <v>2.9180593032124986</v>
      </c>
      <c r="EW219" s="107">
        <f t="shared" si="1952"/>
        <v>0.98675204184723708</v>
      </c>
      <c r="EX219" s="107">
        <f t="shared" si="1953"/>
        <v>1.8064976541407809</v>
      </c>
      <c r="EY219" s="107" t="str">
        <f t="shared" si="1667"/>
        <v>-</v>
      </c>
      <c r="FA219" s="107">
        <f t="shared" si="1668"/>
        <v>1.6969489932287425</v>
      </c>
      <c r="FB219" s="107">
        <f t="shared" si="72"/>
        <v>2.9182973670155836</v>
      </c>
      <c r="FC219" s="107">
        <f t="shared" si="1954"/>
        <v>0.98675204184723708</v>
      </c>
      <c r="FD219" s="107">
        <f t="shared" si="1955"/>
        <v>1.8064976541407809</v>
      </c>
      <c r="FE219" s="107" t="str">
        <f t="shared" si="1669"/>
        <v>-</v>
      </c>
      <c r="FF219" s="141" t="str">
        <f t="shared" si="1794"/>
        <v>-</v>
      </c>
      <c r="FG219" s="107">
        <f t="shared" si="1671"/>
        <v>2.841486589912154</v>
      </c>
      <c r="FH219" s="133">
        <f t="shared" si="1957"/>
        <v>2.9182973670155836</v>
      </c>
      <c r="FI219" s="133">
        <f t="shared" si="1958"/>
        <v>0.97367959208969146</v>
      </c>
      <c r="FJ219" s="107">
        <f t="shared" si="1959"/>
        <v>1.0158682847827836</v>
      </c>
      <c r="FK219" s="107" t="str">
        <f t="shared" si="1672"/>
        <v>-</v>
      </c>
      <c r="FL219" s="141" t="str">
        <f t="shared" si="1795"/>
        <v>-</v>
      </c>
      <c r="FM219" s="107">
        <f t="shared" si="1674"/>
        <v>4.8697523611010114</v>
      </c>
      <c r="FN219" s="133">
        <f t="shared" si="1961"/>
        <v>2.9182973670155836</v>
      </c>
      <c r="FO219" s="133">
        <f t="shared" si="1962"/>
        <v>0.70819338464149817</v>
      </c>
      <c r="FP219" s="133">
        <f t="shared" si="1963"/>
        <v>1.7432616094439293</v>
      </c>
      <c r="FQ219" s="107">
        <f t="shared" si="1964"/>
        <v>1.7871048890689831</v>
      </c>
      <c r="FR219" s="107" t="str">
        <f t="shared" si="1675"/>
        <v>-</v>
      </c>
      <c r="FS219" s="141" t="str">
        <f t="shared" si="1796"/>
        <v>-</v>
      </c>
      <c r="FT219" s="107">
        <f t="shared" si="1677"/>
        <v>5.0873557648595673</v>
      </c>
      <c r="FU219" s="133">
        <f t="shared" si="1966"/>
        <v>2.9182973670155836</v>
      </c>
      <c r="FV219" s="133">
        <f t="shared" si="1967"/>
        <v>1.7432616094439293</v>
      </c>
      <c r="FW219" s="107">
        <f t="shared" si="1968"/>
        <v>1.7871048890689831</v>
      </c>
      <c r="FY219">
        <v>0.95</v>
      </c>
      <c r="FZ219" s="62" t="str">
        <f t="shared" si="1452"/>
        <v>-</v>
      </c>
      <c r="GA219" s="62">
        <f t="shared" si="1378"/>
        <v>1.9462473604038075</v>
      </c>
      <c r="GB219" s="107" t="str">
        <f t="shared" si="525"/>
        <v>-</v>
      </c>
      <c r="GC219" s="441"/>
      <c r="GD219" s="57"/>
      <c r="GE219" s="436"/>
      <c r="GF219" s="75"/>
      <c r="GG219" s="57"/>
      <c r="GH219" s="57"/>
      <c r="GI219" s="57"/>
      <c r="GJ219" s="57"/>
      <c r="GL219" s="57" t="s">
        <v>478</v>
      </c>
      <c r="GM219" s="436" t="s">
        <v>478</v>
      </c>
      <c r="GN219" s="58" t="s">
        <v>478</v>
      </c>
      <c r="GO219" s="58" t="s">
        <v>478</v>
      </c>
      <c r="GP219" s="58" t="s">
        <v>478</v>
      </c>
      <c r="GQ219" s="58" t="s">
        <v>478</v>
      </c>
      <c r="GS219" s="57"/>
      <c r="GT219" s="57"/>
      <c r="GU219" s="57"/>
      <c r="GV219" s="632"/>
      <c r="GW219" s="57"/>
      <c r="GX219" s="57"/>
      <c r="GY219" s="57"/>
      <c r="GZ219" s="57"/>
    </row>
    <row r="220" spans="1:208" ht="15.6" x14ac:dyDescent="0.3">
      <c r="A220" s="60" t="s">
        <v>28</v>
      </c>
      <c r="B220" s="218"/>
      <c r="C220" s="61" t="str">
        <f>C219</f>
        <v>Gaffel</v>
      </c>
      <c r="D220" s="61"/>
      <c r="E220" s="61"/>
      <c r="F220" s="61"/>
      <c r="G220" s="54"/>
      <c r="H220" s="204">
        <f>IF(StH=0,0,TBFavrundet)</f>
        <v>124</v>
      </c>
      <c r="I220" s="63">
        <f>COUNTA(O220:AG220)</f>
        <v>4</v>
      </c>
      <c r="J220" s="222">
        <f>SUM(O220:AG220)</f>
        <v>112.3</v>
      </c>
      <c r="K220" s="116">
        <f>Seilareal/Depl^0.667/K$7</f>
        <v>1.5138002193445745</v>
      </c>
      <c r="L220" s="116">
        <f>Seilareal/Lwl/Lwl/L$7</f>
        <v>1.3344424322238351</v>
      </c>
      <c r="M220" s="92">
        <f>RiggF</f>
        <v>0.75957257346393603</v>
      </c>
      <c r="N220" s="242">
        <f>StHfaktor</f>
        <v>1.0030642786360957</v>
      </c>
      <c r="O220" s="143"/>
      <c r="P220" s="143"/>
      <c r="Q220" s="143"/>
      <c r="R220" s="165">
        <v>29.4</v>
      </c>
      <c r="S220" s="143"/>
      <c r="T220" s="143"/>
      <c r="U220" s="165">
        <v>18.2</v>
      </c>
      <c r="V220" s="559"/>
      <c r="W220" s="559"/>
      <c r="X220" s="165">
        <f>X219</f>
        <v>52.3</v>
      </c>
      <c r="Y220" s="143"/>
      <c r="Z220" s="143"/>
      <c r="AA220" s="165">
        <v>12.4</v>
      </c>
      <c r="AB220" s="143"/>
      <c r="AC220" s="143"/>
      <c r="AD220" s="143"/>
      <c r="AE220" s="143"/>
      <c r="AF220" s="143"/>
      <c r="AG220" s="551"/>
      <c r="AH220" s="557">
        <f t="shared" ref="AH220:AI220" si="2016">AH219</f>
        <v>0</v>
      </c>
      <c r="AI220" s="557">
        <f t="shared" si="2016"/>
        <v>11.58</v>
      </c>
      <c r="AJ220" s="337">
        <f t="shared" ref="AJ220:AL222" si="2017" xml:space="preserve"> AJ219</f>
        <v>0</v>
      </c>
      <c r="AK220" s="339"/>
      <c r="AL220" s="337">
        <f t="shared" si="2017"/>
        <v>0</v>
      </c>
      <c r="AM220" s="339"/>
      <c r="AN220" s="267" t="str">
        <f t="shared" ref="AN220" si="2018" xml:space="preserve"> AN219</f>
        <v>Lystb</v>
      </c>
      <c r="AO220" s="45">
        <f>VLOOKUP(AN220,Skrogform!$1:$1048576,3,FALSE)</f>
        <v>0.98</v>
      </c>
      <c r="AP220" s="64">
        <f t="shared" ref="AP220:AZ220" si="2019">AP219</f>
        <v>13.2</v>
      </c>
      <c r="AQ220" s="64">
        <f t="shared" si="2019"/>
        <v>11.3</v>
      </c>
      <c r="AR220" s="64">
        <f t="shared" si="2019"/>
        <v>3.78</v>
      </c>
      <c r="AS220" s="64">
        <f t="shared" si="2019"/>
        <v>2</v>
      </c>
      <c r="AT220" s="64">
        <f t="shared" ref="AT220" si="2020">AT219</f>
        <v>18</v>
      </c>
      <c r="AU220" s="64">
        <f t="shared" si="2019"/>
        <v>18</v>
      </c>
      <c r="AV220" s="64">
        <f t="shared" si="2019"/>
        <v>5.6</v>
      </c>
      <c r="AW220" s="64">
        <f t="shared" si="2019"/>
        <v>0.3</v>
      </c>
      <c r="AX220" s="256">
        <f>AX219</f>
        <v>0</v>
      </c>
      <c r="AY220" s="256">
        <f t="shared" si="2019"/>
        <v>72</v>
      </c>
      <c r="AZ220" s="256">
        <f t="shared" si="2019"/>
        <v>440</v>
      </c>
      <c r="BA220" s="256">
        <f t="shared" ref="BA220:BB220" si="2021">BA219</f>
        <v>0</v>
      </c>
      <c r="BB220" s="256">
        <f t="shared" si="2021"/>
        <v>0</v>
      </c>
      <c r="BC220" s="256"/>
      <c r="BD220" s="66"/>
      <c r="BE220" s="66"/>
      <c r="BF220" s="261"/>
      <c r="BG220" s="66"/>
      <c r="BH220" s="175"/>
      <c r="BI220" s="66"/>
      <c r="BJ220" s="66"/>
      <c r="BK220" s="65" t="str">
        <f t="shared" ref="BK220:BM220" si="2022" xml:space="preserve"> BK219</f>
        <v>Fast</v>
      </c>
      <c r="BL220" s="267">
        <f t="shared" si="2022"/>
        <v>3</v>
      </c>
      <c r="BM220" s="267">
        <f t="shared" si="2022"/>
        <v>51</v>
      </c>
      <c r="BN220" s="45">
        <f t="shared" si="1932"/>
        <v>0.98462562994431868</v>
      </c>
      <c r="BO220" s="59"/>
      <c r="BP220" s="59"/>
      <c r="BR220" s="49">
        <f t="shared" ref="BR220:BX222" si="2023">IF(O220=0,0,O220*BR$9)</f>
        <v>0</v>
      </c>
      <c r="BS220" s="49">
        <f t="shared" si="2023"/>
        <v>0</v>
      </c>
      <c r="BT220" s="49">
        <f t="shared" si="2023"/>
        <v>0</v>
      </c>
      <c r="BU220" s="49">
        <f t="shared" si="2023"/>
        <v>29.4</v>
      </c>
      <c r="BV220" s="49">
        <f t="shared" si="2023"/>
        <v>0</v>
      </c>
      <c r="BW220" s="49">
        <f t="shared" si="2023"/>
        <v>0</v>
      </c>
      <c r="BX220" s="49">
        <f t="shared" si="2023"/>
        <v>18.2</v>
      </c>
      <c r="BY220" s="549">
        <f>IF(COUNT(Q220:U220)&gt;1,MINA(Q220:U220)*BY$9,0)</f>
        <v>-9.1</v>
      </c>
      <c r="BZ220" s="85">
        <f t="shared" ref="BZ220:CD222" si="2024">IF(V220=0,0,V220*BZ$9)</f>
        <v>0</v>
      </c>
      <c r="CA220" s="85">
        <f t="shared" si="2024"/>
        <v>0</v>
      </c>
      <c r="CB220" s="85">
        <f t="shared" si="2024"/>
        <v>41.84</v>
      </c>
      <c r="CC220" s="85">
        <f t="shared" si="2024"/>
        <v>0</v>
      </c>
      <c r="CD220" s="85">
        <f t="shared" si="2024"/>
        <v>0</v>
      </c>
      <c r="CE220" s="85">
        <f>IF(AC220=0,0,AC220*CE$9)</f>
        <v>0</v>
      </c>
      <c r="CF220" s="85">
        <f t="shared" ref="CF220:CG222" si="2025">IF(AA220=0,0,AA220*CF$9)</f>
        <v>4.9600000000000009</v>
      </c>
      <c r="CG220" s="85">
        <f t="shared" si="2025"/>
        <v>0</v>
      </c>
      <c r="CH220" s="85">
        <f t="shared" ref="CH220:CK222" si="2026">IF(AD220=0,0,AD220*CH$9)</f>
        <v>0</v>
      </c>
      <c r="CI220" s="85">
        <f t="shared" si="2026"/>
        <v>0</v>
      </c>
      <c r="CJ220" s="85">
        <f t="shared" si="2026"/>
        <v>0</v>
      </c>
      <c r="CK220" s="85">
        <f t="shared" si="2026"/>
        <v>0</v>
      </c>
      <c r="CL220" s="100">
        <f>SUM(BR220:CK220)</f>
        <v>85.300000000000011</v>
      </c>
      <c r="CM220" s="50"/>
      <c r="CN220" s="104">
        <f>J220</f>
        <v>112.3</v>
      </c>
      <c r="CO220" s="101">
        <f>CL220/CN220</f>
        <v>0.75957257346393603</v>
      </c>
      <c r="CP220" s="51">
        <f>Seilareal/Lwl/Lwl</f>
        <v>0.87947372542877256</v>
      </c>
      <c r="CQ220" s="116">
        <f>Seilareal/Depl^0.667/K$7</f>
        <v>1.5138002193445745</v>
      </c>
      <c r="CR220" s="51">
        <f>Seilareal/Lwl/Lwl/SApRS1</f>
        <v>1.3344424322238351</v>
      </c>
      <c r="CS220" s="204"/>
      <c r="CT220" s="204">
        <f>(ROUND(TBF/CT$6,3)*CT$6)*CT$4</f>
        <v>124</v>
      </c>
      <c r="CU220" s="107">
        <f t="shared" si="1041"/>
        <v>1.2381626686520997</v>
      </c>
      <c r="CV220" s="62">
        <f t="shared" si="523"/>
        <v>3.5219199779598855</v>
      </c>
      <c r="CW220" s="62">
        <f t="shared" si="998"/>
        <v>1.800205749557739</v>
      </c>
      <c r="CX220" s="62">
        <f t="shared" si="524"/>
        <v>1.8334522799337654</v>
      </c>
      <c r="CY220" s="107">
        <f t="shared" si="999"/>
        <v>1.0030642786360957</v>
      </c>
      <c r="CZ220" s="168" t="str">
        <f t="shared" si="1875"/>
        <v>-</v>
      </c>
      <c r="DA220" s="159">
        <f>DA219</f>
        <v>0</v>
      </c>
      <c r="DB220" s="168">
        <f t="shared" si="1980"/>
        <v>1.1343859649122807</v>
      </c>
      <c r="DC220" s="159">
        <f>DC219</f>
        <v>1.22</v>
      </c>
      <c r="DD220" s="190" t="s">
        <v>134</v>
      </c>
      <c r="DE220" s="62">
        <v>0.97</v>
      </c>
      <c r="DF220" s="62">
        <v>0.93</v>
      </c>
      <c r="DG220" s="62">
        <v>0.99</v>
      </c>
      <c r="DH220" s="150" t="s">
        <v>102</v>
      </c>
      <c r="DI220" s="62">
        <f t="shared" si="2007"/>
        <v>2.0036834153678118</v>
      </c>
      <c r="DJ220" s="47">
        <f t="shared" si="2008"/>
        <v>12.437810945273634</v>
      </c>
      <c r="DK220" s="48">
        <f t="shared" si="2009"/>
        <v>0</v>
      </c>
      <c r="DM220" s="107">
        <f t="shared" ref="DM220:DM248" si="2027">IF(SeilBeregnet=0,"-",DM$7*(DO:DO+DM$6)*DT:DT*PropF+ErfaringsF+Dyp_F)</f>
        <v>1.207274398189937</v>
      </c>
      <c r="DN220" s="141" t="str">
        <f t="shared" si="1791"/>
        <v>-</v>
      </c>
      <c r="DO220" s="107">
        <f t="shared" si="2010"/>
        <v>5.3931631518390999</v>
      </c>
      <c r="DP220" s="133">
        <f t="shared" si="1981"/>
        <v>3.5244567832344731</v>
      </c>
      <c r="DQ220" s="133">
        <f t="shared" si="1982"/>
        <v>0</v>
      </c>
      <c r="DR220" s="133">
        <f t="shared" si="1983"/>
        <v>0</v>
      </c>
      <c r="DS220" s="133">
        <f t="shared" si="1984"/>
        <v>1.868706368604627</v>
      </c>
      <c r="DT220" s="107">
        <f t="shared" si="1985"/>
        <v>1.8334522799337654</v>
      </c>
      <c r="DU220" s="133">
        <f t="shared" si="1986"/>
        <v>1.9462473604038075</v>
      </c>
      <c r="DW220" s="107">
        <f t="shared" si="417"/>
        <v>1.2634312945429591</v>
      </c>
      <c r="DX220" s="107">
        <f t="shared" si="2011"/>
        <v>1.2198656823892</v>
      </c>
      <c r="DZ220" s="107">
        <f t="shared" si="2012"/>
        <v>1.2069790488166268</v>
      </c>
      <c r="EA220" s="122" t="str">
        <f t="shared" si="1792"/>
        <v>-</v>
      </c>
      <c r="EB220" s="107">
        <f t="shared" si="2013"/>
        <v>1.2457462264125962</v>
      </c>
      <c r="EC220" s="122" t="str">
        <f t="shared" si="1793"/>
        <v>-</v>
      </c>
      <c r="ED220" s="107">
        <f t="shared" si="67"/>
        <v>3.5241511867735293</v>
      </c>
      <c r="EE220" s="107">
        <f t="shared" si="68"/>
        <v>2.2438356573015867</v>
      </c>
      <c r="EF220" s="107">
        <f t="shared" si="1945"/>
        <v>1.5955799528969328</v>
      </c>
      <c r="EH220" s="107">
        <f t="shared" si="2014"/>
        <v>1.2355893972245624</v>
      </c>
      <c r="EJ220" s="107">
        <f t="shared" si="69"/>
        <v>3.5241511867735293</v>
      </c>
      <c r="EK220" s="107">
        <f t="shared" si="1946"/>
        <v>2.2439988890031217</v>
      </c>
      <c r="EL220" s="107">
        <f t="shared" si="1947"/>
        <v>1.8643654197147781</v>
      </c>
      <c r="EM220" s="107">
        <f t="shared" si="2015"/>
        <v>1.2265916601737412</v>
      </c>
      <c r="EO220" s="107">
        <f t="shared" si="1948"/>
        <v>5.6230649845937775</v>
      </c>
      <c r="EP220" s="107">
        <f t="shared" si="70"/>
        <v>3.5241511867735293</v>
      </c>
      <c r="EQ220" s="107">
        <f t="shared" si="1949"/>
        <v>1.5955799528969328</v>
      </c>
      <c r="ER220" s="107">
        <f t="shared" si="1950"/>
        <v>1.8334522799337654</v>
      </c>
      <c r="ES220" s="107">
        <f t="shared" ref="ES220:ES248" si="2028">IF(SeilBeregnet=0,"-",ES$7*(ES$4*EU:EU+ES$6)*EX:EX*PropF+ErfaringsF+Dyp_F)</f>
        <v>1.2271520171020989</v>
      </c>
      <c r="EU220" s="107">
        <f t="shared" si="1951"/>
        <v>1.8954731854169993</v>
      </c>
      <c r="EV220" s="107">
        <f t="shared" si="71"/>
        <v>3.5241511867735293</v>
      </c>
      <c r="EW220" s="107">
        <f t="shared" si="1952"/>
        <v>1.0194848081770873</v>
      </c>
      <c r="EX220" s="107">
        <f t="shared" si="1953"/>
        <v>1.8561483333479689</v>
      </c>
      <c r="EY220" s="107">
        <f t="shared" ref="EY220:EY248" si="2029">IF(SeilBeregnet=0,"-",EY$7*(FA:FA+EY$6)*FD:FD*PropF+ErfaringsF+Dyp_F)</f>
        <v>1.164888907890548</v>
      </c>
      <c r="FA220" s="107">
        <f t="shared" ref="FA220:FA248" si="2030">(FB:FB*FC:FC)^FA$3</f>
        <v>1.8955553665309359</v>
      </c>
      <c r="FB220" s="107">
        <f t="shared" si="72"/>
        <v>3.5244567832344731</v>
      </c>
      <c r="FC220" s="107">
        <f t="shared" si="1954"/>
        <v>1.0194848081770873</v>
      </c>
      <c r="FD220" s="107">
        <f t="shared" si="1955"/>
        <v>1.8561483333479689</v>
      </c>
      <c r="FE220" s="107">
        <f t="shared" ref="FE220:FE248" si="2031">IF(SeilBeregnet=0,"-",FE$7*(FG:FG+FE$6)*FJ:FJ*PropF+ErfaringsF+Dyp_F)</f>
        <v>1.2222513665882588</v>
      </c>
      <c r="FF220" s="141" t="str">
        <f t="shared" si="1794"/>
        <v>-</v>
      </c>
      <c r="FG220" s="107">
        <f t="shared" ref="FG220:FG248" si="2032">(FH:FH*FI:FI)^FG$3</f>
        <v>3.6631415992652192</v>
      </c>
      <c r="FH220" s="133">
        <f t="shared" si="1957"/>
        <v>3.5244567832344731</v>
      </c>
      <c r="FI220" s="133">
        <f t="shared" si="1958"/>
        <v>1.0393492741038726</v>
      </c>
      <c r="FJ220" s="107">
        <f t="shared" si="1959"/>
        <v>1.0437889135247547</v>
      </c>
      <c r="FK220" s="107">
        <f t="shared" ref="FK220:FK248" si="2033">IF(SeilBeregnet=0,"-",FK$7*(FM:FM+FK$6)*FQ:FQ*PropF+ErfaringsF+Dyp_F)</f>
        <v>1.226764296491671</v>
      </c>
      <c r="FL220" s="141" t="str">
        <f t="shared" si="1795"/>
        <v>-</v>
      </c>
      <c r="FM220" s="107">
        <f t="shared" ref="FM220:FM248" si="2034">(FN:FN+FO:FO+FP:FP)^FM$3+FM$7</f>
        <v>5.7104905776103445</v>
      </c>
      <c r="FN220" s="133">
        <f t="shared" si="1961"/>
        <v>3.5244567832344731</v>
      </c>
      <c r="FO220" s="133">
        <f t="shared" si="1962"/>
        <v>0.81732742577124384</v>
      </c>
      <c r="FP220" s="133">
        <f t="shared" si="1963"/>
        <v>1.868706368604627</v>
      </c>
      <c r="FQ220" s="107">
        <f t="shared" si="1964"/>
        <v>1.8334522799337654</v>
      </c>
      <c r="FR220" s="107">
        <f t="shared" ref="FR220:FR248" si="2035">IF(SeilBeregnet=0,"-",FR$7*(FT:FT+FR$6)*FW:FW*PropF+ErfaringsF+Dyp_F)</f>
        <v>1.2230938530320044</v>
      </c>
      <c r="FS220" s="141" t="str">
        <f t="shared" si="1796"/>
        <v>-</v>
      </c>
      <c r="FT220" s="107">
        <f t="shared" ref="FT220:FT248" si="2036">(FU:FU*FV:FV)^FT$3</f>
        <v>6.5861748367020372</v>
      </c>
      <c r="FU220" s="133">
        <f t="shared" si="1966"/>
        <v>3.5244567832344731</v>
      </c>
      <c r="FV220" s="133">
        <f t="shared" si="1967"/>
        <v>1.868706368604627</v>
      </c>
      <c r="FW220" s="107">
        <f t="shared" si="1968"/>
        <v>1.8334522799337654</v>
      </c>
      <c r="FY220">
        <v>0.95</v>
      </c>
      <c r="FZ220" s="62">
        <f t="shared" si="1452"/>
        <v>1.1956076641150113</v>
      </c>
      <c r="GA220" s="62">
        <f t="shared" si="1378"/>
        <v>1.9462473604038075</v>
      </c>
      <c r="GB220" s="107">
        <f t="shared" si="525"/>
        <v>1.2703276182462833</v>
      </c>
      <c r="GC220" s="440"/>
      <c r="GD220" s="17"/>
      <c r="GE220" s="442"/>
      <c r="GF220" s="462"/>
      <c r="GG220" s="17"/>
      <c r="GH220" s="17"/>
      <c r="GI220" s="17"/>
      <c r="GJ220" s="17"/>
      <c r="GL220" s="17"/>
      <c r="GM220" s="442"/>
      <c r="GN220" s="8"/>
      <c r="GO220" s="8"/>
      <c r="GP220" s="8"/>
      <c r="GQ220" s="8"/>
      <c r="GS220" s="17"/>
      <c r="GT220" s="17"/>
      <c r="GU220" s="17"/>
      <c r="GV220" s="629"/>
      <c r="GW220" s="17"/>
      <c r="GX220" s="17"/>
      <c r="GY220" s="17"/>
      <c r="GZ220" s="17"/>
    </row>
    <row r="221" spans="1:208" ht="15.6" x14ac:dyDescent="0.3">
      <c r="A221" s="60" t="s">
        <v>29</v>
      </c>
      <c r="B221" s="218"/>
      <c r="C221" s="14" t="str">
        <f>C219</f>
        <v>Gaffel</v>
      </c>
      <c r="G221" s="54"/>
      <c r="H221" s="204">
        <f>IF(StH=0,0,TBFavrundet)</f>
        <v>121.49999999999999</v>
      </c>
      <c r="I221" s="63">
        <f>COUNTA(O221:AG221)</f>
        <v>3</v>
      </c>
      <c r="J221" s="222">
        <f>SUM(O221:AG221)</f>
        <v>99.899999999999991</v>
      </c>
      <c r="K221" s="116">
        <f>Seilareal/Depl^0.667/K$7</f>
        <v>1.3466486367989579</v>
      </c>
      <c r="L221" s="116">
        <f>Seilareal/Lwl/Lwl/L$7</f>
        <v>1.1870952714083804</v>
      </c>
      <c r="M221" s="92">
        <f>RiggF</f>
        <v>0.80420420420420435</v>
      </c>
      <c r="N221" s="242">
        <f>StHfaktor</f>
        <v>1.0030642786360957</v>
      </c>
      <c r="O221" s="143"/>
      <c r="P221" s="143"/>
      <c r="Q221" s="143"/>
      <c r="R221" s="165">
        <v>29.4</v>
      </c>
      <c r="S221" s="143"/>
      <c r="T221" s="143"/>
      <c r="U221" s="165">
        <v>18.2</v>
      </c>
      <c r="V221" s="559"/>
      <c r="W221" s="559"/>
      <c r="X221" s="165">
        <f t="shared" ref="X221:X222" si="2037">X220</f>
        <v>52.3</v>
      </c>
      <c r="Y221" s="143"/>
      <c r="Z221" s="143"/>
      <c r="AA221" s="143"/>
      <c r="AB221" s="143"/>
      <c r="AC221" s="143"/>
      <c r="AD221" s="143"/>
      <c r="AE221" s="143"/>
      <c r="AF221" s="143"/>
      <c r="AG221" s="551"/>
      <c r="AH221" s="557">
        <f t="shared" ref="AH221:AI221" si="2038">AH220</f>
        <v>0</v>
      </c>
      <c r="AI221" s="557">
        <f t="shared" si="2038"/>
        <v>11.58</v>
      </c>
      <c r="AJ221" s="337">
        <f t="shared" si="2017"/>
        <v>0</v>
      </c>
      <c r="AK221" s="339"/>
      <c r="AL221" s="337">
        <f t="shared" si="2017"/>
        <v>0</v>
      </c>
      <c r="AM221" s="339"/>
      <c r="AN221" s="267" t="str">
        <f t="shared" ref="AN221" si="2039" xml:space="preserve"> AN220</f>
        <v>Lystb</v>
      </c>
      <c r="AO221" s="45">
        <f>VLOOKUP(AN221,Skrogform!$1:$1048576,3,FALSE)</f>
        <v>0.98</v>
      </c>
      <c r="AP221" s="64">
        <f t="shared" ref="AP221:AZ221" si="2040">AP220</f>
        <v>13.2</v>
      </c>
      <c r="AQ221" s="64">
        <f t="shared" si="2040"/>
        <v>11.3</v>
      </c>
      <c r="AR221" s="64">
        <f t="shared" si="2040"/>
        <v>3.78</v>
      </c>
      <c r="AS221" s="64">
        <f t="shared" si="2040"/>
        <v>2</v>
      </c>
      <c r="AT221" s="64">
        <f t="shared" ref="AT221" si="2041">AT220</f>
        <v>18</v>
      </c>
      <c r="AU221" s="64">
        <f t="shared" si="2040"/>
        <v>18</v>
      </c>
      <c r="AV221" s="64">
        <f t="shared" si="2040"/>
        <v>5.6</v>
      </c>
      <c r="AW221" s="64">
        <f t="shared" si="2040"/>
        <v>0.3</v>
      </c>
      <c r="AX221" s="256">
        <f>AX220</f>
        <v>0</v>
      </c>
      <c r="AY221" s="256">
        <f t="shared" si="2040"/>
        <v>72</v>
      </c>
      <c r="AZ221" s="256">
        <f t="shared" si="2040"/>
        <v>440</v>
      </c>
      <c r="BA221" s="256">
        <f t="shared" ref="BA221:BB221" si="2042">BA220</f>
        <v>0</v>
      </c>
      <c r="BB221" s="256">
        <f t="shared" si="2042"/>
        <v>0</v>
      </c>
      <c r="BC221" s="256"/>
      <c r="BD221" s="66"/>
      <c r="BE221" s="66"/>
      <c r="BF221" s="261"/>
      <c r="BG221" s="66"/>
      <c r="BH221" s="175"/>
      <c r="BI221" s="66"/>
      <c r="BJ221" s="66"/>
      <c r="BK221" s="65" t="str">
        <f t="shared" ref="BK221:BM221" si="2043" xml:space="preserve"> BK220</f>
        <v>Fast</v>
      </c>
      <c r="BL221" s="267">
        <f t="shared" si="2043"/>
        <v>3</v>
      </c>
      <c r="BM221" s="267">
        <f t="shared" si="2043"/>
        <v>51</v>
      </c>
      <c r="BN221" s="45">
        <f t="shared" si="1932"/>
        <v>0.98462562994431868</v>
      </c>
      <c r="BO221" s="59"/>
      <c r="BP221" s="59"/>
      <c r="BR221" s="49">
        <f t="shared" si="2023"/>
        <v>0</v>
      </c>
      <c r="BS221" s="49">
        <f t="shared" si="2023"/>
        <v>0</v>
      </c>
      <c r="BT221" s="49">
        <f t="shared" si="2023"/>
        <v>0</v>
      </c>
      <c r="BU221" s="49">
        <f t="shared" si="2023"/>
        <v>29.4</v>
      </c>
      <c r="BV221" s="49">
        <f t="shared" si="2023"/>
        <v>0</v>
      </c>
      <c r="BW221" s="49">
        <f t="shared" si="2023"/>
        <v>0</v>
      </c>
      <c r="BX221" s="49">
        <f t="shared" si="2023"/>
        <v>18.2</v>
      </c>
      <c r="BY221" s="549">
        <f>IF(COUNT(Q221:U221)&gt;1,MINA(Q221:U221)*BY$9,0)</f>
        <v>-9.1</v>
      </c>
      <c r="BZ221" s="85">
        <f t="shared" si="2024"/>
        <v>0</v>
      </c>
      <c r="CA221" s="85">
        <f t="shared" si="2024"/>
        <v>0</v>
      </c>
      <c r="CB221" s="85">
        <f t="shared" si="2024"/>
        <v>41.84</v>
      </c>
      <c r="CC221" s="85">
        <f t="shared" si="2024"/>
        <v>0</v>
      </c>
      <c r="CD221" s="85">
        <f t="shared" si="2024"/>
        <v>0</v>
      </c>
      <c r="CE221" s="85">
        <f>IF(AC221=0,0,AC221*CE$9)</f>
        <v>0</v>
      </c>
      <c r="CF221" s="85">
        <f t="shared" si="2025"/>
        <v>0</v>
      </c>
      <c r="CG221" s="85">
        <f t="shared" si="2025"/>
        <v>0</v>
      </c>
      <c r="CH221" s="85">
        <f t="shared" si="2026"/>
        <v>0</v>
      </c>
      <c r="CI221" s="85">
        <f t="shared" si="2026"/>
        <v>0</v>
      </c>
      <c r="CJ221" s="85">
        <f t="shared" si="2026"/>
        <v>0</v>
      </c>
      <c r="CK221" s="85">
        <f t="shared" si="2026"/>
        <v>0</v>
      </c>
      <c r="CL221" s="100">
        <f>SUM(BR221:CK221)</f>
        <v>80.34</v>
      </c>
      <c r="CM221" s="50"/>
      <c r="CN221" s="104">
        <f>J221</f>
        <v>99.899999999999991</v>
      </c>
      <c r="CO221" s="101">
        <f>CL221/CN221</f>
        <v>0.80420420420420435</v>
      </c>
      <c r="CP221" s="51">
        <f>Seilareal/Lwl/Lwl</f>
        <v>0.78236353669042202</v>
      </c>
      <c r="CQ221" s="116">
        <f>Seilareal/Depl^0.667/K$7</f>
        <v>1.3466486367989579</v>
      </c>
      <c r="CR221" s="51">
        <f>Seilareal/Lwl/Lwl/SApRS1</f>
        <v>1.1870952714083804</v>
      </c>
      <c r="CS221" s="204"/>
      <c r="CT221" s="204">
        <f>(ROUND(TBF/CT$6,3)*CT$6)*CT$4</f>
        <v>121.49999999999999</v>
      </c>
      <c r="CU221" s="107">
        <f t="shared" si="1041"/>
        <v>1.2139841156862254</v>
      </c>
      <c r="CV221" s="62">
        <f t="shared" si="523"/>
        <v>3.417990743092941</v>
      </c>
      <c r="CW221" s="62">
        <f t="shared" si="998"/>
        <v>1.800205749557739</v>
      </c>
      <c r="CX221" s="62">
        <f t="shared" si="524"/>
        <v>1.8334522799337654</v>
      </c>
      <c r="CY221" s="107">
        <f t="shared" si="999"/>
        <v>1.0030642786360957</v>
      </c>
      <c r="CZ221" s="168" t="str">
        <f t="shared" si="1875"/>
        <v>-</v>
      </c>
      <c r="DA221" s="158"/>
      <c r="DB221" s="168" t="str">
        <f t="shared" si="1980"/>
        <v>-</v>
      </c>
      <c r="DC221" s="160"/>
      <c r="DD221" s="190" t="s">
        <v>134</v>
      </c>
      <c r="DE221" s="62">
        <v>0.95</v>
      </c>
      <c r="DF221" s="62">
        <v>0.91</v>
      </c>
      <c r="DG221" s="62">
        <v>0.97</v>
      </c>
      <c r="DH221" s="150" t="s">
        <v>102</v>
      </c>
      <c r="DI221" s="62">
        <f t="shared" si="2007"/>
        <v>2.0036834153678118</v>
      </c>
      <c r="DJ221" s="47">
        <f t="shared" si="2008"/>
        <v>12.437810945273634</v>
      </c>
      <c r="DK221" s="48">
        <f t="shared" si="2009"/>
        <v>0</v>
      </c>
      <c r="DM221" s="107">
        <f t="shared" si="2027"/>
        <v>1.1839927958019218</v>
      </c>
      <c r="DN221" s="141" t="str">
        <f t="shared" si="1791"/>
        <v>-</v>
      </c>
      <c r="DO221" s="107">
        <f t="shared" si="2010"/>
        <v>5.2891590577383161</v>
      </c>
      <c r="DP221" s="133">
        <f t="shared" si="1981"/>
        <v>3.4204526891336888</v>
      </c>
      <c r="DQ221" s="133">
        <f t="shared" si="1982"/>
        <v>0</v>
      </c>
      <c r="DR221" s="133">
        <f t="shared" si="1983"/>
        <v>0</v>
      </c>
      <c r="DS221" s="133">
        <f t="shared" si="1984"/>
        <v>1.868706368604627</v>
      </c>
      <c r="DT221" s="107">
        <f t="shared" si="1985"/>
        <v>1.8334522799337654</v>
      </c>
      <c r="DU221" s="133">
        <f t="shared" si="1986"/>
        <v>1.9462473604038075</v>
      </c>
      <c r="DW221" s="107">
        <f t="shared" si="417"/>
        <v>1.2387593017206384</v>
      </c>
      <c r="DX221" s="107">
        <f t="shared" si="2011"/>
        <v>1.1910763654794998</v>
      </c>
      <c r="DZ221" s="107">
        <f t="shared" si="2012"/>
        <v>1.1835650605767649</v>
      </c>
      <c r="EA221" s="122" t="str">
        <f t="shared" si="1792"/>
        <v>-</v>
      </c>
      <c r="EB221" s="107">
        <f t="shared" si="2013"/>
        <v>1.2172444154282909</v>
      </c>
      <c r="EC221" s="122" t="str">
        <f t="shared" si="1793"/>
        <v>-</v>
      </c>
      <c r="ED221" s="107">
        <f t="shared" si="67"/>
        <v>3.4201561105966509</v>
      </c>
      <c r="EE221" s="107">
        <f t="shared" si="68"/>
        <v>2.2438356573015867</v>
      </c>
      <c r="EF221" s="107">
        <f t="shared" si="1945"/>
        <v>1.5955799528969328</v>
      </c>
      <c r="EH221" s="107">
        <f t="shared" si="2014"/>
        <v>1.2097907960453169</v>
      </c>
      <c r="EJ221" s="107">
        <f t="shared" si="69"/>
        <v>3.4201561105966509</v>
      </c>
      <c r="EK221" s="107">
        <f t="shared" si="1946"/>
        <v>2.2439988890031217</v>
      </c>
      <c r="EL221" s="107">
        <f t="shared" si="1947"/>
        <v>1.8643654197147781</v>
      </c>
      <c r="EM221" s="107">
        <f t="shared" si="2015"/>
        <v>1.1998922459009347</v>
      </c>
      <c r="EO221" s="107">
        <f t="shared" si="1948"/>
        <v>5.4571325258459611</v>
      </c>
      <c r="EP221" s="107">
        <f t="shared" si="70"/>
        <v>3.4201561105966509</v>
      </c>
      <c r="EQ221" s="107">
        <f t="shared" si="1949"/>
        <v>1.5955799528969328</v>
      </c>
      <c r="ER221" s="107">
        <f t="shared" si="1950"/>
        <v>1.8334522799337654</v>
      </c>
      <c r="ES221" s="107">
        <f t="shared" si="2028"/>
        <v>1.2023742173348662</v>
      </c>
      <c r="EU221" s="107">
        <f t="shared" si="1951"/>
        <v>1.8672967617246381</v>
      </c>
      <c r="EV221" s="107">
        <f t="shared" si="71"/>
        <v>3.4201561105966509</v>
      </c>
      <c r="EW221" s="107">
        <f t="shared" si="1952"/>
        <v>1.0194848081770873</v>
      </c>
      <c r="EX221" s="107">
        <f t="shared" si="1953"/>
        <v>1.8561483333479689</v>
      </c>
      <c r="EY221" s="107">
        <f t="shared" si="2029"/>
        <v>1.1475727022719309</v>
      </c>
      <c r="FA221" s="107">
        <f t="shared" si="2030"/>
        <v>1.8673777212070035</v>
      </c>
      <c r="FB221" s="107">
        <f t="shared" si="72"/>
        <v>3.4204526891336888</v>
      </c>
      <c r="FC221" s="107">
        <f t="shared" si="1954"/>
        <v>1.0194848081770873</v>
      </c>
      <c r="FD221" s="107">
        <f t="shared" si="1955"/>
        <v>1.8561483333479689</v>
      </c>
      <c r="FE221" s="107">
        <f t="shared" si="2031"/>
        <v>1.1989213491491526</v>
      </c>
      <c r="FF221" s="141" t="str">
        <f t="shared" si="1794"/>
        <v>-</v>
      </c>
      <c r="FG221" s="107">
        <f t="shared" si="2032"/>
        <v>3.5550450195577383</v>
      </c>
      <c r="FH221" s="133">
        <f t="shared" si="1957"/>
        <v>3.4204526891336888</v>
      </c>
      <c r="FI221" s="133">
        <f t="shared" si="1958"/>
        <v>1.0393492741038726</v>
      </c>
      <c r="FJ221" s="107">
        <f t="shared" si="1959"/>
        <v>1.0437889135247547</v>
      </c>
      <c r="FK221" s="107">
        <f t="shared" si="2033"/>
        <v>1.1992401291695896</v>
      </c>
      <c r="FL221" s="141" t="str">
        <f t="shared" si="1795"/>
        <v>-</v>
      </c>
      <c r="FM221" s="107">
        <f t="shared" si="2034"/>
        <v>5.5823677600496984</v>
      </c>
      <c r="FN221" s="133">
        <f t="shared" si="1961"/>
        <v>3.4204526891336888</v>
      </c>
      <c r="FO221" s="133">
        <f t="shared" si="1962"/>
        <v>0.79320870231138263</v>
      </c>
      <c r="FP221" s="133">
        <f t="shared" si="1963"/>
        <v>1.868706368604627</v>
      </c>
      <c r="FQ221" s="107">
        <f t="shared" si="1964"/>
        <v>1.8334522799337654</v>
      </c>
      <c r="FR221" s="107">
        <f t="shared" si="2035"/>
        <v>1.2006388963074599</v>
      </c>
      <c r="FS221" s="141" t="str">
        <f t="shared" si="1796"/>
        <v>-</v>
      </c>
      <c r="FT221" s="107">
        <f t="shared" si="2036"/>
        <v>6.3918217236949468</v>
      </c>
      <c r="FU221" s="133">
        <f t="shared" si="1966"/>
        <v>3.4204526891336888</v>
      </c>
      <c r="FV221" s="133">
        <f t="shared" si="1967"/>
        <v>1.868706368604627</v>
      </c>
      <c r="FW221" s="107">
        <f t="shared" si="1968"/>
        <v>1.8334522799337654</v>
      </c>
      <c r="FY221">
        <v>0.95</v>
      </c>
      <c r="FZ221" s="62">
        <f t="shared" si="1452"/>
        <v>1.1786659949561087</v>
      </c>
      <c r="GA221" s="62">
        <f t="shared" si="1378"/>
        <v>1.9462473604038075</v>
      </c>
      <c r="GB221" s="107">
        <f t="shared" si="525"/>
        <v>1.2577071781256997</v>
      </c>
      <c r="GC221" s="440"/>
      <c r="GD221" s="17"/>
      <c r="GE221" s="442"/>
      <c r="GF221" s="462"/>
      <c r="GG221" s="17"/>
      <c r="GH221" s="17"/>
      <c r="GI221" s="17"/>
      <c r="GJ221" s="17"/>
      <c r="GL221" s="17"/>
      <c r="GM221" s="442"/>
      <c r="GN221" s="8"/>
      <c r="GO221" s="8"/>
      <c r="GP221" s="8"/>
      <c r="GQ221" s="8"/>
      <c r="GS221" s="17"/>
      <c r="GT221" s="17"/>
      <c r="GU221" s="17"/>
      <c r="GV221" s="629"/>
      <c r="GW221" s="17"/>
      <c r="GX221" s="17"/>
      <c r="GY221" s="17"/>
      <c r="GZ221" s="17"/>
    </row>
    <row r="222" spans="1:208" ht="15.6" x14ac:dyDescent="0.3">
      <c r="A222" s="60" t="s">
        <v>30</v>
      </c>
      <c r="B222" s="218"/>
      <c r="C222" s="14" t="str">
        <f>C220</f>
        <v>Gaffel</v>
      </c>
      <c r="G222" s="54"/>
      <c r="H222" s="204">
        <f>IF(StH=0,0,TBFavrundet)</f>
        <v>115.00000000000001</v>
      </c>
      <c r="I222" s="63">
        <f>COUNTA(O222:AG222)</f>
        <v>3</v>
      </c>
      <c r="J222" s="222">
        <f>SUM(O222:AG222)</f>
        <v>85.5</v>
      </c>
      <c r="K222" s="116">
        <f>Seilareal/Depl^0.667/K$7</f>
        <v>1.1525371215846938</v>
      </c>
      <c r="L222" s="116">
        <f>Seilareal/Lwl/Lwl/L$7</f>
        <v>1.015982439493659</v>
      </c>
      <c r="M222" s="92">
        <f>RiggF</f>
        <v>0.78994152046783628</v>
      </c>
      <c r="N222" s="242">
        <f>StHfaktor</f>
        <v>1.0030642786360957</v>
      </c>
      <c r="O222" s="143"/>
      <c r="P222" s="143"/>
      <c r="Q222" s="143"/>
      <c r="R222" s="143"/>
      <c r="S222" s="165">
        <v>15</v>
      </c>
      <c r="T222" s="143"/>
      <c r="U222" s="165">
        <v>18.2</v>
      </c>
      <c r="V222" s="559"/>
      <c r="W222" s="559"/>
      <c r="X222" s="165">
        <f t="shared" si="2037"/>
        <v>52.3</v>
      </c>
      <c r="Y222" s="143"/>
      <c r="Z222" s="143"/>
      <c r="AA222" s="143"/>
      <c r="AB222" s="143"/>
      <c r="AC222" s="143"/>
      <c r="AD222" s="143"/>
      <c r="AE222" s="143"/>
      <c r="AF222" s="143"/>
      <c r="AG222" s="551"/>
      <c r="AH222" s="557">
        <f t="shared" ref="AH222:AI222" si="2044">AH221</f>
        <v>0</v>
      </c>
      <c r="AI222" s="557">
        <f t="shared" si="2044"/>
        <v>11.58</v>
      </c>
      <c r="AJ222" s="337">
        <f t="shared" si="2017"/>
        <v>0</v>
      </c>
      <c r="AK222" s="339"/>
      <c r="AL222" s="337">
        <f t="shared" si="2017"/>
        <v>0</v>
      </c>
      <c r="AM222" s="339"/>
      <c r="AN222" s="267" t="str">
        <f t="shared" ref="AN222" si="2045" xml:space="preserve"> AN221</f>
        <v>Lystb</v>
      </c>
      <c r="AO222" s="45">
        <f>VLOOKUP(AN222,Skrogform!$1:$1048576,3,FALSE)</f>
        <v>0.98</v>
      </c>
      <c r="AP222" s="64">
        <f t="shared" ref="AP222:AZ222" si="2046">AP221</f>
        <v>13.2</v>
      </c>
      <c r="AQ222" s="64">
        <f t="shared" si="2046"/>
        <v>11.3</v>
      </c>
      <c r="AR222" s="64">
        <f t="shared" si="2046"/>
        <v>3.78</v>
      </c>
      <c r="AS222" s="64">
        <f t="shared" si="2046"/>
        <v>2</v>
      </c>
      <c r="AT222" s="64">
        <f t="shared" ref="AT222" si="2047">AT221</f>
        <v>18</v>
      </c>
      <c r="AU222" s="64">
        <f t="shared" si="2046"/>
        <v>18</v>
      </c>
      <c r="AV222" s="64">
        <f t="shared" si="2046"/>
        <v>5.6</v>
      </c>
      <c r="AW222" s="64">
        <f t="shared" si="2046"/>
        <v>0.3</v>
      </c>
      <c r="AX222" s="256">
        <f>AX221</f>
        <v>0</v>
      </c>
      <c r="AY222" s="256">
        <f t="shared" si="2046"/>
        <v>72</v>
      </c>
      <c r="AZ222" s="256">
        <f t="shared" si="2046"/>
        <v>440</v>
      </c>
      <c r="BA222" s="256">
        <f t="shared" ref="BA222:BB222" si="2048">BA221</f>
        <v>0</v>
      </c>
      <c r="BB222" s="256">
        <f t="shared" si="2048"/>
        <v>0</v>
      </c>
      <c r="BC222" s="256"/>
      <c r="BD222" s="66"/>
      <c r="BE222" s="66"/>
      <c r="BF222" s="261"/>
      <c r="BG222" s="66"/>
      <c r="BH222" s="175"/>
      <c r="BI222" s="66"/>
      <c r="BJ222" s="66"/>
      <c r="BK222" s="65" t="str">
        <f t="shared" ref="BK222:BM222" si="2049" xml:space="preserve"> BK221</f>
        <v>Fast</v>
      </c>
      <c r="BL222" s="267">
        <f t="shared" si="2049"/>
        <v>3</v>
      </c>
      <c r="BM222" s="267">
        <f t="shared" si="2049"/>
        <v>51</v>
      </c>
      <c r="BN222" s="45">
        <f t="shared" si="1932"/>
        <v>0.98462562994431868</v>
      </c>
      <c r="BO222" s="59"/>
      <c r="BP222" s="59"/>
      <c r="BR222" s="49">
        <f t="shared" si="2023"/>
        <v>0</v>
      </c>
      <c r="BS222" s="49">
        <f t="shared" si="2023"/>
        <v>0</v>
      </c>
      <c r="BT222" s="49">
        <f t="shared" si="2023"/>
        <v>0</v>
      </c>
      <c r="BU222" s="49">
        <f t="shared" si="2023"/>
        <v>0</v>
      </c>
      <c r="BV222" s="49">
        <f t="shared" si="2023"/>
        <v>15</v>
      </c>
      <c r="BW222" s="49">
        <f t="shared" si="2023"/>
        <v>0</v>
      </c>
      <c r="BX222" s="49">
        <f t="shared" si="2023"/>
        <v>18.2</v>
      </c>
      <c r="BY222" s="549">
        <f>IF(COUNT(Q222:U222)&gt;1,MINA(Q222:U222)*BY$9,0)</f>
        <v>-7.5</v>
      </c>
      <c r="BZ222" s="85">
        <f t="shared" si="2024"/>
        <v>0</v>
      </c>
      <c r="CA222" s="85">
        <f t="shared" si="2024"/>
        <v>0</v>
      </c>
      <c r="CB222" s="85">
        <f t="shared" si="2024"/>
        <v>41.84</v>
      </c>
      <c r="CC222" s="85">
        <f t="shared" si="2024"/>
        <v>0</v>
      </c>
      <c r="CD222" s="85">
        <f t="shared" si="2024"/>
        <v>0</v>
      </c>
      <c r="CE222" s="85">
        <f>IF(AC222=0,0,AC222*CE$9)</f>
        <v>0</v>
      </c>
      <c r="CF222" s="85">
        <f t="shared" si="2025"/>
        <v>0</v>
      </c>
      <c r="CG222" s="85">
        <f t="shared" si="2025"/>
        <v>0</v>
      </c>
      <c r="CH222" s="85">
        <f t="shared" si="2026"/>
        <v>0</v>
      </c>
      <c r="CI222" s="85">
        <f t="shared" si="2026"/>
        <v>0</v>
      </c>
      <c r="CJ222" s="85">
        <f t="shared" si="2026"/>
        <v>0</v>
      </c>
      <c r="CK222" s="85">
        <f t="shared" si="2026"/>
        <v>0</v>
      </c>
      <c r="CL222" s="100">
        <f>SUM(BR222:CK222)</f>
        <v>67.540000000000006</v>
      </c>
      <c r="CM222" s="50"/>
      <c r="CN222" s="104">
        <f>J222</f>
        <v>85.5</v>
      </c>
      <c r="CO222" s="101">
        <f>CL222/CN222</f>
        <v>0.78994152046783628</v>
      </c>
      <c r="CP222" s="51">
        <f>Seilareal/Lwl/Lwl</f>
        <v>0.66959041428459543</v>
      </c>
      <c r="CQ222" s="116">
        <f>Seilareal/Depl^0.667/K$7</f>
        <v>1.1525371215846938</v>
      </c>
      <c r="CR222" s="51">
        <f>Seilareal/Lwl/Lwl/SApRS1</f>
        <v>1.015982439493659</v>
      </c>
      <c r="CS222" s="204"/>
      <c r="CT222" s="204">
        <f>(ROUND(TBF/CT$6,3)*CT$6)*CT$4</f>
        <v>115.00000000000001</v>
      </c>
      <c r="CU222" s="107">
        <f t="shared" si="1041"/>
        <v>1.1478926075049238</v>
      </c>
      <c r="CV222" s="62">
        <f t="shared" si="523"/>
        <v>3.1339026139902684</v>
      </c>
      <c r="CW222" s="62">
        <f t="shared" si="998"/>
        <v>1.800205749557739</v>
      </c>
      <c r="CX222" s="62">
        <f t="shared" si="524"/>
        <v>1.8334522799337654</v>
      </c>
      <c r="CY222" s="107">
        <f t="shared" si="999"/>
        <v>1.0030642786360957</v>
      </c>
      <c r="CZ222" s="168" t="str">
        <f t="shared" si="1875"/>
        <v>-</v>
      </c>
      <c r="DA222" s="158"/>
      <c r="DB222" s="168" t="str">
        <f t="shared" si="1980"/>
        <v>-</v>
      </c>
      <c r="DC222" s="160"/>
      <c r="DD222" s="190" t="s">
        <v>134</v>
      </c>
      <c r="DE222" s="62">
        <v>0.88</v>
      </c>
      <c r="DF222" s="62">
        <v>0.87</v>
      </c>
      <c r="DG222" s="62">
        <v>0.9</v>
      </c>
      <c r="DH222" s="150" t="s">
        <v>102</v>
      </c>
      <c r="DI222" s="62">
        <f t="shared" si="2007"/>
        <v>2.0036834153678118</v>
      </c>
      <c r="DJ222" s="47">
        <f t="shared" si="2008"/>
        <v>12.437810945273634</v>
      </c>
      <c r="DK222" s="48">
        <f t="shared" si="2009"/>
        <v>0</v>
      </c>
      <c r="DM222" s="107">
        <f t="shared" si="2027"/>
        <v>1.1203530810153055</v>
      </c>
      <c r="DN222" s="141" t="str">
        <f t="shared" si="1791"/>
        <v>-</v>
      </c>
      <c r="DO222" s="107">
        <f t="shared" si="2010"/>
        <v>5.0048663026734221</v>
      </c>
      <c r="DP222" s="133">
        <f t="shared" si="1981"/>
        <v>3.1361599340687953</v>
      </c>
      <c r="DQ222" s="133">
        <f t="shared" si="1982"/>
        <v>0</v>
      </c>
      <c r="DR222" s="133">
        <f t="shared" si="1983"/>
        <v>0</v>
      </c>
      <c r="DS222" s="133">
        <f t="shared" si="1984"/>
        <v>1.868706368604627</v>
      </c>
      <c r="DT222" s="107">
        <f t="shared" si="1985"/>
        <v>1.8334522799337654</v>
      </c>
      <c r="DU222" s="133">
        <f t="shared" si="1986"/>
        <v>1.9462473604038075</v>
      </c>
      <c r="DW222" s="107">
        <f t="shared" si="417"/>
        <v>1.1713189872499226</v>
      </c>
      <c r="DX222" s="107">
        <f t="shared" si="2011"/>
        <v>1.1123814420588523</v>
      </c>
      <c r="DZ222" s="107">
        <f t="shared" si="2012"/>
        <v>1.1195634721650913</v>
      </c>
      <c r="EA222" s="122" t="str">
        <f t="shared" si="1792"/>
        <v>-</v>
      </c>
      <c r="EB222" s="107">
        <f t="shared" si="2013"/>
        <v>1.1393353827202606</v>
      </c>
      <c r="EC222" s="122" t="str">
        <f t="shared" si="1793"/>
        <v>-</v>
      </c>
      <c r="ED222" s="107">
        <f t="shared" si="67"/>
        <v>3.135888005815521</v>
      </c>
      <c r="EE222" s="107">
        <f t="shared" si="68"/>
        <v>2.2438356573015867</v>
      </c>
      <c r="EF222" s="107">
        <f t="shared" si="1945"/>
        <v>1.5955799528969328</v>
      </c>
      <c r="EH222" s="107">
        <f t="shared" si="2014"/>
        <v>1.1392709240202719</v>
      </c>
      <c r="EJ222" s="107">
        <f t="shared" si="69"/>
        <v>3.135888005815521</v>
      </c>
      <c r="EK222" s="107">
        <f t="shared" si="1946"/>
        <v>2.2439988890031217</v>
      </c>
      <c r="EL222" s="107">
        <f t="shared" si="1947"/>
        <v>1.8643654197147781</v>
      </c>
      <c r="EM222" s="107">
        <f t="shared" si="2015"/>
        <v>1.1269100223850059</v>
      </c>
      <c r="EO222" s="107">
        <f t="shared" si="1948"/>
        <v>5.0035600366091852</v>
      </c>
      <c r="EP222" s="107">
        <f t="shared" si="70"/>
        <v>3.135888005815521</v>
      </c>
      <c r="EQ222" s="107">
        <f t="shared" si="1949"/>
        <v>1.5955799528969328</v>
      </c>
      <c r="ER222" s="107">
        <f t="shared" si="1950"/>
        <v>1.8334522799337654</v>
      </c>
      <c r="ES222" s="107">
        <f t="shared" si="2028"/>
        <v>1.1326535418102506</v>
      </c>
      <c r="EU222" s="107">
        <f t="shared" si="1951"/>
        <v>1.7880129144034909</v>
      </c>
      <c r="EV222" s="107">
        <f t="shared" si="71"/>
        <v>3.135888005815521</v>
      </c>
      <c r="EW222" s="107">
        <f t="shared" si="1952"/>
        <v>1.0194848081770873</v>
      </c>
      <c r="EX222" s="107">
        <f t="shared" si="1953"/>
        <v>1.8561483333479689</v>
      </c>
      <c r="EY222" s="107">
        <f t="shared" si="2029"/>
        <v>1.0988477321537313</v>
      </c>
      <c r="FA222" s="107">
        <f t="shared" si="2030"/>
        <v>1.7880904364144428</v>
      </c>
      <c r="FB222" s="107">
        <f t="shared" si="72"/>
        <v>3.1361599340687953</v>
      </c>
      <c r="FC222" s="107">
        <f t="shared" si="1954"/>
        <v>1.0194848081770873</v>
      </c>
      <c r="FD222" s="107">
        <f t="shared" si="1955"/>
        <v>1.8561483333479689</v>
      </c>
      <c r="FE222" s="107">
        <f t="shared" si="2031"/>
        <v>1.1351492929544389</v>
      </c>
      <c r="FF222" s="141" t="str">
        <f t="shared" si="1794"/>
        <v>-</v>
      </c>
      <c r="FG222" s="107">
        <f t="shared" si="2032"/>
        <v>3.2595655509480514</v>
      </c>
      <c r="FH222" s="133">
        <f t="shared" si="1957"/>
        <v>3.1361599340687953</v>
      </c>
      <c r="FI222" s="133">
        <f t="shared" si="1958"/>
        <v>1.0393492741038726</v>
      </c>
      <c r="FJ222" s="107">
        <f t="shared" si="1959"/>
        <v>1.0437889135247547</v>
      </c>
      <c r="FK222" s="107">
        <f t="shared" si="2033"/>
        <v>1.1240034625122277</v>
      </c>
      <c r="FL222" s="141" t="str">
        <f t="shared" si="1795"/>
        <v>-</v>
      </c>
      <c r="FM222" s="107">
        <f t="shared" si="2034"/>
        <v>5.2321470393567626</v>
      </c>
      <c r="FN222" s="133">
        <f t="shared" si="1961"/>
        <v>3.1361599340687953</v>
      </c>
      <c r="FO222" s="133">
        <f t="shared" si="1962"/>
        <v>0.72728073668333992</v>
      </c>
      <c r="FP222" s="133">
        <f t="shared" si="1963"/>
        <v>1.868706368604627</v>
      </c>
      <c r="FQ222" s="107">
        <f t="shared" si="1964"/>
        <v>1.8334522799337654</v>
      </c>
      <c r="FR222" s="107">
        <f t="shared" si="2035"/>
        <v>1.1392587980788498</v>
      </c>
      <c r="FS222" s="141" t="str">
        <f t="shared" si="1796"/>
        <v>-</v>
      </c>
      <c r="FT222" s="107">
        <f t="shared" si="2036"/>
        <v>5.8605620417570252</v>
      </c>
      <c r="FU222" s="133">
        <f t="shared" si="1966"/>
        <v>3.1361599340687953</v>
      </c>
      <c r="FV222" s="133">
        <f t="shared" si="1967"/>
        <v>1.868706368604627</v>
      </c>
      <c r="FW222" s="107">
        <f t="shared" si="1968"/>
        <v>1.8334522799337654</v>
      </c>
      <c r="FY222">
        <v>0.95</v>
      </c>
      <c r="FZ222" s="62">
        <f t="shared" si="1452"/>
        <v>1.1323563391466451</v>
      </c>
      <c r="GA222" s="62">
        <f t="shared" si="1378"/>
        <v>1.9462473604038075</v>
      </c>
      <c r="GB222" s="107">
        <f t="shared" si="525"/>
        <v>1.221849581449046</v>
      </c>
      <c r="GC222" s="440"/>
      <c r="GD222" s="17"/>
      <c r="GE222" s="442"/>
      <c r="GF222" s="462"/>
      <c r="GG222" s="17"/>
      <c r="GH222" s="17"/>
      <c r="GI222" s="17"/>
      <c r="GJ222" s="17"/>
      <c r="GL222" s="17"/>
      <c r="GM222" s="442"/>
      <c r="GN222" s="8"/>
      <c r="GO222" s="8"/>
      <c r="GP222" s="8"/>
      <c r="GQ222" s="8"/>
      <c r="GS222" s="17"/>
      <c r="GT222" s="17"/>
      <c r="GU222" s="17"/>
      <c r="GV222" s="629"/>
      <c r="GW222" s="17"/>
      <c r="GX222" s="17"/>
      <c r="GY222" s="17"/>
      <c r="GZ222" s="17"/>
    </row>
    <row r="223" spans="1:208" ht="15.6" x14ac:dyDescent="0.3">
      <c r="A223" s="52" t="s">
        <v>55</v>
      </c>
      <c r="B223" s="218">
        <f t="shared" si="10"/>
        <v>25.85301837270341</v>
      </c>
      <c r="C223" s="53" t="s">
        <v>19</v>
      </c>
      <c r="D223" s="53"/>
      <c r="E223" s="53"/>
      <c r="F223" s="53"/>
      <c r="G223" s="54"/>
      <c r="H223" s="112">
        <f>J224</f>
        <v>42.4</v>
      </c>
      <c r="I223" s="601">
        <f>H224/100</f>
        <v>1.02</v>
      </c>
      <c r="J223" s="651">
        <f>IF(DC224=0,"-",DC224)</f>
        <v>1.1000000000000001</v>
      </c>
      <c r="K223" s="123" t="str">
        <f>A223</f>
        <v>Marita</v>
      </c>
      <c r="L223" s="116"/>
      <c r="M223" s="116"/>
      <c r="N223" s="92"/>
      <c r="O223" s="165"/>
      <c r="P223" s="165"/>
      <c r="Q223" s="165"/>
      <c r="R223" s="165">
        <v>7.5</v>
      </c>
      <c r="S223" s="165">
        <v>4.5</v>
      </c>
      <c r="T223" s="165"/>
      <c r="U223" s="165">
        <v>9.1999999999999993</v>
      </c>
      <c r="V223" s="559"/>
      <c r="W223" s="559"/>
      <c r="X223" s="165">
        <v>20.2</v>
      </c>
      <c r="Y223" s="177">
        <f>StorS-StorS/6</f>
        <v>16.833333333333332</v>
      </c>
      <c r="Z223" s="177">
        <f>StorS-StorS/6*1.9</f>
        <v>13.803333333333333</v>
      </c>
      <c r="AA223" s="165">
        <v>5.5</v>
      </c>
      <c r="AB223" s="165"/>
      <c r="AC223" s="165"/>
      <c r="AD223" s="165"/>
      <c r="AE223" s="165"/>
      <c r="AF223" s="165"/>
      <c r="AG223" s="552"/>
      <c r="AH223" s="244"/>
      <c r="AI223" s="244">
        <v>7.25</v>
      </c>
      <c r="AJ223" s="554"/>
      <c r="AK223" s="339"/>
      <c r="AL223" s="268"/>
      <c r="AM223" s="339"/>
      <c r="AN223" s="268" t="s">
        <v>211</v>
      </c>
      <c r="AO223" s="45">
        <f>VLOOKUP(AN223,Skrogform!$1:$1048576,3,FALSE)</f>
        <v>0.98</v>
      </c>
      <c r="AP223" s="55">
        <v>7.88</v>
      </c>
      <c r="AQ223" s="55">
        <v>7.03</v>
      </c>
      <c r="AR223" s="55">
        <v>2.52</v>
      </c>
      <c r="AS223" s="55">
        <v>1.2</v>
      </c>
      <c r="AT223" s="637">
        <v>5.2</v>
      </c>
      <c r="AU223" s="55">
        <v>5.2</v>
      </c>
      <c r="AV223" s="55">
        <v>1.7</v>
      </c>
      <c r="AW223" s="55"/>
      <c r="AX223" s="253"/>
      <c r="AY223" s="253">
        <v>15</v>
      </c>
      <c r="AZ223" s="253">
        <v>60</v>
      </c>
      <c r="BA223" s="253"/>
      <c r="BB223" s="253"/>
      <c r="BC223" s="244">
        <f>Depl+Diesel/1000*0.84+Vann/1000</f>
        <v>5.2</v>
      </c>
      <c r="BD223" s="95">
        <f>Bredde/(Loa+Lwl)*2</f>
        <v>0.3380281690140845</v>
      </c>
      <c r="BE223" s="95">
        <f>(Kjøl+Ballast)/Depl</f>
        <v>0.32692307692307693</v>
      </c>
      <c r="BF223" s="260">
        <f>BF$7*((Depl-Kjøl-Ballast-VektMotor/1000-VektAnnet/1000)/Lwl/Lwl/Bredde)</f>
        <v>1.042381933240659</v>
      </c>
      <c r="BG223" s="95">
        <f>BG$7*(Depl/Loa/Lwl/Lwl)</f>
        <v>0.98260894019713985</v>
      </c>
      <c r="BH223" s="174">
        <f>BH$7*(Depl/Loa/Lwl/Bredde)</f>
        <v>1.0132294568909583</v>
      </c>
      <c r="BI223" s="95">
        <f>BI$7*Bredde/(Loa+Lwl)*2</f>
        <v>0.96428895956383454</v>
      </c>
      <c r="BJ223" s="95">
        <f>BJ$7*(Dypg/Lwl)</f>
        <v>0.93363844393592665</v>
      </c>
      <c r="BK223" s="56" t="s">
        <v>39</v>
      </c>
      <c r="BL223" s="268">
        <v>2</v>
      </c>
      <c r="BM223" s="268">
        <v>38</v>
      </c>
      <c r="BN223" s="45">
        <f t="shared" si="1932"/>
        <v>0.98634917310716319</v>
      </c>
      <c r="BO223" s="59"/>
      <c r="BP223" s="59"/>
      <c r="BR223" s="209"/>
      <c r="BS223" s="209"/>
      <c r="BT223" s="209" t="str">
        <f>$A223</f>
        <v>Marita</v>
      </c>
      <c r="BU223" s="10"/>
      <c r="BV223" s="10"/>
      <c r="BW223" s="10"/>
      <c r="BX223" s="10"/>
      <c r="BY223" s="549"/>
      <c r="BZ223" s="10"/>
      <c r="CA223" s="10"/>
      <c r="CB223" s="209" t="str">
        <f>$A223</f>
        <v>Marita</v>
      </c>
      <c r="CC223" s="10"/>
      <c r="CD223" s="10"/>
      <c r="CE223" s="10"/>
      <c r="CF223" s="10"/>
      <c r="CG223" s="10"/>
      <c r="CH223" s="10"/>
      <c r="CI223" s="10"/>
      <c r="CJ223" s="10"/>
      <c r="CK223" s="10"/>
      <c r="CL223" s="209"/>
      <c r="CM223" s="10"/>
      <c r="CN223" s="209" t="str">
        <f>$A223</f>
        <v>Marita</v>
      </c>
      <c r="CO223" s="207"/>
      <c r="CP223" s="207"/>
      <c r="CQ223" s="116"/>
      <c r="CR223" s="207"/>
      <c r="CS223" s="203"/>
      <c r="CT223" s="203" t="s">
        <v>23</v>
      </c>
      <c r="CU223" s="107" t="str">
        <f t="shared" si="1041"/>
        <v>-</v>
      </c>
      <c r="CV223" s="62" t="str">
        <f t="shared" si="523"/>
        <v>-</v>
      </c>
      <c r="CW223" s="62" t="str">
        <f t="shared" si="998"/>
        <v>-</v>
      </c>
      <c r="CX223" s="62" t="str">
        <f t="shared" si="524"/>
        <v>-</v>
      </c>
      <c r="CY223" s="107" t="str">
        <f t="shared" si="999"/>
        <v>-</v>
      </c>
      <c r="CZ223" s="168">
        <f t="shared" si="1875"/>
        <v>1.0350588235294118</v>
      </c>
      <c r="DA223" s="158">
        <v>0.83</v>
      </c>
      <c r="DB223" s="168" t="str">
        <f t="shared" si="1980"/>
        <v>-</v>
      </c>
      <c r="DC223" s="160">
        <v>1.1000000000000001</v>
      </c>
      <c r="DD223" s="190" t="s">
        <v>134</v>
      </c>
      <c r="DE223" s="29" t="s">
        <v>23</v>
      </c>
      <c r="DF223" s="29" t="s">
        <v>23</v>
      </c>
      <c r="DG223" s="29" t="s">
        <v>23</v>
      </c>
      <c r="DH223" s="149">
        <v>2022</v>
      </c>
      <c r="DI223" s="62" t="str">
        <f t="shared" si="2007"/>
        <v>-</v>
      </c>
      <c r="DJ223" s="47">
        <f t="shared" si="2008"/>
        <v>11.374407582938389</v>
      </c>
      <c r="DK223" s="48">
        <f t="shared" si="2009"/>
        <v>0</v>
      </c>
      <c r="DM223" s="107" t="str">
        <f t="shared" si="2027"/>
        <v>-</v>
      </c>
      <c r="DN223" s="141" t="str">
        <f t="shared" si="1791"/>
        <v>-</v>
      </c>
      <c r="DO223" s="107" t="e">
        <f t="shared" si="2010"/>
        <v>#REF!</v>
      </c>
      <c r="DP223" s="133" t="e">
        <f>IF(SeilBeregnet=0,#REF!,(SeilBeregnet^0.5/(Depl^0.3333))^DP$3*DP$7)</f>
        <v>#REF!</v>
      </c>
      <c r="DQ223" s="133" t="e">
        <f>IF(SeilBeregnet=0,#REF!,(SeilBeregnet^0.5/Lwl)^DQ$3*DQ$7)</f>
        <v>#REF!</v>
      </c>
      <c r="DR223" s="133" t="e">
        <f>IF(SeilBeregnet=0,#REF!,(0.1*Loa/Depl^0.3333)^DR$3*DR$7)</f>
        <v>#REF!</v>
      </c>
      <c r="DS223" s="133" t="e">
        <f>IF(SeilBeregnet=0,#REF!,((Loa)/Bredde)^DS$3*DS$7)</f>
        <v>#REF!</v>
      </c>
      <c r="DT223" s="107" t="e">
        <f>IF(SeilBeregnet=0,#REF!,(Lwl)^DT$3)</f>
        <v>#REF!</v>
      </c>
      <c r="DU223" s="133" t="e">
        <f>IF(SeilBeregnet=0,#REF!,(Dypg/Loa)^DU$3*5*DU$7)</f>
        <v>#REF!</v>
      </c>
      <c r="DW223" s="107" t="str">
        <f t="shared" si="417"/>
        <v>-</v>
      </c>
      <c r="DX223" s="107" t="str">
        <f t="shared" si="2011"/>
        <v>-</v>
      </c>
      <c r="DZ223" s="107" t="str">
        <f t="shared" si="2012"/>
        <v>-</v>
      </c>
      <c r="EA223" s="122" t="str">
        <f t="shared" si="1792"/>
        <v>-</v>
      </c>
      <c r="EB223" s="107" t="str">
        <f t="shared" si="2013"/>
        <v>-</v>
      </c>
      <c r="EC223" s="122" t="str">
        <f t="shared" si="1793"/>
        <v>-</v>
      </c>
      <c r="ED223" s="107">
        <f t="shared" si="67"/>
        <v>3.135888005815521</v>
      </c>
      <c r="EE223" s="107">
        <f t="shared" si="68"/>
        <v>2.2438356573015867</v>
      </c>
      <c r="EF223" s="107">
        <f t="shared" si="1945"/>
        <v>1.5955799528969328</v>
      </c>
      <c r="EH223" s="107" t="str">
        <f t="shared" si="2014"/>
        <v>-</v>
      </c>
      <c r="EJ223" s="107">
        <f t="shared" si="69"/>
        <v>3.135888005815521</v>
      </c>
      <c r="EK223" s="107">
        <f t="shared" si="1946"/>
        <v>2.2439988890031217</v>
      </c>
      <c r="EL223" s="107">
        <f t="shared" si="1947"/>
        <v>1.8643654197147781</v>
      </c>
      <c r="EM223" s="107" t="str">
        <f t="shared" si="2015"/>
        <v>-</v>
      </c>
      <c r="EO223" s="107">
        <f t="shared" si="1948"/>
        <v>5.0035600366091852</v>
      </c>
      <c r="EP223" s="107">
        <f t="shared" si="70"/>
        <v>3.135888005815521</v>
      </c>
      <c r="EQ223" s="107">
        <f t="shared" si="1949"/>
        <v>1.5955799528969328</v>
      </c>
      <c r="ER223" s="107">
        <f t="shared" si="1950"/>
        <v>1.8334522799337654</v>
      </c>
      <c r="ES223" s="107" t="str">
        <f t="shared" si="2028"/>
        <v>-</v>
      </c>
      <c r="EU223" s="107">
        <f t="shared" si="1951"/>
        <v>1.7880129144034909</v>
      </c>
      <c r="EV223" s="107">
        <f t="shared" si="71"/>
        <v>3.135888005815521</v>
      </c>
      <c r="EW223" s="107">
        <f t="shared" si="1952"/>
        <v>1.0194848081770873</v>
      </c>
      <c r="EX223" s="107">
        <f t="shared" si="1953"/>
        <v>1.8561483333479689</v>
      </c>
      <c r="EY223" s="107" t="str">
        <f t="shared" si="2029"/>
        <v>-</v>
      </c>
      <c r="FA223" s="107">
        <f t="shared" si="2030"/>
        <v>1.7880904364144428</v>
      </c>
      <c r="FB223" s="107">
        <f t="shared" si="72"/>
        <v>3.1361599340687953</v>
      </c>
      <c r="FC223" s="107">
        <f t="shared" si="1954"/>
        <v>1.0194848081770873</v>
      </c>
      <c r="FD223" s="107">
        <f t="shared" si="1955"/>
        <v>1.8561483333479689</v>
      </c>
      <c r="FE223" s="107" t="str">
        <f t="shared" si="2031"/>
        <v>-</v>
      </c>
      <c r="FF223" s="141" t="str">
        <f t="shared" si="1794"/>
        <v>-</v>
      </c>
      <c r="FG223" s="107">
        <f t="shared" si="2032"/>
        <v>3.2595655509480514</v>
      </c>
      <c r="FH223" s="133">
        <f t="shared" si="1957"/>
        <v>3.1361599340687953</v>
      </c>
      <c r="FI223" s="133">
        <f t="shared" si="1958"/>
        <v>1.0393492741038726</v>
      </c>
      <c r="FJ223" s="107">
        <f t="shared" si="1959"/>
        <v>1.0437889135247547</v>
      </c>
      <c r="FK223" s="107" t="str">
        <f t="shared" si="2033"/>
        <v>-</v>
      </c>
      <c r="FL223" s="141" t="str">
        <f t="shared" si="1795"/>
        <v>-</v>
      </c>
      <c r="FM223" s="107">
        <f t="shared" si="2034"/>
        <v>5.2321470393567626</v>
      </c>
      <c r="FN223" s="133">
        <f t="shared" si="1961"/>
        <v>3.1361599340687953</v>
      </c>
      <c r="FO223" s="133">
        <f t="shared" si="1962"/>
        <v>0.72728073668333992</v>
      </c>
      <c r="FP223" s="133">
        <f t="shared" si="1963"/>
        <v>1.868706368604627</v>
      </c>
      <c r="FQ223" s="107">
        <f t="shared" si="1964"/>
        <v>1.8334522799337654</v>
      </c>
      <c r="FR223" s="107" t="str">
        <f t="shared" si="2035"/>
        <v>-</v>
      </c>
      <c r="FS223" s="141" t="str">
        <f t="shared" si="1796"/>
        <v>-</v>
      </c>
      <c r="FT223" s="107">
        <f t="shared" si="2036"/>
        <v>5.8605620417570252</v>
      </c>
      <c r="FU223" s="133">
        <f t="shared" si="1966"/>
        <v>3.1361599340687953</v>
      </c>
      <c r="FV223" s="133">
        <f t="shared" si="1967"/>
        <v>1.868706368604627</v>
      </c>
      <c r="FW223" s="107">
        <f t="shared" si="1968"/>
        <v>1.8334522799337654</v>
      </c>
      <c r="FY223">
        <v>0.95</v>
      </c>
      <c r="FZ223" s="62" t="str">
        <f t="shared" si="1452"/>
        <v>-</v>
      </c>
      <c r="GA223" s="62">
        <f t="shared" si="1378"/>
        <v>1.951180821703814</v>
      </c>
      <c r="GB223" s="107" t="str">
        <f t="shared" si="525"/>
        <v>-</v>
      </c>
      <c r="GC223" s="441"/>
      <c r="GD223" s="57"/>
      <c r="GE223" s="436"/>
      <c r="GF223" s="75"/>
      <c r="GG223" s="57"/>
      <c r="GH223" s="57"/>
      <c r="GI223" s="57"/>
      <c r="GJ223" s="57"/>
      <c r="GL223" s="57" t="s">
        <v>478</v>
      </c>
      <c r="GM223" s="436" t="s">
        <v>478</v>
      </c>
      <c r="GN223" s="58" t="s">
        <v>478</v>
      </c>
      <c r="GO223" s="58" t="s">
        <v>478</v>
      </c>
      <c r="GP223" s="58" t="s">
        <v>478</v>
      </c>
      <c r="GQ223" s="58" t="s">
        <v>478</v>
      </c>
      <c r="GS223" s="57"/>
      <c r="GT223" s="57"/>
      <c r="GU223" s="57"/>
      <c r="GV223" s="632"/>
      <c r="GW223" s="57"/>
      <c r="GX223" s="57"/>
      <c r="GY223" s="57"/>
      <c r="GZ223" s="57"/>
    </row>
    <row r="224" spans="1:208" ht="15.6" x14ac:dyDescent="0.3">
      <c r="A224" s="60" t="s">
        <v>28</v>
      </c>
      <c r="B224" s="218"/>
      <c r="C224" s="61" t="str">
        <f>C223</f>
        <v>Gaffel</v>
      </c>
      <c r="D224" s="61"/>
      <c r="E224" s="61"/>
      <c r="F224" s="61"/>
      <c r="G224" s="54"/>
      <c r="H224" s="204">
        <f>IF(StH=0,0,TBFavrundet)</f>
        <v>102</v>
      </c>
      <c r="I224" s="63">
        <f>COUNTA(O224:AG224)</f>
        <v>4</v>
      </c>
      <c r="J224" s="222">
        <f>SUM(O224:AG224)</f>
        <v>42.4</v>
      </c>
      <c r="K224" s="116">
        <f>Seilareal/Depl^0.667/K$7</f>
        <v>1.3084200629644271</v>
      </c>
      <c r="L224" s="116">
        <f t="shared" ref="L224:L229" si="2050">Seilareal/Lwl/Lwl/L$7</f>
        <v>1.3017637700751346</v>
      </c>
      <c r="M224" s="92">
        <f t="shared" ref="M224:M229" si="2051">RiggF</f>
        <v>0.73844339622641508</v>
      </c>
      <c r="N224" s="242">
        <f t="shared" ref="N224:N229" si="2052">StHfaktor</f>
        <v>1.0038592732708853</v>
      </c>
      <c r="O224" s="143"/>
      <c r="P224" s="143"/>
      <c r="Q224" s="143"/>
      <c r="R224" s="165">
        <v>7.5</v>
      </c>
      <c r="S224" s="143"/>
      <c r="T224" s="143"/>
      <c r="U224" s="165">
        <v>9.1999999999999993</v>
      </c>
      <c r="V224" s="559"/>
      <c r="W224" s="559"/>
      <c r="X224" s="165">
        <v>20.2</v>
      </c>
      <c r="Y224" s="143"/>
      <c r="Z224" s="143"/>
      <c r="AA224" s="165">
        <v>5.5</v>
      </c>
      <c r="AB224" s="143"/>
      <c r="AC224" s="143"/>
      <c r="AD224" s="143"/>
      <c r="AE224" s="143"/>
      <c r="AF224" s="143"/>
      <c r="AG224" s="551"/>
      <c r="AH224" s="557">
        <f t="shared" ref="AH224:AI224" si="2053">AH223</f>
        <v>0</v>
      </c>
      <c r="AI224" s="557">
        <f t="shared" si="2053"/>
        <v>7.25</v>
      </c>
      <c r="AJ224" s="337">
        <f t="shared" ref="AJ224:AL229" si="2054" xml:space="preserve"> AJ223</f>
        <v>0</v>
      </c>
      <c r="AK224" s="339"/>
      <c r="AL224" s="337">
        <f t="shared" si="2054"/>
        <v>0</v>
      </c>
      <c r="AM224" s="339"/>
      <c r="AN224" s="267" t="str">
        <f t="shared" ref="AN224" si="2055" xml:space="preserve"> AN223</f>
        <v>Lystb</v>
      </c>
      <c r="AO224" s="45">
        <f>VLOOKUP(AN224,Skrogform!$1:$1048576,3,FALSE)</f>
        <v>0.98</v>
      </c>
      <c r="AP224" s="64">
        <f t="shared" ref="AP224:AZ224" si="2056">AP223</f>
        <v>7.88</v>
      </c>
      <c r="AQ224" s="64">
        <f t="shared" si="2056"/>
        <v>7.03</v>
      </c>
      <c r="AR224" s="64">
        <f t="shared" si="2056"/>
        <v>2.52</v>
      </c>
      <c r="AS224" s="64">
        <f t="shared" si="2056"/>
        <v>1.2</v>
      </c>
      <c r="AT224" s="64">
        <f t="shared" ref="AT224" si="2057">AT223</f>
        <v>5.2</v>
      </c>
      <c r="AU224" s="64">
        <f t="shared" si="2056"/>
        <v>5.2</v>
      </c>
      <c r="AV224" s="64">
        <f t="shared" si="2056"/>
        <v>1.7</v>
      </c>
      <c r="AW224" s="64">
        <f t="shared" si="2056"/>
        <v>0</v>
      </c>
      <c r="AX224" s="256">
        <f t="shared" ref="AX224:AX229" si="2058">AX223</f>
        <v>0</v>
      </c>
      <c r="AY224" s="256">
        <f t="shared" si="2056"/>
        <v>15</v>
      </c>
      <c r="AZ224" s="256">
        <f t="shared" si="2056"/>
        <v>60</v>
      </c>
      <c r="BA224" s="256">
        <f t="shared" ref="BA224:BB224" si="2059">BA223</f>
        <v>0</v>
      </c>
      <c r="BB224" s="256">
        <f t="shared" si="2059"/>
        <v>0</v>
      </c>
      <c r="BC224" s="256"/>
      <c r="BD224" s="66"/>
      <c r="BE224" s="66"/>
      <c r="BF224" s="261"/>
      <c r="BG224" s="66"/>
      <c r="BH224" s="175"/>
      <c r="BI224" s="66"/>
      <c r="BJ224" s="66"/>
      <c r="BK224" s="65" t="str">
        <f t="shared" ref="BK224:BM224" si="2060" xml:space="preserve"> BK223</f>
        <v>Fast</v>
      </c>
      <c r="BL224" s="267">
        <f t="shared" si="2060"/>
        <v>2</v>
      </c>
      <c r="BM224" s="267">
        <f t="shared" si="2060"/>
        <v>38</v>
      </c>
      <c r="BN224" s="45">
        <f t="shared" si="1932"/>
        <v>0.98634917310716319</v>
      </c>
      <c r="BO224" s="59">
        <f>BO223</f>
        <v>0</v>
      </c>
      <c r="BP224" s="59"/>
      <c r="BR224" s="49">
        <f t="shared" ref="BR224:BX229" si="2061">IF(O224=0,0,O224*BR$9)</f>
        <v>0</v>
      </c>
      <c r="BS224" s="49">
        <f t="shared" si="2061"/>
        <v>0</v>
      </c>
      <c r="BT224" s="49">
        <f t="shared" si="2061"/>
        <v>0</v>
      </c>
      <c r="BU224" s="49">
        <f t="shared" si="2061"/>
        <v>7.5</v>
      </c>
      <c r="BV224" s="49">
        <f t="shared" si="2061"/>
        <v>0</v>
      </c>
      <c r="BW224" s="49">
        <f t="shared" si="2061"/>
        <v>0</v>
      </c>
      <c r="BX224" s="49">
        <f t="shared" si="2061"/>
        <v>9.1999999999999993</v>
      </c>
      <c r="BY224" s="549">
        <f t="shared" ref="BY224:BY229" si="2062">IF(COUNT(Q224:U224)&gt;1,MINA(Q224:U224)*BY$9,0)</f>
        <v>-3.75</v>
      </c>
      <c r="BZ224" s="85">
        <f t="shared" ref="BZ224:CD229" si="2063">IF(V224=0,0,V224*BZ$9)</f>
        <v>0</v>
      </c>
      <c r="CA224" s="85">
        <f t="shared" si="2063"/>
        <v>0</v>
      </c>
      <c r="CB224" s="85">
        <f t="shared" si="2063"/>
        <v>16.16</v>
      </c>
      <c r="CC224" s="85">
        <f t="shared" si="2063"/>
        <v>0</v>
      </c>
      <c r="CD224" s="85">
        <f t="shared" si="2063"/>
        <v>0</v>
      </c>
      <c r="CE224" s="85">
        <f t="shared" ref="CE224:CE229" si="2064">IF(AC224=0,0,AC224*CE$9)</f>
        <v>0</v>
      </c>
      <c r="CF224" s="85">
        <f t="shared" ref="CF224:CG229" si="2065">IF(AA224=0,0,AA224*CF$9)</f>
        <v>2.2000000000000002</v>
      </c>
      <c r="CG224" s="85">
        <f t="shared" si="2065"/>
        <v>0</v>
      </c>
      <c r="CH224" s="85">
        <f t="shared" ref="CH224:CK229" si="2066">IF(AD224=0,0,AD224*CH$9)</f>
        <v>0</v>
      </c>
      <c r="CI224" s="85">
        <f t="shared" si="2066"/>
        <v>0</v>
      </c>
      <c r="CJ224" s="85">
        <f t="shared" si="2066"/>
        <v>0</v>
      </c>
      <c r="CK224" s="85">
        <f t="shared" si="2066"/>
        <v>0</v>
      </c>
      <c r="CL224" s="100">
        <f t="shared" ref="CL224:CL229" si="2067">SUM(BR224:CK224)</f>
        <v>31.31</v>
      </c>
      <c r="CM224" s="50"/>
      <c r="CN224" s="104">
        <f t="shared" ref="CN224:CN229" si="2068">J224</f>
        <v>42.4</v>
      </c>
      <c r="CO224" s="101">
        <f t="shared" ref="CO224:CO229" si="2069">CL224/CN224</f>
        <v>0.73844339622641508</v>
      </c>
      <c r="CP224" s="51">
        <f t="shared" ref="CP224:CP229" si="2070">Seilareal/Lwl/Lwl</f>
        <v>0.85793662195548837</v>
      </c>
      <c r="CQ224" s="116">
        <f t="shared" ref="CQ224:CQ229" si="2071">Seilareal/Depl^0.667/K$7</f>
        <v>1.3084200629644271</v>
      </c>
      <c r="CR224" s="51">
        <f t="shared" ref="CR224:CR229" si="2072">Seilareal/Lwl/Lwl/SApRS1</f>
        <v>1.3017637700751346</v>
      </c>
      <c r="CS224" s="204"/>
      <c r="CT224" s="204">
        <f t="shared" ref="CT224:CT229" si="2073">(ROUND(TBF/CT$6,3)*CT$6)*CT$4</f>
        <v>102</v>
      </c>
      <c r="CU224" s="107">
        <f t="shared" si="1041"/>
        <v>1.0186767301379556</v>
      </c>
      <c r="CV224" s="62">
        <f t="shared" si="523"/>
        <v>3.2017182810672762</v>
      </c>
      <c r="CW224" s="62">
        <f t="shared" si="998"/>
        <v>1.7199806200458578</v>
      </c>
      <c r="CX224" s="62">
        <f t="shared" si="524"/>
        <v>1.6283165284159498</v>
      </c>
      <c r="CY224" s="107">
        <f t="shared" si="999"/>
        <v>1.0038592732708853</v>
      </c>
      <c r="CZ224" s="168">
        <f t="shared" si="1875"/>
        <v>1.0350588235294118</v>
      </c>
      <c r="DA224" s="159">
        <f>DA223</f>
        <v>0.83</v>
      </c>
      <c r="DB224" s="168">
        <f t="shared" si="1980"/>
        <v>1.0228070175438599</v>
      </c>
      <c r="DC224" s="159">
        <f>DC223</f>
        <v>1.1000000000000001</v>
      </c>
      <c r="DD224" s="190" t="s">
        <v>134</v>
      </c>
      <c r="DE224" s="62">
        <v>0.72</v>
      </c>
      <c r="DF224" s="62">
        <v>0.78</v>
      </c>
      <c r="DG224" s="62">
        <v>0.8</v>
      </c>
      <c r="DH224" s="150" t="s">
        <v>102</v>
      </c>
      <c r="DI224" s="62">
        <f t="shared" si="2007"/>
        <v>1.9766239122951021</v>
      </c>
      <c r="DJ224" s="47">
        <f t="shared" si="2008"/>
        <v>11.374407582938389</v>
      </c>
      <c r="DK224" s="48">
        <f t="shared" si="2009"/>
        <v>0</v>
      </c>
      <c r="DM224" s="107">
        <f t="shared" si="2027"/>
        <v>0.99543473265152371</v>
      </c>
      <c r="DN224" s="141" t="str">
        <f t="shared" si="1791"/>
        <v>-</v>
      </c>
      <c r="DO224" s="107">
        <f t="shared" si="2010"/>
        <v>4.9982915949798539</v>
      </c>
      <c r="DP224" s="133">
        <f>IF(SeilBeregnet=0,DP223,(SeilBeregnet^0.5/(Depl^0.3333))^DP$3*DP$7)</f>
        <v>3.2299635352058407</v>
      </c>
      <c r="DQ224" s="133">
        <f>IF(SeilBeregnet=0,DQ223,(SeilBeregnet^0.5/Lwl)^DQ$3*DQ$7)</f>
        <v>0</v>
      </c>
      <c r="DR224" s="133">
        <f>IF(SeilBeregnet=0,DR223,(0.1*Loa/Depl^0.3333)^DR$3*DR$7)</f>
        <v>0</v>
      </c>
      <c r="DS224" s="133">
        <f>IF(SeilBeregnet=0,DS223,((Loa)/Bredde)^DS$3*DS$7)</f>
        <v>1.7683280597740134</v>
      </c>
      <c r="DT224" s="107">
        <f>IF(SeilBeregnet=0,DT223,(Lwl)^DT$3)</f>
        <v>1.6283165284159498</v>
      </c>
      <c r="DU224" s="133">
        <f>IF(SeilBeregnet=0,DU223,(Dypg/Loa)^DU$3*5*DU$7)</f>
        <v>1.951180821703814</v>
      </c>
      <c r="DW224" s="107">
        <f t="shared" si="417"/>
        <v>1.0394660511611791</v>
      </c>
      <c r="DX224" s="107">
        <f t="shared" si="2011"/>
        <v>1.0200398082466795</v>
      </c>
      <c r="DZ224" s="107">
        <f t="shared" si="2012"/>
        <v>1.0320450507889418</v>
      </c>
      <c r="EA224" s="122" t="str">
        <f t="shared" si="1792"/>
        <v>-</v>
      </c>
      <c r="EB224" s="107">
        <f t="shared" si="2013"/>
        <v>1.0198239978293118</v>
      </c>
      <c r="EC224" s="122" t="str">
        <f t="shared" si="1793"/>
        <v>-</v>
      </c>
      <c r="ED224" s="107">
        <f t="shared" si="67"/>
        <v>3.2298037859391737</v>
      </c>
      <c r="EE224" s="107">
        <f t="shared" si="68"/>
        <v>1.9155355211546612</v>
      </c>
      <c r="EF224" s="107">
        <f t="shared" si="1945"/>
        <v>1.5596217233315703</v>
      </c>
      <c r="EH224" s="107">
        <f t="shared" si="2014"/>
        <v>1.026017422883414</v>
      </c>
      <c r="EJ224" s="107">
        <f t="shared" si="69"/>
        <v>3.2298037859391737</v>
      </c>
      <c r="EK224" s="107">
        <f t="shared" si="1946"/>
        <v>1.9156475939903101</v>
      </c>
      <c r="EL224" s="107">
        <f t="shared" si="1947"/>
        <v>1.8085615700443574</v>
      </c>
      <c r="EM224" s="107">
        <f t="shared" si="2015"/>
        <v>1.0074036054179183</v>
      </c>
      <c r="EO224" s="107">
        <f t="shared" si="1948"/>
        <v>5.0372721466492845</v>
      </c>
      <c r="EP224" s="107">
        <f t="shared" si="70"/>
        <v>3.2298037859391737</v>
      </c>
      <c r="EQ224" s="107">
        <f t="shared" si="1949"/>
        <v>1.5596217233315703</v>
      </c>
      <c r="ER224" s="107">
        <f t="shared" si="1950"/>
        <v>1.6283165284159498</v>
      </c>
      <c r="ES224" s="107">
        <f t="shared" si="2028"/>
        <v>1.0089606406465219</v>
      </c>
      <c r="EU224" s="107">
        <f t="shared" si="1951"/>
        <v>1.794026282503514</v>
      </c>
      <c r="EV224" s="107">
        <f t="shared" si="71"/>
        <v>3.2298037859391737</v>
      </c>
      <c r="EW224" s="107">
        <f t="shared" si="1952"/>
        <v>0.99650954535539471</v>
      </c>
      <c r="EX224" s="107">
        <f t="shared" si="1953"/>
        <v>1.6428858497330714</v>
      </c>
      <c r="EY224" s="107">
        <f t="shared" si="2029"/>
        <v>0.97755642585252378</v>
      </c>
      <c r="FA224" s="107">
        <f t="shared" si="2030"/>
        <v>1.7940706491056799</v>
      </c>
      <c r="FB224" s="107">
        <f t="shared" si="72"/>
        <v>3.2299635352058407</v>
      </c>
      <c r="FC224" s="107">
        <f t="shared" si="1954"/>
        <v>0.99650954535539471</v>
      </c>
      <c r="FD224" s="107">
        <f t="shared" si="1955"/>
        <v>1.6428858497330714</v>
      </c>
      <c r="FE224" s="107">
        <f t="shared" si="2031"/>
        <v>0.99651279190276121</v>
      </c>
      <c r="FF224" s="141" t="str">
        <f t="shared" si="1794"/>
        <v>-</v>
      </c>
      <c r="FG224" s="107">
        <f t="shared" si="2032"/>
        <v>3.2074548042886626</v>
      </c>
      <c r="FH224" s="133">
        <f t="shared" si="1957"/>
        <v>3.2299635352058407</v>
      </c>
      <c r="FI224" s="133">
        <f t="shared" si="1958"/>
        <v>0.99303127398441549</v>
      </c>
      <c r="FJ224" s="107">
        <f t="shared" si="1959"/>
        <v>0.92386260587536806</v>
      </c>
      <c r="FK224" s="107">
        <f t="shared" si="2033"/>
        <v>1.0118596938656015</v>
      </c>
      <c r="FL224" s="141" t="str">
        <f t="shared" si="1795"/>
        <v>-</v>
      </c>
      <c r="FM224" s="107">
        <f t="shared" si="2034"/>
        <v>5.2942423678696287</v>
      </c>
      <c r="FN224" s="133">
        <f t="shared" si="1961"/>
        <v>3.2299635352058407</v>
      </c>
      <c r="FO224" s="133">
        <f t="shared" si="1962"/>
        <v>0.79595077288977412</v>
      </c>
      <c r="FP224" s="133">
        <f t="shared" si="1963"/>
        <v>1.7683280597740134</v>
      </c>
      <c r="FQ224" s="107">
        <f t="shared" si="1964"/>
        <v>1.6283165284159498</v>
      </c>
      <c r="FR224" s="107">
        <f t="shared" si="2035"/>
        <v>0.99825581439031474</v>
      </c>
      <c r="FS224" s="141" t="str">
        <f t="shared" si="1796"/>
        <v>-</v>
      </c>
      <c r="FT224" s="107">
        <f t="shared" si="2036"/>
        <v>5.7116351513513575</v>
      </c>
      <c r="FU224" s="133">
        <f t="shared" si="1966"/>
        <v>3.2299635352058407</v>
      </c>
      <c r="FV224" s="133">
        <f t="shared" si="1967"/>
        <v>1.7683280597740134</v>
      </c>
      <c r="FW224" s="107">
        <f t="shared" si="1968"/>
        <v>1.6283165284159498</v>
      </c>
      <c r="FY224">
        <v>0.95</v>
      </c>
      <c r="FZ224" s="62">
        <f t="shared" ref="FZ224:FZ287" si="2074">IF(SeilBeregnet=0,"-",0.06*2.43^(1/2)*(SeilBeregnet^(1/2)/Depl^(1/3)+(Loa/Bredde)^(1/2)+GA224)*Lwl^(1/4)*FY224)</f>
        <v>1.0054432587569624</v>
      </c>
      <c r="GA224" s="62">
        <f t="shared" ref="GA224:GA287" si="2075">IF(Dypg=0,GA$6,5*(Dypg/Loa)^(1/2))</f>
        <v>1.951180821703814</v>
      </c>
      <c r="GB224" s="107">
        <f t="shared" si="525"/>
        <v>1.4343311419200786</v>
      </c>
      <c r="GC224" s="440"/>
      <c r="GD224" s="17"/>
      <c r="GE224" s="442"/>
      <c r="GF224" s="462"/>
      <c r="GG224" s="17"/>
      <c r="GH224" s="17"/>
      <c r="GI224" s="17"/>
      <c r="GJ224" s="17"/>
      <c r="GL224" s="17"/>
      <c r="GM224" s="442"/>
      <c r="GN224" s="8"/>
      <c r="GO224" s="8"/>
      <c r="GP224" s="8"/>
      <c r="GQ224" s="8"/>
      <c r="GS224" s="17"/>
      <c r="GT224" s="17"/>
      <c r="GU224" s="17"/>
      <c r="GV224" s="629"/>
      <c r="GW224" s="17"/>
      <c r="GX224" s="17"/>
      <c r="GY224" s="17"/>
      <c r="GZ224" s="17"/>
    </row>
    <row r="225" spans="1:208" ht="15.6" x14ac:dyDescent="0.3">
      <c r="A225" s="60" t="s">
        <v>29</v>
      </c>
      <c r="B225" s="218"/>
      <c r="C225" s="61" t="str">
        <f t="shared" ref="C225" si="2076">C224</f>
        <v>Gaffel</v>
      </c>
      <c r="D225" s="61"/>
      <c r="E225" s="61"/>
      <c r="F225" s="61"/>
      <c r="G225" s="54"/>
      <c r="H225" s="204">
        <f>IF(StH=0,0,TBFavrundet)</f>
        <v>99.500000000000014</v>
      </c>
      <c r="I225" s="63">
        <f>COUNTA(O225:AG225)</f>
        <v>3</v>
      </c>
      <c r="J225" s="222">
        <f>SUM(O225:AG225)</f>
        <v>36.9</v>
      </c>
      <c r="K225" s="116">
        <f>Seilareal/Depl^0.667/K$7</f>
        <v>1.1386957623440415</v>
      </c>
      <c r="L225" s="116">
        <f t="shared" si="2050"/>
        <v>1.1329029036738789</v>
      </c>
      <c r="M225" s="92">
        <f t="shared" si="2051"/>
        <v>0.78888888888888886</v>
      </c>
      <c r="N225" s="242">
        <f t="shared" si="2052"/>
        <v>1.0038592732708853</v>
      </c>
      <c r="O225" s="143"/>
      <c r="P225" s="143"/>
      <c r="Q225" s="143"/>
      <c r="R225" s="165">
        <v>7.5</v>
      </c>
      <c r="S225" s="143"/>
      <c r="T225" s="143"/>
      <c r="U225" s="165">
        <v>9.1999999999999993</v>
      </c>
      <c r="V225" s="559"/>
      <c r="W225" s="559"/>
      <c r="X225" s="165">
        <v>20.2</v>
      </c>
      <c r="Y225" s="143"/>
      <c r="Z225" s="143"/>
      <c r="AA225" s="143"/>
      <c r="AB225" s="143"/>
      <c r="AC225" s="143"/>
      <c r="AD225" s="143"/>
      <c r="AE225" s="143"/>
      <c r="AF225" s="143"/>
      <c r="AG225" s="551"/>
      <c r="AH225" s="557">
        <f t="shared" ref="AH225:AI225" si="2077">AH224</f>
        <v>0</v>
      </c>
      <c r="AI225" s="557">
        <f t="shared" si="2077"/>
        <v>7.25</v>
      </c>
      <c r="AJ225" s="337">
        <f t="shared" si="2054"/>
        <v>0</v>
      </c>
      <c r="AK225" s="339"/>
      <c r="AL225" s="337">
        <f t="shared" si="2054"/>
        <v>0</v>
      </c>
      <c r="AM225" s="339"/>
      <c r="AN225" s="267" t="str">
        <f t="shared" ref="AN225" si="2078" xml:space="preserve"> AN224</f>
        <v>Lystb</v>
      </c>
      <c r="AO225" s="45">
        <f>VLOOKUP(AN225,Skrogform!$1:$1048576,3,FALSE)</f>
        <v>0.98</v>
      </c>
      <c r="AP225" s="64">
        <f t="shared" ref="AP225:AZ225" si="2079">AP224</f>
        <v>7.88</v>
      </c>
      <c r="AQ225" s="64">
        <f t="shared" si="2079"/>
        <v>7.03</v>
      </c>
      <c r="AR225" s="64">
        <f t="shared" si="2079"/>
        <v>2.52</v>
      </c>
      <c r="AS225" s="64">
        <f t="shared" si="2079"/>
        <v>1.2</v>
      </c>
      <c r="AT225" s="64">
        <f t="shared" ref="AT225" si="2080">AT224</f>
        <v>5.2</v>
      </c>
      <c r="AU225" s="64">
        <f t="shared" si="2079"/>
        <v>5.2</v>
      </c>
      <c r="AV225" s="64">
        <f t="shared" si="2079"/>
        <v>1.7</v>
      </c>
      <c r="AW225" s="64">
        <f t="shared" si="2079"/>
        <v>0</v>
      </c>
      <c r="AX225" s="256">
        <f t="shared" si="2058"/>
        <v>0</v>
      </c>
      <c r="AY225" s="256">
        <f t="shared" si="2079"/>
        <v>15</v>
      </c>
      <c r="AZ225" s="256">
        <f t="shared" si="2079"/>
        <v>60</v>
      </c>
      <c r="BA225" s="256">
        <f t="shared" ref="BA225:BB225" si="2081">BA224</f>
        <v>0</v>
      </c>
      <c r="BB225" s="256">
        <f t="shared" si="2081"/>
        <v>0</v>
      </c>
      <c r="BC225" s="256"/>
      <c r="BD225" s="66"/>
      <c r="BE225" s="66"/>
      <c r="BF225" s="261"/>
      <c r="BG225" s="66"/>
      <c r="BH225" s="175"/>
      <c r="BI225" s="66"/>
      <c r="BJ225" s="66"/>
      <c r="BK225" s="65" t="str">
        <f t="shared" ref="BK225:BM225" si="2082" xml:space="preserve"> BK224</f>
        <v>Fast</v>
      </c>
      <c r="BL225" s="267">
        <f t="shared" si="2082"/>
        <v>2</v>
      </c>
      <c r="BM225" s="267">
        <f t="shared" si="2082"/>
        <v>38</v>
      </c>
      <c r="BN225" s="45">
        <f t="shared" si="1932"/>
        <v>0.98634917310716319</v>
      </c>
      <c r="BO225" s="59">
        <f t="shared" ref="BO225:BO229" si="2083">BO224</f>
        <v>0</v>
      </c>
      <c r="BP225" s="59"/>
      <c r="BR225" s="49">
        <f t="shared" si="2061"/>
        <v>0</v>
      </c>
      <c r="BS225" s="49">
        <f t="shared" si="2061"/>
        <v>0</v>
      </c>
      <c r="BT225" s="49">
        <f t="shared" si="2061"/>
        <v>0</v>
      </c>
      <c r="BU225" s="49">
        <f t="shared" si="2061"/>
        <v>7.5</v>
      </c>
      <c r="BV225" s="49">
        <f t="shared" si="2061"/>
        <v>0</v>
      </c>
      <c r="BW225" s="49">
        <f t="shared" si="2061"/>
        <v>0</v>
      </c>
      <c r="BX225" s="49">
        <f t="shared" si="2061"/>
        <v>9.1999999999999993</v>
      </c>
      <c r="BY225" s="549">
        <f t="shared" si="2062"/>
        <v>-3.75</v>
      </c>
      <c r="BZ225" s="85">
        <f t="shared" si="2063"/>
        <v>0</v>
      </c>
      <c r="CA225" s="85">
        <f t="shared" si="2063"/>
        <v>0</v>
      </c>
      <c r="CB225" s="85">
        <f t="shared" si="2063"/>
        <v>16.16</v>
      </c>
      <c r="CC225" s="85">
        <f t="shared" si="2063"/>
        <v>0</v>
      </c>
      <c r="CD225" s="85">
        <f t="shared" si="2063"/>
        <v>0</v>
      </c>
      <c r="CE225" s="85">
        <f t="shared" si="2064"/>
        <v>0</v>
      </c>
      <c r="CF225" s="85">
        <f t="shared" si="2065"/>
        <v>0</v>
      </c>
      <c r="CG225" s="85">
        <f t="shared" si="2065"/>
        <v>0</v>
      </c>
      <c r="CH225" s="85">
        <f t="shared" si="2066"/>
        <v>0</v>
      </c>
      <c r="CI225" s="85">
        <f t="shared" si="2066"/>
        <v>0</v>
      </c>
      <c r="CJ225" s="85">
        <f t="shared" si="2066"/>
        <v>0</v>
      </c>
      <c r="CK225" s="85">
        <f t="shared" si="2066"/>
        <v>0</v>
      </c>
      <c r="CL225" s="100">
        <f t="shared" si="2067"/>
        <v>29.11</v>
      </c>
      <c r="CM225" s="50"/>
      <c r="CN225" s="104">
        <f t="shared" si="2068"/>
        <v>36.9</v>
      </c>
      <c r="CO225" s="101">
        <f t="shared" si="2069"/>
        <v>0.78888888888888886</v>
      </c>
      <c r="CP225" s="51">
        <f t="shared" si="2070"/>
        <v>0.74664767335277171</v>
      </c>
      <c r="CQ225" s="116">
        <f t="shared" si="2071"/>
        <v>1.1386957623440415</v>
      </c>
      <c r="CR225" s="51">
        <f t="shared" si="2072"/>
        <v>1.1329029036738789</v>
      </c>
      <c r="CS225" s="204"/>
      <c r="CT225" s="204">
        <f t="shared" si="2073"/>
        <v>99.500000000000014</v>
      </c>
      <c r="CU225" s="107">
        <f t="shared" si="1041"/>
        <v>0.99497105878042558</v>
      </c>
      <c r="CV225" s="62">
        <f t="shared" si="523"/>
        <v>3.0871852076999238</v>
      </c>
      <c r="CW225" s="62">
        <f t="shared" si="998"/>
        <v>1.7199806200458578</v>
      </c>
      <c r="CX225" s="62">
        <f t="shared" si="524"/>
        <v>1.6283165284159498</v>
      </c>
      <c r="CY225" s="107">
        <f t="shared" si="999"/>
        <v>1.0038592732708853</v>
      </c>
      <c r="CZ225" s="168" t="str">
        <f t="shared" si="1875"/>
        <v>-</v>
      </c>
      <c r="DA225" s="158"/>
      <c r="DB225" s="168" t="str">
        <f t="shared" si="1980"/>
        <v>-</v>
      </c>
      <c r="DC225" s="160"/>
      <c r="DD225" s="190" t="s">
        <v>134</v>
      </c>
      <c r="DE225" s="62">
        <v>0.7</v>
      </c>
      <c r="DF225" s="62">
        <v>0.76</v>
      </c>
      <c r="DG225" s="62">
        <v>0.78</v>
      </c>
      <c r="DH225" s="150" t="s">
        <v>102</v>
      </c>
      <c r="DI225" s="62">
        <f t="shared" si="2007"/>
        <v>1.9766239122951021</v>
      </c>
      <c r="DJ225" s="47">
        <f t="shared" si="2008"/>
        <v>11.374407582938389</v>
      </c>
      <c r="DK225" s="48">
        <f t="shared" si="2009"/>
        <v>0</v>
      </c>
      <c r="DM225" s="107">
        <f t="shared" si="2027"/>
        <v>0.97242367292936516</v>
      </c>
      <c r="DN225" s="141" t="str">
        <f t="shared" si="1791"/>
        <v>-</v>
      </c>
      <c r="DO225" s="107">
        <f t="shared" si="2010"/>
        <v>4.8827481217332673</v>
      </c>
      <c r="DP225" s="133">
        <f>IF(SeilBeregnet=0,DP224,(SeilBeregnet^0.5/(Depl^0.3333))^DP$3*DP$7)</f>
        <v>3.1144200619592541</v>
      </c>
      <c r="DQ225" s="133">
        <f>IF(SeilBeregnet=0,DQ224,(SeilBeregnet^0.5/Lwl)^DQ$3*DQ$7)</f>
        <v>0</v>
      </c>
      <c r="DR225" s="133">
        <f>IF(SeilBeregnet=0,DR224,(0.1*Loa/Depl^0.3333)^DR$3*DR$7)</f>
        <v>0</v>
      </c>
      <c r="DS225" s="133">
        <f>IF(SeilBeregnet=0,DS224,((Loa)/Bredde)^DS$3*DS$7)</f>
        <v>1.7683280597740134</v>
      </c>
      <c r="DT225" s="107">
        <f>IF(SeilBeregnet=0,DT224,(Lwl)^DT$3)</f>
        <v>1.6283165284159498</v>
      </c>
      <c r="DU225" s="133">
        <f>IF(SeilBeregnet=0,DU224,(Dypg/Loa)^DU$3*5*DU$7)</f>
        <v>1.951180821703814</v>
      </c>
      <c r="DW225" s="107">
        <f t="shared" si="417"/>
        <v>1.0152765905922709</v>
      </c>
      <c r="DX225" s="107">
        <f t="shared" si="2011"/>
        <v>0.99228841745461904</v>
      </c>
      <c r="DZ225" s="107">
        <f t="shared" si="2012"/>
        <v>1.0099194209932685</v>
      </c>
      <c r="EA225" s="122" t="str">
        <f t="shared" si="1792"/>
        <v>-</v>
      </c>
      <c r="EB225" s="107">
        <f t="shared" si="2013"/>
        <v>0.99335466260599969</v>
      </c>
      <c r="EC225" s="122" t="str">
        <f t="shared" si="1793"/>
        <v>-</v>
      </c>
      <c r="ED225" s="107">
        <f t="shared" si="67"/>
        <v>3.1142660273035783</v>
      </c>
      <c r="EE225" s="107">
        <f t="shared" si="68"/>
        <v>1.9155355211546612</v>
      </c>
      <c r="EF225" s="107">
        <f t="shared" si="1945"/>
        <v>1.5596217233315703</v>
      </c>
      <c r="EH225" s="107">
        <f t="shared" si="2014"/>
        <v>1.0022401463694797</v>
      </c>
      <c r="EJ225" s="107">
        <f t="shared" si="69"/>
        <v>3.1142660273035783</v>
      </c>
      <c r="EK225" s="107">
        <f t="shared" si="1946"/>
        <v>1.9156475939903101</v>
      </c>
      <c r="EL225" s="107">
        <f t="shared" si="1947"/>
        <v>1.8085615700443574</v>
      </c>
      <c r="EM225" s="107">
        <f t="shared" si="2015"/>
        <v>0.98160819938612665</v>
      </c>
      <c r="EO225" s="107">
        <f t="shared" si="1948"/>
        <v>4.8570769484161698</v>
      </c>
      <c r="EP225" s="107">
        <f t="shared" si="70"/>
        <v>3.1142660273035783</v>
      </c>
      <c r="EQ225" s="107">
        <f t="shared" si="1949"/>
        <v>1.5596217233315703</v>
      </c>
      <c r="ER225" s="107">
        <f t="shared" si="1950"/>
        <v>1.6283165284159498</v>
      </c>
      <c r="ES225" s="107">
        <f t="shared" si="2028"/>
        <v>0.98371334704122926</v>
      </c>
      <c r="EU225" s="107">
        <f t="shared" si="1951"/>
        <v>1.7616457711424394</v>
      </c>
      <c r="EV225" s="107">
        <f t="shared" si="71"/>
        <v>3.1142660273035783</v>
      </c>
      <c r="EW225" s="107">
        <f t="shared" si="1952"/>
        <v>0.99650954535539471</v>
      </c>
      <c r="EX225" s="107">
        <f t="shared" si="1953"/>
        <v>1.6428858497330714</v>
      </c>
      <c r="EY225" s="107">
        <f t="shared" si="2029"/>
        <v>0.95991243854747865</v>
      </c>
      <c r="FA225" s="107">
        <f t="shared" si="2030"/>
        <v>1.7616893369685633</v>
      </c>
      <c r="FB225" s="107">
        <f t="shared" si="72"/>
        <v>3.1144200619592541</v>
      </c>
      <c r="FC225" s="107">
        <f t="shared" si="1954"/>
        <v>0.99650954535539471</v>
      </c>
      <c r="FD225" s="107">
        <f t="shared" si="1955"/>
        <v>1.6428858497330714</v>
      </c>
      <c r="FE225" s="107">
        <f t="shared" si="2031"/>
        <v>0.97455616040652737</v>
      </c>
      <c r="FF225" s="141" t="str">
        <f t="shared" si="1794"/>
        <v>-</v>
      </c>
      <c r="FG225" s="107">
        <f t="shared" si="2032"/>
        <v>3.0927165218500203</v>
      </c>
      <c r="FH225" s="133">
        <f t="shared" si="1957"/>
        <v>3.1144200619592541</v>
      </c>
      <c r="FI225" s="133">
        <f t="shared" si="1958"/>
        <v>0.99303127398441549</v>
      </c>
      <c r="FJ225" s="107">
        <f t="shared" si="1959"/>
        <v>0.92386260587536806</v>
      </c>
      <c r="FK225" s="107">
        <f t="shared" si="2033"/>
        <v>0.98433460035362308</v>
      </c>
      <c r="FL225" s="141" t="str">
        <f t="shared" si="1795"/>
        <v>-</v>
      </c>
      <c r="FM225" s="107">
        <f t="shared" si="2034"/>
        <v>5.150225843509439</v>
      </c>
      <c r="FN225" s="133">
        <f t="shared" si="1961"/>
        <v>3.1144200619592541</v>
      </c>
      <c r="FO225" s="133">
        <f t="shared" si="1962"/>
        <v>0.76747772177617124</v>
      </c>
      <c r="FP225" s="133">
        <f t="shared" si="1963"/>
        <v>1.7683280597740134</v>
      </c>
      <c r="FQ225" s="107">
        <f t="shared" si="1964"/>
        <v>1.6283165284159498</v>
      </c>
      <c r="FR225" s="107">
        <f t="shared" si="2035"/>
        <v>0.97725395498808054</v>
      </c>
      <c r="FS225" s="141" t="str">
        <f t="shared" si="1796"/>
        <v>-</v>
      </c>
      <c r="FT225" s="107">
        <f t="shared" si="2036"/>
        <v>5.5073163854856704</v>
      </c>
      <c r="FU225" s="133">
        <f t="shared" si="1966"/>
        <v>3.1144200619592541</v>
      </c>
      <c r="FV225" s="133">
        <f t="shared" si="1967"/>
        <v>1.7683280597740134</v>
      </c>
      <c r="FW225" s="107">
        <f t="shared" si="1968"/>
        <v>1.6283165284159498</v>
      </c>
      <c r="FY225">
        <v>0.95</v>
      </c>
      <c r="FZ225" s="62">
        <f t="shared" si="2074"/>
        <v>0.98872702732232898</v>
      </c>
      <c r="GA225" s="62">
        <f t="shared" si="2075"/>
        <v>1.951180821703814</v>
      </c>
      <c r="GB225" s="107">
        <f t="shared" si="525"/>
        <v>1.4170199048164573</v>
      </c>
      <c r="GC225" s="440"/>
      <c r="GD225" s="17"/>
      <c r="GE225" s="442"/>
      <c r="GF225" s="462"/>
      <c r="GG225" s="17"/>
      <c r="GH225" s="17"/>
      <c r="GI225" s="17"/>
      <c r="GJ225" s="17"/>
      <c r="GL225" s="17"/>
      <c r="GM225" s="442"/>
      <c r="GN225" s="8"/>
      <c r="GO225" s="8"/>
      <c r="GP225" s="8"/>
      <c r="GQ225" s="8"/>
      <c r="GS225" s="17"/>
      <c r="GT225" s="17"/>
      <c r="GU225" s="17"/>
      <c r="GV225" s="629"/>
      <c r="GW225" s="17"/>
      <c r="GX225" s="17"/>
      <c r="GY225" s="17"/>
      <c r="GZ225" s="17"/>
    </row>
    <row r="226" spans="1:208" ht="15.6" x14ac:dyDescent="0.3">
      <c r="A226" s="60" t="s">
        <v>30</v>
      </c>
      <c r="B226" s="218"/>
      <c r="C226" s="61" t="str">
        <f>C224</f>
        <v>Gaffel</v>
      </c>
      <c r="D226" s="61"/>
      <c r="E226" s="61"/>
      <c r="F226" s="61"/>
      <c r="G226" s="54"/>
      <c r="H226" s="204">
        <f>IF(StH=0,0,TBFavrundet)</f>
        <v>98</v>
      </c>
      <c r="I226" s="63">
        <f>COUNTA(O226:AG226)</f>
        <v>3</v>
      </c>
      <c r="J226" s="222">
        <f>SUM(O226:AG226)</f>
        <v>33.9</v>
      </c>
      <c r="K226" s="116">
        <f>Seilareal/Depl^0.667/K$7</f>
        <v>1.0461188710965583</v>
      </c>
      <c r="L226" s="116">
        <f t="shared" si="2050"/>
        <v>1.0407969765459213</v>
      </c>
      <c r="M226" s="92">
        <f t="shared" si="2051"/>
        <v>0.81445427728613573</v>
      </c>
      <c r="N226" s="242">
        <f t="shared" si="2052"/>
        <v>1.0038592732708853</v>
      </c>
      <c r="O226" s="143"/>
      <c r="P226" s="143"/>
      <c r="Q226" s="143"/>
      <c r="R226" s="143"/>
      <c r="S226" s="165">
        <v>4.5</v>
      </c>
      <c r="T226" s="143"/>
      <c r="U226" s="165">
        <v>9.1999999999999993</v>
      </c>
      <c r="V226" s="559"/>
      <c r="W226" s="559"/>
      <c r="X226" s="165">
        <v>20.2</v>
      </c>
      <c r="Y226" s="143"/>
      <c r="Z226" s="143"/>
      <c r="AA226" s="143"/>
      <c r="AB226" s="143"/>
      <c r="AC226" s="143"/>
      <c r="AD226" s="143"/>
      <c r="AE226" s="143"/>
      <c r="AF226" s="143"/>
      <c r="AG226" s="551"/>
      <c r="AH226" s="557">
        <f t="shared" ref="AH226:AI226" si="2084">AH225</f>
        <v>0</v>
      </c>
      <c r="AI226" s="557">
        <f t="shared" si="2084"/>
        <v>7.25</v>
      </c>
      <c r="AJ226" s="337">
        <f t="shared" si="2054"/>
        <v>0</v>
      </c>
      <c r="AK226" s="339"/>
      <c r="AL226" s="337">
        <f t="shared" si="2054"/>
        <v>0</v>
      </c>
      <c r="AM226" s="339"/>
      <c r="AN226" s="267" t="str">
        <f t="shared" ref="AN226" si="2085" xml:space="preserve"> AN225</f>
        <v>Lystb</v>
      </c>
      <c r="AO226" s="45">
        <f>VLOOKUP(AN226,Skrogform!$1:$1048576,3,FALSE)</f>
        <v>0.98</v>
      </c>
      <c r="AP226" s="64">
        <f t="shared" ref="AP226:AZ226" si="2086">AP225</f>
        <v>7.88</v>
      </c>
      <c r="AQ226" s="64">
        <f t="shared" si="2086"/>
        <v>7.03</v>
      </c>
      <c r="AR226" s="64">
        <f t="shared" si="2086"/>
        <v>2.52</v>
      </c>
      <c r="AS226" s="64">
        <f t="shared" si="2086"/>
        <v>1.2</v>
      </c>
      <c r="AT226" s="64">
        <f t="shared" ref="AT226" si="2087">AT225</f>
        <v>5.2</v>
      </c>
      <c r="AU226" s="64">
        <f t="shared" si="2086"/>
        <v>5.2</v>
      </c>
      <c r="AV226" s="64">
        <f t="shared" si="2086"/>
        <v>1.7</v>
      </c>
      <c r="AW226" s="64">
        <f t="shared" si="2086"/>
        <v>0</v>
      </c>
      <c r="AX226" s="256">
        <f t="shared" si="2058"/>
        <v>0</v>
      </c>
      <c r="AY226" s="256">
        <f t="shared" si="2086"/>
        <v>15</v>
      </c>
      <c r="AZ226" s="256">
        <f t="shared" si="2086"/>
        <v>60</v>
      </c>
      <c r="BA226" s="256">
        <f t="shared" ref="BA226:BB226" si="2088">BA225</f>
        <v>0</v>
      </c>
      <c r="BB226" s="256">
        <f t="shared" si="2088"/>
        <v>0</v>
      </c>
      <c r="BC226" s="256"/>
      <c r="BD226" s="66"/>
      <c r="BE226" s="66"/>
      <c r="BF226" s="261"/>
      <c r="BG226" s="66"/>
      <c r="BH226" s="175"/>
      <c r="BI226" s="66"/>
      <c r="BJ226" s="66"/>
      <c r="BK226" s="65" t="str">
        <f t="shared" ref="BK226:BM226" si="2089" xml:space="preserve"> BK225</f>
        <v>Fast</v>
      </c>
      <c r="BL226" s="267">
        <f t="shared" si="2089"/>
        <v>2</v>
      </c>
      <c r="BM226" s="267">
        <f t="shared" si="2089"/>
        <v>38</v>
      </c>
      <c r="BN226" s="45">
        <f t="shared" si="1932"/>
        <v>0.98634917310716319</v>
      </c>
      <c r="BO226" s="59">
        <f t="shared" si="2083"/>
        <v>0</v>
      </c>
      <c r="BP226" s="59"/>
      <c r="BR226" s="49">
        <f t="shared" si="2061"/>
        <v>0</v>
      </c>
      <c r="BS226" s="49">
        <f t="shared" si="2061"/>
        <v>0</v>
      </c>
      <c r="BT226" s="49">
        <f t="shared" si="2061"/>
        <v>0</v>
      </c>
      <c r="BU226" s="49">
        <f t="shared" si="2061"/>
        <v>0</v>
      </c>
      <c r="BV226" s="49">
        <f t="shared" si="2061"/>
        <v>4.5</v>
      </c>
      <c r="BW226" s="49">
        <f t="shared" si="2061"/>
        <v>0</v>
      </c>
      <c r="BX226" s="49">
        <f t="shared" si="2061"/>
        <v>9.1999999999999993</v>
      </c>
      <c r="BY226" s="549">
        <f t="shared" si="2062"/>
        <v>-2.25</v>
      </c>
      <c r="BZ226" s="85">
        <f t="shared" si="2063"/>
        <v>0</v>
      </c>
      <c r="CA226" s="85">
        <f t="shared" si="2063"/>
        <v>0</v>
      </c>
      <c r="CB226" s="85">
        <f t="shared" si="2063"/>
        <v>16.16</v>
      </c>
      <c r="CC226" s="85">
        <f t="shared" si="2063"/>
        <v>0</v>
      </c>
      <c r="CD226" s="85">
        <f t="shared" si="2063"/>
        <v>0</v>
      </c>
      <c r="CE226" s="85">
        <f t="shared" si="2064"/>
        <v>0</v>
      </c>
      <c r="CF226" s="85">
        <f t="shared" si="2065"/>
        <v>0</v>
      </c>
      <c r="CG226" s="85">
        <f t="shared" si="2065"/>
        <v>0</v>
      </c>
      <c r="CH226" s="85">
        <f t="shared" si="2066"/>
        <v>0</v>
      </c>
      <c r="CI226" s="85">
        <f t="shared" si="2066"/>
        <v>0</v>
      </c>
      <c r="CJ226" s="85">
        <f t="shared" si="2066"/>
        <v>0</v>
      </c>
      <c r="CK226" s="85">
        <f t="shared" si="2066"/>
        <v>0</v>
      </c>
      <c r="CL226" s="100">
        <f t="shared" si="2067"/>
        <v>27.61</v>
      </c>
      <c r="CM226" s="50"/>
      <c r="CN226" s="104">
        <f t="shared" si="2068"/>
        <v>33.9</v>
      </c>
      <c r="CO226" s="101">
        <f t="shared" si="2069"/>
        <v>0.81445427728613573</v>
      </c>
      <c r="CP226" s="51">
        <f t="shared" si="2070"/>
        <v>0.68594461047856259</v>
      </c>
      <c r="CQ226" s="116">
        <f t="shared" si="2071"/>
        <v>1.0461188710965583</v>
      </c>
      <c r="CR226" s="51">
        <f t="shared" si="2072"/>
        <v>1.0407969765459213</v>
      </c>
      <c r="CS226" s="204"/>
      <c r="CT226" s="204">
        <f t="shared" si="2073"/>
        <v>98</v>
      </c>
      <c r="CU226" s="107">
        <f t="shared" si="1041"/>
        <v>0.97829055920568442</v>
      </c>
      <c r="CV226" s="62">
        <f t="shared" si="523"/>
        <v>3.0065939916662514</v>
      </c>
      <c r="CW226" s="62">
        <f t="shared" si="998"/>
        <v>1.7199806200458578</v>
      </c>
      <c r="CX226" s="62">
        <f t="shared" si="524"/>
        <v>1.6283165284159498</v>
      </c>
      <c r="CY226" s="107">
        <f t="shared" si="999"/>
        <v>1.0038592732708853</v>
      </c>
      <c r="CZ226" s="168" t="str">
        <f t="shared" si="1875"/>
        <v>-</v>
      </c>
      <c r="DA226" s="158"/>
      <c r="DB226" s="168" t="str">
        <f t="shared" si="1980"/>
        <v>-</v>
      </c>
      <c r="DC226" s="160"/>
      <c r="DD226" s="190" t="s">
        <v>134</v>
      </c>
      <c r="DE226" s="62">
        <v>0.65</v>
      </c>
      <c r="DF226" s="62">
        <v>0.73</v>
      </c>
      <c r="DG226" s="62">
        <v>0.73</v>
      </c>
      <c r="DH226" s="150" t="s">
        <v>102</v>
      </c>
      <c r="DI226" s="62">
        <f t="shared" si="2007"/>
        <v>1.9766239122951021</v>
      </c>
      <c r="DJ226" s="47">
        <f t="shared" si="2008"/>
        <v>11.374407582938389</v>
      </c>
      <c r="DK226" s="48">
        <f t="shared" si="2009"/>
        <v>0</v>
      </c>
      <c r="DM226" s="107">
        <f t="shared" si="2027"/>
        <v>0.95623193694683273</v>
      </c>
      <c r="DN226" s="141" t="str">
        <f t="shared" ref="DN226:DN228" si="2090">IF($DY226=0,"-",(DM226-$DW226)*100)</f>
        <v>-</v>
      </c>
      <c r="DO226" s="107">
        <f t="shared" si="2010"/>
        <v>4.8014459376573209</v>
      </c>
      <c r="DP226" s="133">
        <f>IF(SeilBeregnet=0,DP224,(SeilBeregnet^0.5/(Depl^0.3333))^DP$3*DP$7)</f>
        <v>3.0331178778833072</v>
      </c>
      <c r="DQ226" s="133">
        <f>IF(SeilBeregnet=0,DQ224,(SeilBeregnet^0.5/Lwl)^DQ$3*DQ$7)</f>
        <v>0</v>
      </c>
      <c r="DR226" s="133">
        <f>IF(SeilBeregnet=0,DR224,(0.1*Loa/Depl^0.3333)^DR$3*DR$7)</f>
        <v>0</v>
      </c>
      <c r="DS226" s="133">
        <f>IF(SeilBeregnet=0,DS224,((Loa)/Bredde)^DS$3*DS$7)</f>
        <v>1.7683280597740134</v>
      </c>
      <c r="DT226" s="107">
        <f>IF(SeilBeregnet=0,DT224,(Lwl)^DT$3)</f>
        <v>1.6283165284159498</v>
      </c>
      <c r="DU226" s="133">
        <f>IF(SeilBeregnet=0,DU224,(Dypg/Loa)^DU$3*5*DU$7)</f>
        <v>1.951180821703814</v>
      </c>
      <c r="DW226" s="107">
        <f t="shared" si="417"/>
        <v>0.9982556726588615</v>
      </c>
      <c r="DX226" s="107">
        <f t="shared" si="2011"/>
        <v>0.97276114673007974</v>
      </c>
      <c r="DZ226" s="107">
        <f t="shared" si="2012"/>
        <v>0.99435071792507224</v>
      </c>
      <c r="EA226" s="122" t="str">
        <f t="shared" ref="EA226:EA228" si="2091">IF($DY226=0,"-",DZ226-$DW226)</f>
        <v>-</v>
      </c>
      <c r="EB226" s="107">
        <f t="shared" si="2013"/>
        <v>0.97472951049462975</v>
      </c>
      <c r="EC226" s="122" t="str">
        <f t="shared" ref="EC226:EC228" si="2092">IF($DY226=0,"-",EB226-$DW226)</f>
        <v>-</v>
      </c>
      <c r="ED226" s="107">
        <f t="shared" si="67"/>
        <v>3.032967864314601</v>
      </c>
      <c r="EE226" s="107">
        <f t="shared" si="68"/>
        <v>1.9155355211546612</v>
      </c>
      <c r="EF226" s="107">
        <f t="shared" si="1945"/>
        <v>1.5596217233315703</v>
      </c>
      <c r="EH226" s="107">
        <f t="shared" si="2014"/>
        <v>0.98550926181458198</v>
      </c>
      <c r="EJ226" s="107">
        <f t="shared" si="69"/>
        <v>3.032967864314601</v>
      </c>
      <c r="EK226" s="107">
        <f t="shared" si="1946"/>
        <v>1.9156475939903101</v>
      </c>
      <c r="EL226" s="107">
        <f t="shared" si="1947"/>
        <v>1.8085615700443574</v>
      </c>
      <c r="EM226" s="107">
        <f t="shared" si="2015"/>
        <v>0.96345725766192603</v>
      </c>
      <c r="EO226" s="107">
        <f t="shared" si="1948"/>
        <v>4.73028256735161</v>
      </c>
      <c r="EP226" s="107">
        <f t="shared" si="70"/>
        <v>3.032967864314601</v>
      </c>
      <c r="EQ226" s="107">
        <f t="shared" si="1949"/>
        <v>1.5596217233315703</v>
      </c>
      <c r="ER226" s="107">
        <f t="shared" si="1950"/>
        <v>1.6283165284159498</v>
      </c>
      <c r="ES226" s="107">
        <f t="shared" si="2028"/>
        <v>0.96566625552783403</v>
      </c>
      <c r="EU226" s="107">
        <f t="shared" si="1951"/>
        <v>1.7384997634586163</v>
      </c>
      <c r="EV226" s="107">
        <f t="shared" si="71"/>
        <v>3.032967864314601</v>
      </c>
      <c r="EW226" s="107">
        <f t="shared" si="1952"/>
        <v>0.99650954535539471</v>
      </c>
      <c r="EX226" s="107">
        <f t="shared" si="1953"/>
        <v>1.6428858497330714</v>
      </c>
      <c r="EY226" s="107">
        <f t="shared" si="2029"/>
        <v>0.94730028856683401</v>
      </c>
      <c r="FA226" s="107">
        <f t="shared" si="2030"/>
        <v>1.7385427568796845</v>
      </c>
      <c r="FB226" s="107">
        <f t="shared" si="72"/>
        <v>3.0331178778833072</v>
      </c>
      <c r="FC226" s="107">
        <f t="shared" si="1954"/>
        <v>0.99650954535539471</v>
      </c>
      <c r="FD226" s="107">
        <f t="shared" si="1955"/>
        <v>1.6428858497330714</v>
      </c>
      <c r="FE226" s="107">
        <f t="shared" si="2031"/>
        <v>0.95910637301970703</v>
      </c>
      <c r="FF226" s="141" t="str">
        <f t="shared" ref="FF226:FF228" si="2093">IF($DY226=0,"-",(FE226-$DW226)*100)</f>
        <v>-</v>
      </c>
      <c r="FG226" s="107">
        <f t="shared" si="2032"/>
        <v>3.0119809104193673</v>
      </c>
      <c r="FH226" s="133">
        <f t="shared" si="1957"/>
        <v>3.0331178778833072</v>
      </c>
      <c r="FI226" s="133">
        <f t="shared" si="1958"/>
        <v>0.99303127398441549</v>
      </c>
      <c r="FJ226" s="107">
        <f t="shared" si="1959"/>
        <v>0.92386260587536806</v>
      </c>
      <c r="FK226" s="107">
        <f t="shared" si="2033"/>
        <v>0.96496656374767276</v>
      </c>
      <c r="FL226" s="141" t="str">
        <f t="shared" ref="FL226:FL228" si="2094">IF($DY226=0,"-",(FK226-$DW226)*100)</f>
        <v>-</v>
      </c>
      <c r="FM226" s="107">
        <f t="shared" si="2034"/>
        <v>5.0488885923042428</v>
      </c>
      <c r="FN226" s="133">
        <f t="shared" si="1961"/>
        <v>3.0331178778833072</v>
      </c>
      <c r="FO226" s="133">
        <f t="shared" si="1962"/>
        <v>0.74744265464692172</v>
      </c>
      <c r="FP226" s="133">
        <f t="shared" si="1963"/>
        <v>1.7683280597740134</v>
      </c>
      <c r="FQ226" s="107">
        <f t="shared" si="1964"/>
        <v>1.6283165284159498</v>
      </c>
      <c r="FR226" s="107">
        <f t="shared" si="2035"/>
        <v>0.96247599314324717</v>
      </c>
      <c r="FS226" s="141" t="str">
        <f t="shared" ref="FS226:FS228" si="2095">IF($DY226=0,"-",(FR226-$DW226)*100)</f>
        <v>-</v>
      </c>
      <c r="FT226" s="107">
        <f t="shared" si="2036"/>
        <v>5.363547452063262</v>
      </c>
      <c r="FU226" s="133">
        <f t="shared" si="1966"/>
        <v>3.0331178778833072</v>
      </c>
      <c r="FV226" s="133">
        <f t="shared" si="1967"/>
        <v>1.7683280597740134</v>
      </c>
      <c r="FW226" s="107">
        <f t="shared" si="1968"/>
        <v>1.6283165284159498</v>
      </c>
      <c r="FY226">
        <v>0.95</v>
      </c>
      <c r="FZ226" s="62">
        <f t="shared" si="2074"/>
        <v>0.97696464830630059</v>
      </c>
      <c r="GA226" s="62">
        <f t="shared" si="2075"/>
        <v>1.951180821703814</v>
      </c>
      <c r="GB226" s="107">
        <f t="shared" si="525"/>
        <v>1.4045805525833126</v>
      </c>
      <c r="GC226" s="440"/>
      <c r="GD226" s="17"/>
      <c r="GE226" s="442"/>
      <c r="GF226" s="462"/>
      <c r="GG226" s="17"/>
      <c r="GH226" s="17"/>
      <c r="GI226" s="17"/>
      <c r="GJ226" s="17"/>
      <c r="GL226" s="17"/>
      <c r="GM226" s="442"/>
      <c r="GN226" s="8"/>
      <c r="GO226" s="8"/>
      <c r="GP226" s="8"/>
      <c r="GQ226" s="8"/>
      <c r="GS226" s="17"/>
      <c r="GT226" s="17"/>
      <c r="GU226" s="17"/>
      <c r="GV226" s="629"/>
      <c r="GW226" s="17"/>
      <c r="GX226" s="17"/>
      <c r="GY226" s="17"/>
      <c r="GZ226" s="17"/>
    </row>
    <row r="227" spans="1:208" ht="15.6" x14ac:dyDescent="0.3">
      <c r="A227" s="60" t="s">
        <v>34</v>
      </c>
      <c r="B227" s="218"/>
      <c r="C227" s="61" t="str">
        <f>C224</f>
        <v>Gaffel</v>
      </c>
      <c r="D227" s="61"/>
      <c r="E227" s="61"/>
      <c r="F227" s="61"/>
      <c r="G227" s="54"/>
      <c r="H227" s="204">
        <f t="shared" ref="H227:H229" si="2096">TBFavrundet</f>
        <v>94.5</v>
      </c>
      <c r="I227" s="63">
        <f t="shared" ref="I227:I229" si="2097">COUNTA(O227:AG227)</f>
        <v>3</v>
      </c>
      <c r="J227" s="222">
        <f t="shared" ref="J227:J229" si="2098">SUM(O227:AG227)</f>
        <v>30.7</v>
      </c>
      <c r="K227" s="116">
        <f t="shared" ref="K227:K229" si="2099">Seilareal/Depl^0.667/K$7</f>
        <v>0.94737018709924314</v>
      </c>
      <c r="L227" s="116">
        <f t="shared" si="2050"/>
        <v>0.94255065427609985</v>
      </c>
      <c r="M227" s="92">
        <f t="shared" si="2051"/>
        <v>0.80488599348534207</v>
      </c>
      <c r="N227" s="242">
        <f t="shared" si="2052"/>
        <v>1.0038592732708853</v>
      </c>
      <c r="O227" s="143"/>
      <c r="P227" s="143"/>
      <c r="Q227" s="143"/>
      <c r="R227" s="143"/>
      <c r="S227" s="165">
        <v>4.5</v>
      </c>
      <c r="T227" s="143"/>
      <c r="U227" s="165">
        <v>9.1999999999999993</v>
      </c>
      <c r="V227" s="559"/>
      <c r="W227" s="559"/>
      <c r="X227" s="143"/>
      <c r="Y227" s="177">
        <v>17</v>
      </c>
      <c r="Z227" s="143"/>
      <c r="AA227" s="143"/>
      <c r="AB227" s="143"/>
      <c r="AC227" s="143"/>
      <c r="AD227" s="143"/>
      <c r="AE227" s="143"/>
      <c r="AF227" s="143"/>
      <c r="AG227" s="551"/>
      <c r="AH227" s="557">
        <f t="shared" ref="AH227:AI227" si="2100">AH226</f>
        <v>0</v>
      </c>
      <c r="AI227" s="557">
        <f t="shared" si="2100"/>
        <v>7.25</v>
      </c>
      <c r="AJ227" s="337">
        <f t="shared" si="2054"/>
        <v>0</v>
      </c>
      <c r="AK227" s="339"/>
      <c r="AL227" s="337">
        <f t="shared" si="2054"/>
        <v>0</v>
      </c>
      <c r="AM227" s="339"/>
      <c r="AN227" s="267" t="str">
        <f t="shared" ref="AN227" si="2101" xml:space="preserve"> AN226</f>
        <v>Lystb</v>
      </c>
      <c r="AO227" s="45">
        <f>VLOOKUP(AN227,Skrogform!$1:$1048576,3,FALSE)</f>
        <v>0.98</v>
      </c>
      <c r="AP227" s="64">
        <f t="shared" ref="AP227:AZ227" si="2102">AP226</f>
        <v>7.88</v>
      </c>
      <c r="AQ227" s="64">
        <f t="shared" si="2102"/>
        <v>7.03</v>
      </c>
      <c r="AR227" s="64">
        <f t="shared" si="2102"/>
        <v>2.52</v>
      </c>
      <c r="AS227" s="64">
        <f t="shared" si="2102"/>
        <v>1.2</v>
      </c>
      <c r="AT227" s="64">
        <f t="shared" ref="AT227" si="2103">AT226</f>
        <v>5.2</v>
      </c>
      <c r="AU227" s="64">
        <f t="shared" si="2102"/>
        <v>5.2</v>
      </c>
      <c r="AV227" s="64">
        <f t="shared" si="2102"/>
        <v>1.7</v>
      </c>
      <c r="AW227" s="64">
        <f t="shared" si="2102"/>
        <v>0</v>
      </c>
      <c r="AX227" s="256">
        <f t="shared" si="2058"/>
        <v>0</v>
      </c>
      <c r="AY227" s="256">
        <f t="shared" si="2102"/>
        <v>15</v>
      </c>
      <c r="AZ227" s="256">
        <f t="shared" si="2102"/>
        <v>60</v>
      </c>
      <c r="BA227" s="256">
        <f t="shared" ref="BA227:BB227" si="2104">BA226</f>
        <v>0</v>
      </c>
      <c r="BB227" s="256">
        <f t="shared" si="2104"/>
        <v>0</v>
      </c>
      <c r="BC227" s="256"/>
      <c r="BD227" s="66"/>
      <c r="BE227" s="66"/>
      <c r="BF227" s="261"/>
      <c r="BG227" s="66"/>
      <c r="BH227" s="175"/>
      <c r="BI227" s="66"/>
      <c r="BJ227" s="66"/>
      <c r="BK227" s="65" t="str">
        <f t="shared" ref="BK227:BM227" si="2105" xml:space="preserve"> BK226</f>
        <v>Fast</v>
      </c>
      <c r="BL227" s="267">
        <f t="shared" si="2105"/>
        <v>2</v>
      </c>
      <c r="BM227" s="267">
        <f t="shared" si="2105"/>
        <v>38</v>
      </c>
      <c r="BN227" s="45">
        <f t="shared" si="1932"/>
        <v>0.98634917310716319</v>
      </c>
      <c r="BO227" s="59">
        <f t="shared" si="2083"/>
        <v>0</v>
      </c>
      <c r="BP227" s="59"/>
      <c r="BR227" s="49">
        <f t="shared" si="2061"/>
        <v>0</v>
      </c>
      <c r="BS227" s="49">
        <f t="shared" si="2061"/>
        <v>0</v>
      </c>
      <c r="BT227" s="49">
        <f t="shared" si="2061"/>
        <v>0</v>
      </c>
      <c r="BU227" s="49">
        <f t="shared" si="2061"/>
        <v>0</v>
      </c>
      <c r="BV227" s="49">
        <f t="shared" si="2061"/>
        <v>4.5</v>
      </c>
      <c r="BW227" s="49">
        <f t="shared" si="2061"/>
        <v>0</v>
      </c>
      <c r="BX227" s="49">
        <f t="shared" si="2061"/>
        <v>9.1999999999999993</v>
      </c>
      <c r="BY227" s="549">
        <f t="shared" si="2062"/>
        <v>-2.25</v>
      </c>
      <c r="BZ227" s="85">
        <f t="shared" si="2063"/>
        <v>0</v>
      </c>
      <c r="CA227" s="85">
        <f t="shared" si="2063"/>
        <v>0</v>
      </c>
      <c r="CB227" s="85">
        <f t="shared" si="2063"/>
        <v>0</v>
      </c>
      <c r="CC227" s="85">
        <f t="shared" si="2063"/>
        <v>13.26</v>
      </c>
      <c r="CD227" s="85">
        <f t="shared" si="2063"/>
        <v>0</v>
      </c>
      <c r="CE227" s="85">
        <f t="shared" si="2064"/>
        <v>0</v>
      </c>
      <c r="CF227" s="85">
        <f t="shared" si="2065"/>
        <v>0</v>
      </c>
      <c r="CG227" s="85">
        <f t="shared" si="2065"/>
        <v>0</v>
      </c>
      <c r="CH227" s="85">
        <f t="shared" si="2066"/>
        <v>0</v>
      </c>
      <c r="CI227" s="85">
        <f t="shared" si="2066"/>
        <v>0</v>
      </c>
      <c r="CJ227" s="85">
        <f t="shared" si="2066"/>
        <v>0</v>
      </c>
      <c r="CK227" s="85">
        <f t="shared" si="2066"/>
        <v>0</v>
      </c>
      <c r="CL227" s="100">
        <f t="shared" si="2067"/>
        <v>24.71</v>
      </c>
      <c r="CM227" s="50"/>
      <c r="CN227" s="104">
        <f t="shared" si="2068"/>
        <v>30.7</v>
      </c>
      <c r="CO227" s="101">
        <f t="shared" si="2069"/>
        <v>0.80488599348534207</v>
      </c>
      <c r="CP227" s="51">
        <f t="shared" si="2070"/>
        <v>0.62119467674607298</v>
      </c>
      <c r="CQ227" s="116">
        <f t="shared" si="2071"/>
        <v>0.94737018709924314</v>
      </c>
      <c r="CR227" s="51">
        <f t="shared" si="2072"/>
        <v>0.94255065427609985</v>
      </c>
      <c r="CS227" s="204"/>
      <c r="CT227" s="204">
        <f t="shared" si="2073"/>
        <v>94.5</v>
      </c>
      <c r="CU227" s="107">
        <f t="shared" si="1041"/>
        <v>0.94470295432357987</v>
      </c>
      <c r="CV227" s="62">
        <f t="shared" si="523"/>
        <v>2.8443167223927226</v>
      </c>
      <c r="CW227" s="62">
        <f t="shared" si="998"/>
        <v>1.7199806200458578</v>
      </c>
      <c r="CX227" s="62">
        <f t="shared" si="524"/>
        <v>1.6283165284159498</v>
      </c>
      <c r="CY227" s="107">
        <f t="shared" si="999"/>
        <v>1.0038592732708853</v>
      </c>
      <c r="CZ227" s="168" t="str">
        <f t="shared" si="1875"/>
        <v>-</v>
      </c>
      <c r="DA227" s="158"/>
      <c r="DB227" s="168" t="str">
        <f t="shared" si="1980"/>
        <v>-</v>
      </c>
      <c r="DC227" s="160"/>
      <c r="DD227" s="190" t="s">
        <v>134</v>
      </c>
      <c r="DE227" s="62">
        <v>0.65</v>
      </c>
      <c r="DF227" s="62">
        <v>0.73</v>
      </c>
      <c r="DG227" s="62">
        <v>0.73</v>
      </c>
      <c r="DH227" s="150" t="s">
        <v>102</v>
      </c>
      <c r="DI227" s="62">
        <f t="shared" si="2007"/>
        <v>1.9766239122951021</v>
      </c>
      <c r="DJ227" s="47">
        <f t="shared" si="2008"/>
        <v>11.374407582938389</v>
      </c>
      <c r="DK227" s="48">
        <f t="shared" si="2009"/>
        <v>0</v>
      </c>
      <c r="DM227" s="107">
        <f t="shared" si="2027"/>
        <v>0.92362849913612255</v>
      </c>
      <c r="DN227" s="141" t="str">
        <f t="shared" si="2090"/>
        <v>-</v>
      </c>
      <c r="DO227" s="107">
        <f t="shared" si="2010"/>
        <v>4.6377370737495456</v>
      </c>
      <c r="DP227" s="133">
        <f>IF(SeilBeregnet=0,DP224,(SeilBeregnet^0.5/(Depl^0.3333))^DP$3*DP$7)</f>
        <v>2.8694090139755319</v>
      </c>
      <c r="DQ227" s="133">
        <f>IF(SeilBeregnet=0,DQ224,(SeilBeregnet^0.5/Lwl)^DQ$3*DQ$7)</f>
        <v>0</v>
      </c>
      <c r="DR227" s="133">
        <f>IF(SeilBeregnet=0,DR224,(0.1*Loa/Depl^0.3333)^DR$3*DR$7)</f>
        <v>0</v>
      </c>
      <c r="DS227" s="133">
        <f>IF(SeilBeregnet=0,DS224,((Loa)/Bredde)^DS$3*DS$7)</f>
        <v>1.7683280597740134</v>
      </c>
      <c r="DT227" s="107">
        <f>IF(SeilBeregnet=0,DT224,(Lwl)^DT$3)</f>
        <v>1.6283165284159498</v>
      </c>
      <c r="DU227" s="133">
        <f>IF(SeilBeregnet=0,DU224,(Dypg/Loa)^DU$3*5*DU$7)</f>
        <v>1.951180821703814</v>
      </c>
      <c r="DW227" s="107">
        <f t="shared" si="417"/>
        <v>0.96398260645263245</v>
      </c>
      <c r="DX227" s="107">
        <f t="shared" si="2011"/>
        <v>0.93344132596674534</v>
      </c>
      <c r="DZ227" s="107">
        <f t="shared" si="2012"/>
        <v>0.96300180988797768</v>
      </c>
      <c r="EA227" s="122" t="str">
        <f t="shared" si="2091"/>
        <v>-</v>
      </c>
      <c r="EB227" s="107">
        <f t="shared" si="2013"/>
        <v>0.93722618230096688</v>
      </c>
      <c r="EC227" s="122" t="str">
        <f t="shared" si="2092"/>
        <v>-</v>
      </c>
      <c r="ED227" s="107">
        <f t="shared" si="67"/>
        <v>2.8692670972075081</v>
      </c>
      <c r="EE227" s="107">
        <f t="shared" si="68"/>
        <v>1.9155355211546612</v>
      </c>
      <c r="EF227" s="107">
        <f t="shared" si="1945"/>
        <v>1.5596217233315703</v>
      </c>
      <c r="EH227" s="107">
        <f t="shared" si="2014"/>
        <v>0.95182020248874799</v>
      </c>
      <c r="EJ227" s="107">
        <f t="shared" si="69"/>
        <v>2.8692670972075081</v>
      </c>
      <c r="EK227" s="107">
        <f t="shared" si="1946"/>
        <v>1.9156475939903101</v>
      </c>
      <c r="EL227" s="107">
        <f t="shared" si="1947"/>
        <v>1.8085615700443574</v>
      </c>
      <c r="EM227" s="107">
        <f t="shared" si="2015"/>
        <v>0.92690879242328794</v>
      </c>
      <c r="EO227" s="107">
        <f t="shared" si="1948"/>
        <v>4.4749712948453464</v>
      </c>
      <c r="EP227" s="107">
        <f t="shared" si="70"/>
        <v>2.8692670972075081</v>
      </c>
      <c r="EQ227" s="107">
        <f t="shared" si="1949"/>
        <v>1.5596217233315703</v>
      </c>
      <c r="ER227" s="107">
        <f t="shared" si="1950"/>
        <v>1.6283165284159498</v>
      </c>
      <c r="ES227" s="107">
        <f t="shared" si="2028"/>
        <v>0.92857759909265103</v>
      </c>
      <c r="EU227" s="107">
        <f t="shared" si="1951"/>
        <v>1.6909323021757694</v>
      </c>
      <c r="EV227" s="107">
        <f t="shared" si="71"/>
        <v>2.8692670972075081</v>
      </c>
      <c r="EW227" s="107">
        <f t="shared" si="1952"/>
        <v>0.99650954535539471</v>
      </c>
      <c r="EX227" s="107">
        <f t="shared" si="1953"/>
        <v>1.6428858497330714</v>
      </c>
      <c r="EY227" s="107">
        <f t="shared" si="2029"/>
        <v>0.92138100416613433</v>
      </c>
      <c r="FA227" s="107">
        <f t="shared" si="2030"/>
        <v>1.6909741192447119</v>
      </c>
      <c r="FB227" s="107">
        <f t="shared" si="72"/>
        <v>2.8694090139755319</v>
      </c>
      <c r="FC227" s="107">
        <f t="shared" si="1954"/>
        <v>0.99650954535539471</v>
      </c>
      <c r="FD227" s="107">
        <f t="shared" si="1955"/>
        <v>1.6428858497330714</v>
      </c>
      <c r="FE227" s="107">
        <f t="shared" si="2031"/>
        <v>0.92799691182306321</v>
      </c>
      <c r="FF227" s="141" t="str">
        <f t="shared" si="2093"/>
        <v>-</v>
      </c>
      <c r="FG227" s="107">
        <f t="shared" si="2032"/>
        <v>2.8494128887304879</v>
      </c>
      <c r="FH227" s="133">
        <f t="shared" si="1957"/>
        <v>2.8694090139755319</v>
      </c>
      <c r="FI227" s="133">
        <f t="shared" si="1958"/>
        <v>0.99303127398441549</v>
      </c>
      <c r="FJ227" s="107">
        <f t="shared" si="1959"/>
        <v>0.92386260587536806</v>
      </c>
      <c r="FK227" s="107">
        <f t="shared" si="2033"/>
        <v>0.92596737442795607</v>
      </c>
      <c r="FL227" s="141" t="str">
        <f t="shared" si="2094"/>
        <v>-</v>
      </c>
      <c r="FM227" s="107">
        <f t="shared" si="2034"/>
        <v>4.8448374163746699</v>
      </c>
      <c r="FN227" s="133">
        <f t="shared" si="1961"/>
        <v>2.8694090139755319</v>
      </c>
      <c r="FO227" s="133">
        <f t="shared" si="1962"/>
        <v>0.70710034262512478</v>
      </c>
      <c r="FP227" s="133">
        <f t="shared" si="1963"/>
        <v>1.7683280597740134</v>
      </c>
      <c r="FQ227" s="107">
        <f t="shared" si="1964"/>
        <v>1.6283165284159498</v>
      </c>
      <c r="FR227" s="107">
        <f t="shared" si="2035"/>
        <v>0.9327193098267178</v>
      </c>
      <c r="FS227" s="141" t="str">
        <f t="shared" si="2095"/>
        <v>-</v>
      </c>
      <c r="FT227" s="107">
        <f t="shared" si="2036"/>
        <v>5.0740564743814174</v>
      </c>
      <c r="FU227" s="133">
        <f t="shared" si="1966"/>
        <v>2.8694090139755319</v>
      </c>
      <c r="FV227" s="133">
        <f t="shared" si="1967"/>
        <v>1.7683280597740134</v>
      </c>
      <c r="FW227" s="107">
        <f t="shared" si="1968"/>
        <v>1.6283165284159498</v>
      </c>
      <c r="FY227">
        <v>0.95</v>
      </c>
      <c r="FZ227" s="62">
        <f t="shared" si="2074"/>
        <v>0.95328009754727161</v>
      </c>
      <c r="GA227" s="62">
        <f t="shared" si="2075"/>
        <v>1.951180821703814</v>
      </c>
      <c r="GB227" s="107">
        <f t="shared" si="525"/>
        <v>1.3788415886499465</v>
      </c>
      <c r="GC227" s="440"/>
      <c r="GD227" s="17"/>
      <c r="GE227" s="442"/>
      <c r="GF227" s="462"/>
      <c r="GG227" s="17"/>
      <c r="GH227" s="17"/>
      <c r="GI227" s="17"/>
      <c r="GJ227" s="17"/>
      <c r="GL227" s="17"/>
      <c r="GM227" s="442"/>
      <c r="GN227" s="8"/>
      <c r="GO227" s="8"/>
      <c r="GP227" s="8"/>
      <c r="GQ227" s="8"/>
      <c r="GS227" s="17"/>
      <c r="GT227" s="17"/>
      <c r="GU227" s="17"/>
      <c r="GV227" s="629"/>
      <c r="GW227" s="17"/>
      <c r="GX227" s="17"/>
      <c r="GY227" s="17"/>
      <c r="GZ227" s="17"/>
    </row>
    <row r="228" spans="1:208" ht="15.6" x14ac:dyDescent="0.3">
      <c r="A228" s="60" t="s">
        <v>35</v>
      </c>
      <c r="B228" s="218"/>
      <c r="C228" s="61" t="str">
        <f>C224</f>
        <v>Gaffel</v>
      </c>
      <c r="D228" s="61"/>
      <c r="E228" s="61"/>
      <c r="F228" s="61"/>
      <c r="G228" s="54"/>
      <c r="H228" s="204">
        <f t="shared" si="2096"/>
        <v>91.5</v>
      </c>
      <c r="I228" s="63">
        <f t="shared" si="2097"/>
        <v>2</v>
      </c>
      <c r="J228" s="222">
        <f t="shared" si="2098"/>
        <v>26.2</v>
      </c>
      <c r="K228" s="116">
        <f t="shared" si="2099"/>
        <v>0.80850485022801866</v>
      </c>
      <c r="L228" s="116">
        <f t="shared" si="2050"/>
        <v>0.80439176358416331</v>
      </c>
      <c r="M228" s="92">
        <f t="shared" si="2051"/>
        <v>0.85725190839694665</v>
      </c>
      <c r="N228" s="242">
        <f t="shared" si="2052"/>
        <v>1.0038592732708853</v>
      </c>
      <c r="O228" s="143"/>
      <c r="P228" s="143"/>
      <c r="Q228" s="143"/>
      <c r="R228" s="143"/>
      <c r="S228" s="143"/>
      <c r="T228" s="143"/>
      <c r="U228" s="165">
        <v>9.1999999999999993</v>
      </c>
      <c r="V228" s="559"/>
      <c r="W228" s="559"/>
      <c r="X228" s="143"/>
      <c r="Y228" s="177">
        <v>17</v>
      </c>
      <c r="Z228" s="143"/>
      <c r="AA228" s="143"/>
      <c r="AB228" s="143"/>
      <c r="AC228" s="143"/>
      <c r="AD228" s="143"/>
      <c r="AE228" s="143"/>
      <c r="AF228" s="143"/>
      <c r="AG228" s="551"/>
      <c r="AH228" s="557">
        <f t="shared" ref="AH228:AI228" si="2106">AH227</f>
        <v>0</v>
      </c>
      <c r="AI228" s="557">
        <f t="shared" si="2106"/>
        <v>7.25</v>
      </c>
      <c r="AJ228" s="337">
        <f t="shared" si="2054"/>
        <v>0</v>
      </c>
      <c r="AK228" s="339"/>
      <c r="AL228" s="337">
        <f t="shared" si="2054"/>
        <v>0</v>
      </c>
      <c r="AM228" s="339"/>
      <c r="AN228" s="267" t="str">
        <f t="shared" ref="AN228" si="2107" xml:space="preserve"> AN227</f>
        <v>Lystb</v>
      </c>
      <c r="AO228" s="45">
        <f>VLOOKUP(AN228,Skrogform!$1:$1048576,3,FALSE)</f>
        <v>0.98</v>
      </c>
      <c r="AP228" s="64">
        <f t="shared" ref="AP228:AZ228" si="2108">AP227</f>
        <v>7.88</v>
      </c>
      <c r="AQ228" s="64">
        <f t="shared" si="2108"/>
        <v>7.03</v>
      </c>
      <c r="AR228" s="64">
        <f t="shared" si="2108"/>
        <v>2.52</v>
      </c>
      <c r="AS228" s="64">
        <f t="shared" si="2108"/>
        <v>1.2</v>
      </c>
      <c r="AT228" s="64">
        <f t="shared" ref="AT228" si="2109">AT227</f>
        <v>5.2</v>
      </c>
      <c r="AU228" s="64">
        <f t="shared" si="2108"/>
        <v>5.2</v>
      </c>
      <c r="AV228" s="64">
        <f t="shared" si="2108"/>
        <v>1.7</v>
      </c>
      <c r="AW228" s="64">
        <f t="shared" si="2108"/>
        <v>0</v>
      </c>
      <c r="AX228" s="256">
        <f t="shared" si="2058"/>
        <v>0</v>
      </c>
      <c r="AY228" s="256">
        <f t="shared" si="2108"/>
        <v>15</v>
      </c>
      <c r="AZ228" s="256">
        <f t="shared" si="2108"/>
        <v>60</v>
      </c>
      <c r="BA228" s="256">
        <f t="shared" ref="BA228:BB228" si="2110">BA227</f>
        <v>0</v>
      </c>
      <c r="BB228" s="256">
        <f t="shared" si="2110"/>
        <v>0</v>
      </c>
      <c r="BC228" s="256"/>
      <c r="BD228" s="66"/>
      <c r="BE228" s="66"/>
      <c r="BF228" s="261"/>
      <c r="BG228" s="66"/>
      <c r="BH228" s="175"/>
      <c r="BI228" s="66"/>
      <c r="BJ228" s="66"/>
      <c r="BK228" s="65" t="str">
        <f t="shared" ref="BK228:BM228" si="2111" xml:space="preserve"> BK227</f>
        <v>Fast</v>
      </c>
      <c r="BL228" s="267">
        <f t="shared" si="2111"/>
        <v>2</v>
      </c>
      <c r="BM228" s="267">
        <f t="shared" si="2111"/>
        <v>38</v>
      </c>
      <c r="BN228" s="45">
        <f t="shared" si="1932"/>
        <v>0.98634917310716319</v>
      </c>
      <c r="BO228" s="59">
        <f t="shared" si="2083"/>
        <v>0</v>
      </c>
      <c r="BP228" s="59"/>
      <c r="BR228" s="49">
        <f t="shared" si="2061"/>
        <v>0</v>
      </c>
      <c r="BS228" s="49">
        <f t="shared" si="2061"/>
        <v>0</v>
      </c>
      <c r="BT228" s="49">
        <f t="shared" si="2061"/>
        <v>0</v>
      </c>
      <c r="BU228" s="49">
        <f t="shared" si="2061"/>
        <v>0</v>
      </c>
      <c r="BV228" s="49">
        <f t="shared" si="2061"/>
        <v>0</v>
      </c>
      <c r="BW228" s="49">
        <f t="shared" si="2061"/>
        <v>0</v>
      </c>
      <c r="BX228" s="49">
        <f t="shared" si="2061"/>
        <v>9.1999999999999993</v>
      </c>
      <c r="BY228" s="549">
        <f t="shared" si="2062"/>
        <v>0</v>
      </c>
      <c r="BZ228" s="85">
        <f t="shared" si="2063"/>
        <v>0</v>
      </c>
      <c r="CA228" s="85">
        <f t="shared" si="2063"/>
        <v>0</v>
      </c>
      <c r="CB228" s="85">
        <f t="shared" si="2063"/>
        <v>0</v>
      </c>
      <c r="CC228" s="85">
        <f t="shared" si="2063"/>
        <v>13.26</v>
      </c>
      <c r="CD228" s="85">
        <f t="shared" si="2063"/>
        <v>0</v>
      </c>
      <c r="CE228" s="85">
        <f t="shared" si="2064"/>
        <v>0</v>
      </c>
      <c r="CF228" s="85">
        <f t="shared" si="2065"/>
        <v>0</v>
      </c>
      <c r="CG228" s="85">
        <f t="shared" si="2065"/>
        <v>0</v>
      </c>
      <c r="CH228" s="85">
        <f t="shared" si="2066"/>
        <v>0</v>
      </c>
      <c r="CI228" s="85">
        <f t="shared" si="2066"/>
        <v>0</v>
      </c>
      <c r="CJ228" s="85">
        <f t="shared" si="2066"/>
        <v>0</v>
      </c>
      <c r="CK228" s="85">
        <f t="shared" si="2066"/>
        <v>0</v>
      </c>
      <c r="CL228" s="100">
        <f t="shared" si="2067"/>
        <v>22.46</v>
      </c>
      <c r="CM228" s="50"/>
      <c r="CN228" s="104">
        <f t="shared" si="2068"/>
        <v>26.2</v>
      </c>
      <c r="CO228" s="101">
        <f t="shared" si="2069"/>
        <v>0.85725190839694665</v>
      </c>
      <c r="CP228" s="51">
        <f t="shared" si="2070"/>
        <v>0.5301400824347593</v>
      </c>
      <c r="CQ228" s="116">
        <f t="shared" si="2071"/>
        <v>0.80850485022801866</v>
      </c>
      <c r="CR228" s="51">
        <f t="shared" si="2072"/>
        <v>0.80439176358416331</v>
      </c>
      <c r="CS228" s="204"/>
      <c r="CT228" s="204">
        <f t="shared" si="2073"/>
        <v>91.5</v>
      </c>
      <c r="CU228" s="107">
        <f t="shared" si="1041"/>
        <v>0.91726061491276289</v>
      </c>
      <c r="CV228" s="62">
        <f t="shared" si="523"/>
        <v>2.7117300756908778</v>
      </c>
      <c r="CW228" s="62">
        <f t="shared" si="998"/>
        <v>1.7199806200458578</v>
      </c>
      <c r="CX228" s="62">
        <f t="shared" si="524"/>
        <v>1.6283165284159498</v>
      </c>
      <c r="CY228" s="107">
        <f t="shared" si="999"/>
        <v>1.0038592732708853</v>
      </c>
      <c r="CZ228" s="168" t="str">
        <f t="shared" si="1875"/>
        <v>-</v>
      </c>
      <c r="DA228" s="158"/>
      <c r="DB228" s="168" t="str">
        <f t="shared" si="1980"/>
        <v>-</v>
      </c>
      <c r="DC228" s="160"/>
      <c r="DD228" s="190" t="s">
        <v>134</v>
      </c>
      <c r="DE228" s="62">
        <v>0.65</v>
      </c>
      <c r="DF228" s="62">
        <v>0.73</v>
      </c>
      <c r="DG228" s="62">
        <v>0.73</v>
      </c>
      <c r="DH228" s="150" t="s">
        <v>102</v>
      </c>
      <c r="DI228" s="62">
        <f t="shared" si="2007"/>
        <v>1.9766239122951021</v>
      </c>
      <c r="DJ228" s="47">
        <f t="shared" si="2008"/>
        <v>11.374407582938389</v>
      </c>
      <c r="DK228" s="48">
        <f t="shared" si="2009"/>
        <v>0</v>
      </c>
      <c r="DM228" s="107">
        <f t="shared" si="2027"/>
        <v>0.8969902613248375</v>
      </c>
      <c r="DN228" s="141" t="str">
        <f t="shared" si="2090"/>
        <v>-</v>
      </c>
      <c r="DO228" s="107">
        <f t="shared" si="2010"/>
        <v>4.5039807602617064</v>
      </c>
      <c r="DP228" s="133">
        <f>IF(SeilBeregnet=0,DP224,(SeilBeregnet^0.5/(Depl^0.3333))^DP$3*DP$7)</f>
        <v>2.7356527004876932</v>
      </c>
      <c r="DQ228" s="133">
        <f>IF(SeilBeregnet=0,DQ224,(SeilBeregnet^0.5/Lwl)^DQ$3*DQ$7)</f>
        <v>0</v>
      </c>
      <c r="DR228" s="133">
        <f>IF(SeilBeregnet=0,DR224,(0.1*Loa/Depl^0.3333)^DR$3*DR$7)</f>
        <v>0</v>
      </c>
      <c r="DS228" s="133">
        <f>IF(SeilBeregnet=0,DS224,((Loa)/Bredde)^DS$3*DS$7)</f>
        <v>1.7683280597740134</v>
      </c>
      <c r="DT228" s="107">
        <f>IF(SeilBeregnet=0,DT224,(Lwl)^DT$3)</f>
        <v>1.6283165284159498</v>
      </c>
      <c r="DU228" s="133">
        <f>IF(SeilBeregnet=0,DU224,(Dypg/Loa)^DU$3*5*DU$7)</f>
        <v>1.951180821703814</v>
      </c>
      <c r="DW228" s="107">
        <f t="shared" si="417"/>
        <v>0.93598021929873754</v>
      </c>
      <c r="DX228" s="107">
        <f t="shared" si="2011"/>
        <v>0.90131555008164133</v>
      </c>
      <c r="DZ228" s="107">
        <f t="shared" si="2012"/>
        <v>0.93738857019636712</v>
      </c>
      <c r="EA228" s="122" t="str">
        <f t="shared" si="2091"/>
        <v>-</v>
      </c>
      <c r="EB228" s="107">
        <f t="shared" si="2013"/>
        <v>0.90658454932540089</v>
      </c>
      <c r="EC228" s="122" t="str">
        <f t="shared" si="2092"/>
        <v>-</v>
      </c>
      <c r="ED228" s="107">
        <f t="shared" si="67"/>
        <v>2.7355173991110693</v>
      </c>
      <c r="EE228" s="107">
        <f t="shared" si="68"/>
        <v>1.9155355211546612</v>
      </c>
      <c r="EF228" s="107">
        <f t="shared" si="1945"/>
        <v>1.5596217233315703</v>
      </c>
      <c r="EH228" s="107">
        <f t="shared" si="2014"/>
        <v>0.92429497097266367</v>
      </c>
      <c r="EJ228" s="107">
        <f t="shared" si="69"/>
        <v>2.7355173991110693</v>
      </c>
      <c r="EK228" s="107">
        <f t="shared" si="1946"/>
        <v>1.9156475939903101</v>
      </c>
      <c r="EL228" s="107">
        <f t="shared" si="1947"/>
        <v>1.8085615700443574</v>
      </c>
      <c r="EM228" s="107">
        <f t="shared" si="2015"/>
        <v>0.89704731847944219</v>
      </c>
      <c r="EO228" s="107">
        <f t="shared" si="1948"/>
        <v>4.2663723602051009</v>
      </c>
      <c r="EP228" s="107">
        <f t="shared" si="70"/>
        <v>2.7355173991110693</v>
      </c>
      <c r="EQ228" s="107">
        <f t="shared" si="1949"/>
        <v>1.5596217233315703</v>
      </c>
      <c r="ER228" s="107">
        <f t="shared" si="1950"/>
        <v>1.6283165284159498</v>
      </c>
      <c r="ES228" s="107">
        <f t="shared" si="2028"/>
        <v>0.89748184211701854</v>
      </c>
      <c r="EU228" s="107">
        <f t="shared" si="1951"/>
        <v>1.6510509379482945</v>
      </c>
      <c r="EV228" s="107">
        <f t="shared" si="71"/>
        <v>2.7355173991110693</v>
      </c>
      <c r="EW228" s="107">
        <f t="shared" si="1952"/>
        <v>0.99650954535539471</v>
      </c>
      <c r="EX228" s="107">
        <f t="shared" si="1953"/>
        <v>1.6428858497330714</v>
      </c>
      <c r="EY228" s="107">
        <f t="shared" si="2029"/>
        <v>0.89964983765394213</v>
      </c>
      <c r="FA228" s="107">
        <f t="shared" si="2030"/>
        <v>1.651091768743715</v>
      </c>
      <c r="FB228" s="107">
        <f t="shared" si="72"/>
        <v>2.7356527004876932</v>
      </c>
      <c r="FC228" s="107">
        <f t="shared" si="1954"/>
        <v>0.99650954535539471</v>
      </c>
      <c r="FD228" s="107">
        <f t="shared" si="1955"/>
        <v>1.6428858497330714</v>
      </c>
      <c r="FE228" s="107">
        <f t="shared" si="2031"/>
        <v>0.90257930922702934</v>
      </c>
      <c r="FF228" s="141" t="str">
        <f t="shared" si="2093"/>
        <v>-</v>
      </c>
      <c r="FG228" s="107">
        <f t="shared" si="2032"/>
        <v>2.7165886863442004</v>
      </c>
      <c r="FH228" s="133">
        <f t="shared" si="1957"/>
        <v>2.7356527004876932</v>
      </c>
      <c r="FI228" s="133">
        <f t="shared" si="1958"/>
        <v>0.99303127398441549</v>
      </c>
      <c r="FJ228" s="107">
        <f t="shared" si="1959"/>
        <v>0.92386260587536806</v>
      </c>
      <c r="FK228" s="107">
        <f t="shared" si="2033"/>
        <v>0.89410356651980116</v>
      </c>
      <c r="FL228" s="141" t="str">
        <f t="shared" si="2094"/>
        <v>-</v>
      </c>
      <c r="FM228" s="107">
        <f t="shared" si="2034"/>
        <v>4.6781199130965732</v>
      </c>
      <c r="FN228" s="133">
        <f t="shared" si="1961"/>
        <v>2.7356527004876932</v>
      </c>
      <c r="FO228" s="133">
        <f t="shared" si="1962"/>
        <v>0.67413915283486692</v>
      </c>
      <c r="FP228" s="133">
        <f t="shared" si="1963"/>
        <v>1.7683280597740134</v>
      </c>
      <c r="FQ228" s="107">
        <f t="shared" si="1964"/>
        <v>1.6283165284159498</v>
      </c>
      <c r="FR228" s="107">
        <f t="shared" si="2035"/>
        <v>0.90840697775723211</v>
      </c>
      <c r="FS228" s="141" t="str">
        <f t="shared" si="2095"/>
        <v>-</v>
      </c>
      <c r="FT228" s="107">
        <f t="shared" si="2036"/>
        <v>4.8375314320689426</v>
      </c>
      <c r="FU228" s="133">
        <f t="shared" si="1966"/>
        <v>2.7356527004876932</v>
      </c>
      <c r="FV228" s="133">
        <f t="shared" si="1967"/>
        <v>1.7683280597740134</v>
      </c>
      <c r="FW228" s="107">
        <f t="shared" si="1968"/>
        <v>1.6283165284159498</v>
      </c>
      <c r="FY228">
        <v>0.95</v>
      </c>
      <c r="FZ228" s="62">
        <f t="shared" si="2074"/>
        <v>0.93392892669113547</v>
      </c>
      <c r="GA228" s="62">
        <f t="shared" si="2075"/>
        <v>1.951180821703814</v>
      </c>
      <c r="GB228" s="107">
        <f t="shared" si="525"/>
        <v>1.3570750787840868</v>
      </c>
      <c r="GC228" s="440"/>
      <c r="GD228" s="17"/>
      <c r="GE228" s="442"/>
      <c r="GF228" s="462"/>
      <c r="GG228" s="17"/>
      <c r="GH228" s="17"/>
      <c r="GI228" s="17"/>
      <c r="GJ228" s="17"/>
      <c r="GL228" s="17"/>
      <c r="GM228" s="442"/>
      <c r="GN228" s="8"/>
      <c r="GO228" s="8"/>
      <c r="GP228" s="8"/>
      <c r="GQ228" s="8"/>
      <c r="GS228" s="17"/>
      <c r="GT228" s="17"/>
      <c r="GU228" s="17"/>
      <c r="GV228" s="629"/>
      <c r="GW228" s="17"/>
      <c r="GX228" s="17"/>
      <c r="GY228" s="17"/>
      <c r="GZ228" s="17"/>
    </row>
    <row r="229" spans="1:208" ht="15.6" x14ac:dyDescent="0.3">
      <c r="A229" s="60" t="s">
        <v>36</v>
      </c>
      <c r="B229" s="218"/>
      <c r="C229" s="61" t="str">
        <f>C225</f>
        <v>Gaffel</v>
      </c>
      <c r="D229" s="61"/>
      <c r="E229" s="61"/>
      <c r="F229" s="61"/>
      <c r="G229" s="54"/>
      <c r="H229" s="204">
        <f t="shared" si="2096"/>
        <v>88.5</v>
      </c>
      <c r="I229" s="63">
        <f t="shared" si="2097"/>
        <v>2</v>
      </c>
      <c r="J229" s="222">
        <f t="shared" si="2098"/>
        <v>23.2</v>
      </c>
      <c r="K229" s="116">
        <f t="shared" si="2099"/>
        <v>0.71592795898053563</v>
      </c>
      <c r="L229" s="116">
        <f t="shared" si="2050"/>
        <v>0.7122858364562058</v>
      </c>
      <c r="M229" s="92">
        <f t="shared" si="2051"/>
        <v>0.85517241379310349</v>
      </c>
      <c r="N229" s="242">
        <f t="shared" si="2052"/>
        <v>1.0038592732708853</v>
      </c>
      <c r="O229" s="143"/>
      <c r="P229" s="143"/>
      <c r="Q229" s="143"/>
      <c r="R229" s="143"/>
      <c r="S229" s="143"/>
      <c r="T229" s="143"/>
      <c r="U229" s="165">
        <v>9.1999999999999993</v>
      </c>
      <c r="V229" s="559"/>
      <c r="W229" s="559"/>
      <c r="X229" s="143"/>
      <c r="Y229" s="143"/>
      <c r="Z229" s="177">
        <v>14</v>
      </c>
      <c r="AA229" s="143"/>
      <c r="AB229" s="143"/>
      <c r="AC229" s="143"/>
      <c r="AD229" s="143"/>
      <c r="AE229" s="143"/>
      <c r="AF229" s="143"/>
      <c r="AG229" s="551"/>
      <c r="AH229" s="557">
        <f t="shared" ref="AH229:AI229" si="2112">AH228</f>
        <v>0</v>
      </c>
      <c r="AI229" s="557">
        <f t="shared" si="2112"/>
        <v>7.25</v>
      </c>
      <c r="AJ229" s="337">
        <f t="shared" si="2054"/>
        <v>0</v>
      </c>
      <c r="AK229" s="339"/>
      <c r="AL229" s="337">
        <f t="shared" si="2054"/>
        <v>0</v>
      </c>
      <c r="AM229" s="339"/>
      <c r="AN229" s="267" t="str">
        <f t="shared" ref="AN229" si="2113" xml:space="preserve"> AN228</f>
        <v>Lystb</v>
      </c>
      <c r="AO229" s="45">
        <f>VLOOKUP(AN229,Skrogform!$1:$1048576,3,FALSE)</f>
        <v>0.98</v>
      </c>
      <c r="AP229" s="64">
        <f t="shared" ref="AP229:AZ229" si="2114">AP228</f>
        <v>7.88</v>
      </c>
      <c r="AQ229" s="64">
        <f t="shared" si="2114"/>
        <v>7.03</v>
      </c>
      <c r="AR229" s="64">
        <f t="shared" si="2114"/>
        <v>2.52</v>
      </c>
      <c r="AS229" s="64">
        <f t="shared" si="2114"/>
        <v>1.2</v>
      </c>
      <c r="AT229" s="64">
        <f t="shared" ref="AT229" si="2115">AT228</f>
        <v>5.2</v>
      </c>
      <c r="AU229" s="64">
        <f t="shared" si="2114"/>
        <v>5.2</v>
      </c>
      <c r="AV229" s="64">
        <f t="shared" si="2114"/>
        <v>1.7</v>
      </c>
      <c r="AW229" s="64">
        <f t="shared" si="2114"/>
        <v>0</v>
      </c>
      <c r="AX229" s="256">
        <f t="shared" si="2058"/>
        <v>0</v>
      </c>
      <c r="AY229" s="256">
        <f t="shared" si="2114"/>
        <v>15</v>
      </c>
      <c r="AZ229" s="256">
        <f t="shared" si="2114"/>
        <v>60</v>
      </c>
      <c r="BA229" s="256">
        <f t="shared" ref="BA229:BB229" si="2116">BA228</f>
        <v>0</v>
      </c>
      <c r="BB229" s="256">
        <f t="shared" si="2116"/>
        <v>0</v>
      </c>
      <c r="BC229" s="256"/>
      <c r="BD229" s="66"/>
      <c r="BE229" s="66"/>
      <c r="BF229" s="261"/>
      <c r="BG229" s="66"/>
      <c r="BH229" s="175"/>
      <c r="BI229" s="66"/>
      <c r="BJ229" s="66"/>
      <c r="BK229" s="65" t="str">
        <f t="shared" ref="BK229:BM229" si="2117" xml:space="preserve"> BK228</f>
        <v>Fast</v>
      </c>
      <c r="BL229" s="267">
        <f t="shared" si="2117"/>
        <v>2</v>
      </c>
      <c r="BM229" s="267">
        <f t="shared" si="2117"/>
        <v>38</v>
      </c>
      <c r="BN229" s="45">
        <f t="shared" si="1932"/>
        <v>0.98634917310716319</v>
      </c>
      <c r="BO229" s="59">
        <f t="shared" si="2083"/>
        <v>0</v>
      </c>
      <c r="BP229" s="59"/>
      <c r="BR229" s="49">
        <f t="shared" si="2061"/>
        <v>0</v>
      </c>
      <c r="BS229" s="49">
        <f t="shared" si="2061"/>
        <v>0</v>
      </c>
      <c r="BT229" s="49">
        <f t="shared" si="2061"/>
        <v>0</v>
      </c>
      <c r="BU229" s="49">
        <f t="shared" si="2061"/>
        <v>0</v>
      </c>
      <c r="BV229" s="49">
        <f t="shared" si="2061"/>
        <v>0</v>
      </c>
      <c r="BW229" s="49">
        <f t="shared" si="2061"/>
        <v>0</v>
      </c>
      <c r="BX229" s="49">
        <f t="shared" si="2061"/>
        <v>9.1999999999999993</v>
      </c>
      <c r="BY229" s="549">
        <f t="shared" si="2062"/>
        <v>0</v>
      </c>
      <c r="BZ229" s="85">
        <f t="shared" si="2063"/>
        <v>0</v>
      </c>
      <c r="CA229" s="85">
        <f t="shared" si="2063"/>
        <v>0</v>
      </c>
      <c r="CB229" s="85">
        <f t="shared" si="2063"/>
        <v>0</v>
      </c>
      <c r="CC229" s="85">
        <f t="shared" si="2063"/>
        <v>0</v>
      </c>
      <c r="CD229" s="85">
        <f t="shared" si="2063"/>
        <v>10.64</v>
      </c>
      <c r="CE229" s="85">
        <f t="shared" si="2064"/>
        <v>0</v>
      </c>
      <c r="CF229" s="85">
        <f t="shared" si="2065"/>
        <v>0</v>
      </c>
      <c r="CG229" s="85">
        <f t="shared" si="2065"/>
        <v>0</v>
      </c>
      <c r="CH229" s="85">
        <f t="shared" si="2066"/>
        <v>0</v>
      </c>
      <c r="CI229" s="85">
        <f t="shared" si="2066"/>
        <v>0</v>
      </c>
      <c r="CJ229" s="85">
        <f t="shared" si="2066"/>
        <v>0</v>
      </c>
      <c r="CK229" s="85">
        <f t="shared" si="2066"/>
        <v>0</v>
      </c>
      <c r="CL229" s="100">
        <f t="shared" si="2067"/>
        <v>19.84</v>
      </c>
      <c r="CM229" s="50"/>
      <c r="CN229" s="104">
        <f t="shared" si="2068"/>
        <v>23.2</v>
      </c>
      <c r="CO229" s="101">
        <f t="shared" si="2069"/>
        <v>0.85517241379310349</v>
      </c>
      <c r="CP229" s="51">
        <f t="shared" si="2070"/>
        <v>0.46943701956055028</v>
      </c>
      <c r="CQ229" s="116">
        <f t="shared" si="2071"/>
        <v>0.71592795898053563</v>
      </c>
      <c r="CR229" s="51">
        <f t="shared" si="2072"/>
        <v>0.7122858364562058</v>
      </c>
      <c r="CS229" s="204"/>
      <c r="CT229" s="204">
        <f t="shared" si="2073"/>
        <v>88.5</v>
      </c>
      <c r="CU229" s="107">
        <f t="shared" si="1041"/>
        <v>0.88350954057381448</v>
      </c>
      <c r="CV229" s="62">
        <f t="shared" si="523"/>
        <v>2.5486630097897112</v>
      </c>
      <c r="CW229" s="62">
        <f t="shared" si="998"/>
        <v>1.7199806200458578</v>
      </c>
      <c r="CX229" s="62">
        <f t="shared" si="524"/>
        <v>1.6283165284159498</v>
      </c>
      <c r="CY229" s="107">
        <f t="shared" si="999"/>
        <v>1.0038592732708853</v>
      </c>
      <c r="CZ229" s="168" t="str">
        <f t="shared" si="1875"/>
        <v>-</v>
      </c>
      <c r="DA229" s="158"/>
      <c r="DB229" s="168" t="str">
        <f t="shared" si="1980"/>
        <v>-</v>
      </c>
      <c r="DC229" s="160"/>
      <c r="DD229" s="190" t="s">
        <v>134</v>
      </c>
      <c r="DE229" s="62">
        <v>0.65</v>
      </c>
      <c r="DF229" s="62">
        <v>0.73</v>
      </c>
      <c r="DG229" s="62">
        <v>0.73</v>
      </c>
      <c r="DH229" s="150" t="s">
        <v>102</v>
      </c>
      <c r="DI229" s="62">
        <f t="shared" si="2007"/>
        <v>1.9766239122951021</v>
      </c>
      <c r="DJ229" s="47">
        <f t="shared" si="2008"/>
        <v>11.374407582938389</v>
      </c>
      <c r="DK229" s="48">
        <f t="shared" si="2009"/>
        <v>0</v>
      </c>
      <c r="DM229" s="107">
        <f t="shared" si="2027"/>
        <v>0.86422814395692549</v>
      </c>
      <c r="DN229" s="141" t="str">
        <f t="shared" si="1791"/>
        <v>-</v>
      </c>
      <c r="DO229" s="107">
        <f t="shared" si="2010"/>
        <v>4.3394751322155685</v>
      </c>
      <c r="DP229" s="133">
        <f>IF(SeilBeregnet=0,DP225,(SeilBeregnet^0.5/(Depl^0.3333))^DP$3*DP$7)</f>
        <v>2.5711470724415548</v>
      </c>
      <c r="DQ229" s="133">
        <f>IF(SeilBeregnet=0,DQ225,(SeilBeregnet^0.5/Lwl)^DQ$3*DQ$7)</f>
        <v>0</v>
      </c>
      <c r="DR229" s="133">
        <f>IF(SeilBeregnet=0,DR225,(0.1*Loa/Depl^0.3333)^DR$3*DR$7)</f>
        <v>0</v>
      </c>
      <c r="DS229" s="133">
        <f>IF(SeilBeregnet=0,DS225,((Loa)/Bredde)^DS$3*DS$7)</f>
        <v>1.7683280597740134</v>
      </c>
      <c r="DT229" s="107">
        <f>IF(SeilBeregnet=0,DT225,(Lwl)^DT$3)</f>
        <v>1.6283165284159498</v>
      </c>
      <c r="DU229" s="133">
        <f>IF(SeilBeregnet=0,DU225,(Dypg/Loa)^DU$3*5*DU$7)</f>
        <v>1.951180821703814</v>
      </c>
      <c r="DW229" s="107">
        <f t="shared" si="417"/>
        <v>0.90154034752430046</v>
      </c>
      <c r="DX229" s="107">
        <f t="shared" si="2011"/>
        <v>0.86180436140844996</v>
      </c>
      <c r="DZ229" s="107">
        <f t="shared" si="2012"/>
        <v>0.90588708834558496</v>
      </c>
      <c r="EA229" s="122" t="str">
        <f t="shared" si="1792"/>
        <v>-</v>
      </c>
      <c r="EB229" s="107">
        <f t="shared" si="2013"/>
        <v>0.86889869401463071</v>
      </c>
      <c r="EC229" s="122" t="str">
        <f t="shared" si="1793"/>
        <v>-</v>
      </c>
      <c r="ED229" s="107">
        <f t="shared" si="67"/>
        <v>2.5710199072724005</v>
      </c>
      <c r="EE229" s="107">
        <f t="shared" si="68"/>
        <v>1.9155355211546612</v>
      </c>
      <c r="EF229" s="107">
        <f t="shared" si="1945"/>
        <v>1.5596217233315703</v>
      </c>
      <c r="EH229" s="107">
        <f t="shared" si="2014"/>
        <v>0.8904419484154853</v>
      </c>
      <c r="EJ229" s="107">
        <f t="shared" si="69"/>
        <v>2.5710199072724005</v>
      </c>
      <c r="EK229" s="107">
        <f t="shared" si="1946"/>
        <v>1.9156475939903101</v>
      </c>
      <c r="EL229" s="107">
        <f t="shared" si="1947"/>
        <v>1.8085615700443574</v>
      </c>
      <c r="EM229" s="107">
        <f t="shared" si="2015"/>
        <v>0.86032097340144009</v>
      </c>
      <c r="EO229" s="107">
        <f t="shared" si="1948"/>
        <v>4.0098184984999552</v>
      </c>
      <c r="EP229" s="107">
        <f t="shared" si="70"/>
        <v>2.5710199072724005</v>
      </c>
      <c r="EQ229" s="107">
        <f t="shared" si="1949"/>
        <v>1.5596217233315703</v>
      </c>
      <c r="ER229" s="107">
        <f t="shared" si="1950"/>
        <v>1.6283165284159498</v>
      </c>
      <c r="ES229" s="107">
        <f t="shared" si="2028"/>
        <v>0.8581754922009821</v>
      </c>
      <c r="EU229" s="107">
        <f t="shared" si="1951"/>
        <v>1.6006392094709192</v>
      </c>
      <c r="EV229" s="107">
        <f t="shared" si="71"/>
        <v>2.5710199072724005</v>
      </c>
      <c r="EW229" s="107">
        <f t="shared" si="1952"/>
        <v>0.99650954535539471</v>
      </c>
      <c r="EX229" s="107">
        <f t="shared" si="1953"/>
        <v>1.6428858497330714</v>
      </c>
      <c r="EY229" s="107">
        <f t="shared" si="2029"/>
        <v>0.87218072552776893</v>
      </c>
      <c r="FA229" s="107">
        <f t="shared" si="2030"/>
        <v>1.6006787935749596</v>
      </c>
      <c r="FB229" s="107">
        <f t="shared" si="72"/>
        <v>2.5711470724415548</v>
      </c>
      <c r="FC229" s="107">
        <f t="shared" si="1954"/>
        <v>0.99650954535539471</v>
      </c>
      <c r="FD229" s="107">
        <f t="shared" si="1955"/>
        <v>1.6428858497330714</v>
      </c>
      <c r="FE229" s="107">
        <f t="shared" si="2031"/>
        <v>0.87131843959437538</v>
      </c>
      <c r="FF229" s="141" t="str">
        <f t="shared" si="1794"/>
        <v>-</v>
      </c>
      <c r="FG229" s="107">
        <f t="shared" si="2032"/>
        <v>2.5532294529479374</v>
      </c>
      <c r="FH229" s="133">
        <f t="shared" si="1957"/>
        <v>2.5711470724415548</v>
      </c>
      <c r="FI229" s="133">
        <f t="shared" si="1958"/>
        <v>0.99303127398441549</v>
      </c>
      <c r="FJ229" s="107">
        <f t="shared" si="1959"/>
        <v>0.92386260587536806</v>
      </c>
      <c r="FK229" s="107">
        <f t="shared" si="2033"/>
        <v>0.85491456978994518</v>
      </c>
      <c r="FL229" s="141" t="str">
        <f t="shared" si="1795"/>
        <v>-</v>
      </c>
      <c r="FM229" s="107">
        <f t="shared" si="2034"/>
        <v>4.473075628696936</v>
      </c>
      <c r="FN229" s="133">
        <f t="shared" si="1961"/>
        <v>2.5711470724415548</v>
      </c>
      <c r="FO229" s="133">
        <f t="shared" si="1962"/>
        <v>0.63360049648136807</v>
      </c>
      <c r="FP229" s="133">
        <f t="shared" si="1963"/>
        <v>1.7683280597740134</v>
      </c>
      <c r="FQ229" s="107">
        <f t="shared" si="1964"/>
        <v>1.6283165284159498</v>
      </c>
      <c r="FR229" s="107">
        <f t="shared" si="2035"/>
        <v>0.87850546991759937</v>
      </c>
      <c r="FS229" s="141" t="str">
        <f t="shared" si="1796"/>
        <v>-</v>
      </c>
      <c r="FT229" s="107">
        <f t="shared" si="2036"/>
        <v>4.5466315140042095</v>
      </c>
      <c r="FU229" s="133">
        <f t="shared" si="1966"/>
        <v>2.5711470724415548</v>
      </c>
      <c r="FV229" s="133">
        <f t="shared" si="1967"/>
        <v>1.7683280597740134</v>
      </c>
      <c r="FW229" s="107">
        <f t="shared" si="1968"/>
        <v>1.6283165284159498</v>
      </c>
      <c r="FY229">
        <v>0.95</v>
      </c>
      <c r="FZ229" s="62">
        <f t="shared" si="2074"/>
        <v>0.91012910422214799</v>
      </c>
      <c r="GA229" s="62">
        <f t="shared" si="2075"/>
        <v>1.951180821703814</v>
      </c>
      <c r="GB229" s="107">
        <f t="shared" si="525"/>
        <v>1.3293087431296855</v>
      </c>
      <c r="GC229" s="440"/>
      <c r="GD229" s="17"/>
      <c r="GE229" s="442"/>
      <c r="GF229" s="462"/>
      <c r="GG229" s="17"/>
      <c r="GH229" s="17"/>
      <c r="GI229" s="17"/>
      <c r="GJ229" s="17"/>
      <c r="GL229" s="17"/>
      <c r="GM229" s="442"/>
      <c r="GN229" s="8"/>
      <c r="GO229" s="8"/>
      <c r="GP229" s="8"/>
      <c r="GQ229" s="8"/>
      <c r="GS229" s="17"/>
      <c r="GT229" s="17"/>
      <c r="GU229" s="17"/>
      <c r="GV229" s="629"/>
      <c r="GW229" s="17"/>
      <c r="GX229" s="17"/>
      <c r="GY229" s="17"/>
      <c r="GZ229" s="17"/>
    </row>
    <row r="230" spans="1:208" ht="15.6" x14ac:dyDescent="0.3">
      <c r="A230" s="52" t="s">
        <v>908</v>
      </c>
      <c r="B230" s="218">
        <f t="shared" ref="B230" si="2118">Loa/0.3048</f>
        <v>43.996062992125985</v>
      </c>
      <c r="C230" s="53" t="s">
        <v>19</v>
      </c>
      <c r="D230" s="53"/>
      <c r="E230" s="53"/>
      <c r="F230" s="53"/>
      <c r="G230" s="54"/>
      <c r="H230" s="112">
        <f>J231</f>
        <v>128.1</v>
      </c>
      <c r="I230" s="601">
        <f>H231/100</f>
        <v>1.31</v>
      </c>
      <c r="J230" s="651">
        <f>IF(DC231=0,"-",DC231)</f>
        <v>1.32</v>
      </c>
      <c r="K230" s="123" t="str">
        <f>A230</f>
        <v>Nanna, Tønsberg</v>
      </c>
      <c r="L230" s="116"/>
      <c r="M230" s="116"/>
      <c r="N230" s="92"/>
      <c r="O230" s="165"/>
      <c r="P230" s="165"/>
      <c r="Q230" s="165"/>
      <c r="R230" s="165">
        <v>31</v>
      </c>
      <c r="S230" s="165">
        <v>16.7</v>
      </c>
      <c r="T230" s="165"/>
      <c r="U230" s="165">
        <v>19.8</v>
      </c>
      <c r="V230" s="559"/>
      <c r="W230" s="559"/>
      <c r="X230" s="165">
        <v>63.8</v>
      </c>
      <c r="Y230" s="165">
        <v>52.6</v>
      </c>
      <c r="Z230" s="165">
        <v>42</v>
      </c>
      <c r="AA230" s="165">
        <v>13.5</v>
      </c>
      <c r="AB230" s="165"/>
      <c r="AC230" s="165"/>
      <c r="AD230" s="165"/>
      <c r="AE230" s="165"/>
      <c r="AF230" s="165"/>
      <c r="AG230" s="552"/>
      <c r="AH230" s="244"/>
      <c r="AI230" s="244">
        <v>12.3</v>
      </c>
      <c r="AJ230" s="554"/>
      <c r="AK230" s="339"/>
      <c r="AL230" s="268"/>
      <c r="AM230" s="339"/>
      <c r="AN230" s="268" t="s">
        <v>211</v>
      </c>
      <c r="AO230" s="45">
        <f>VLOOKUP(AN230,Skrogform!$1:$1048576,3,FALSE)</f>
        <v>0.98</v>
      </c>
      <c r="AP230" s="55">
        <v>13.41</v>
      </c>
      <c r="AQ230" s="55">
        <v>12</v>
      </c>
      <c r="AR230" s="55">
        <v>4</v>
      </c>
      <c r="AS230" s="55">
        <v>2.2000000000000002</v>
      </c>
      <c r="AT230" s="637">
        <v>18</v>
      </c>
      <c r="AU230" s="55">
        <v>18</v>
      </c>
      <c r="AV230" s="55">
        <v>4</v>
      </c>
      <c r="AW230" s="55">
        <v>2</v>
      </c>
      <c r="AX230" s="253"/>
      <c r="AY230" s="253">
        <v>110</v>
      </c>
      <c r="AZ230" s="254">
        <v>400</v>
      </c>
      <c r="BA230" s="253"/>
      <c r="BB230" s="253"/>
      <c r="BC230" s="244">
        <f>Depl+Diesel/1000*0.84+Vann/1000</f>
        <v>18</v>
      </c>
      <c r="BD230" s="95">
        <f>Bredde/(Loa+Lwl)*2</f>
        <v>0.31483667847304209</v>
      </c>
      <c r="BE230" s="95">
        <f>(Kjøl+Ballast)/Depl</f>
        <v>0.33333333333333331</v>
      </c>
      <c r="BF230" s="260">
        <f>BF$7*((Depl-Kjøl-Ballast-VektMotor/1000-VektAnnet/1000)/Lwl/Lwl/Bredde)</f>
        <v>0.76000269017094024</v>
      </c>
      <c r="BG230" s="95">
        <f>BG$7*(Depl/Loa/Lwl/Lwl)</f>
        <v>0.68595475391498884</v>
      </c>
      <c r="BH230" s="174">
        <f>BH$7*(Depl/Loa/Lwl/Bredde)</f>
        <v>0.76065729865771825</v>
      </c>
      <c r="BI230" s="95">
        <f>BI$7*Bredde/(Loa+Lwl)*2</f>
        <v>0.89813086880535553</v>
      </c>
      <c r="BJ230" s="95">
        <f>BJ$7*(Dypg/Lwl)</f>
        <v>1.0027536231884058</v>
      </c>
      <c r="BK230" s="56" t="s">
        <v>39</v>
      </c>
      <c r="BL230" s="268">
        <v>3</v>
      </c>
      <c r="BM230" s="268">
        <v>50</v>
      </c>
      <c r="BN230" s="45">
        <f t="shared" si="1932"/>
        <v>0.9850495979846261</v>
      </c>
      <c r="BO230" s="59"/>
      <c r="BP230" s="59"/>
      <c r="BR230" s="209"/>
      <c r="BS230" s="209"/>
      <c r="BT230" s="209" t="str">
        <f>$A230</f>
        <v>Nanna, Tønsberg</v>
      </c>
      <c r="BU230" s="10"/>
      <c r="BV230" s="10"/>
      <c r="BW230" s="10"/>
      <c r="BX230" s="10"/>
      <c r="BY230" s="549"/>
      <c r="BZ230" s="10"/>
      <c r="CA230" s="10"/>
      <c r="CB230" s="209" t="str">
        <f>$A230</f>
        <v>Nanna, Tønsberg</v>
      </c>
      <c r="CC230" s="10"/>
      <c r="CD230" s="10"/>
      <c r="CE230" s="10"/>
      <c r="CF230" s="10"/>
      <c r="CG230" s="10"/>
      <c r="CH230" s="10"/>
      <c r="CI230" s="10"/>
      <c r="CJ230" s="10"/>
      <c r="CK230" s="10"/>
      <c r="CL230" s="209"/>
      <c r="CM230" s="10"/>
      <c r="CN230" s="209" t="str">
        <f>$A230</f>
        <v>Nanna, Tønsberg</v>
      </c>
      <c r="CO230" s="207"/>
      <c r="CP230" s="207"/>
      <c r="CQ230" s="116"/>
      <c r="CR230" s="207"/>
      <c r="CS230" s="203"/>
      <c r="CT230" s="203" t="s">
        <v>23</v>
      </c>
      <c r="CU230" s="107" t="str">
        <f t="shared" si="1041"/>
        <v>-</v>
      </c>
      <c r="CV230" s="62" t="str">
        <f t="shared" ref="CV230:CV292" si="2119">IF(SeilBeregnet=0,"-",(SeilBeregnet)^(1/2)*StHfaktor/(Depl+DeplTillegg/1000+Vann/1000+Diesel/1000*0.84)^(1/3))</f>
        <v>-</v>
      </c>
      <c r="CW230" s="62" t="str">
        <f t="shared" si="998"/>
        <v>-</v>
      </c>
      <c r="CX230" s="62" t="str">
        <f t="shared" ref="CX230:CX292" si="2120">IF(SeilBeregnet=0,"-",(Lwl)^(1/CX$7))</f>
        <v>-</v>
      </c>
      <c r="CY230" s="107" t="str">
        <f t="shared" si="999"/>
        <v>-</v>
      </c>
      <c r="CZ230" s="168" t="str">
        <f t="shared" si="1875"/>
        <v>-</v>
      </c>
      <c r="DA230" s="158"/>
      <c r="DB230" s="168" t="str">
        <f t="shared" si="1980"/>
        <v>-</v>
      </c>
      <c r="DC230" s="160">
        <v>1.32</v>
      </c>
      <c r="DD230" s="190" t="s">
        <v>134</v>
      </c>
      <c r="DE230" s="29" t="s">
        <v>23</v>
      </c>
      <c r="DF230" s="29" t="s">
        <v>23</v>
      </c>
      <c r="DG230" s="29" t="s">
        <v>23</v>
      </c>
      <c r="DH230" s="149">
        <v>2022</v>
      </c>
      <c r="DI230" s="62" t="str">
        <f t="shared" si="2007"/>
        <v>-</v>
      </c>
      <c r="DJ230" s="47">
        <f t="shared" si="2008"/>
        <v>12.941176470588237</v>
      </c>
      <c r="DK230" s="48">
        <f t="shared" si="2009"/>
        <v>0</v>
      </c>
      <c r="DM230" s="107" t="str">
        <f t="shared" si="2027"/>
        <v>-</v>
      </c>
      <c r="DN230" s="141" t="str">
        <f t="shared" si="1791"/>
        <v>-</v>
      </c>
      <c r="DO230" s="107" t="e">
        <f t="shared" si="2010"/>
        <v>#REF!</v>
      </c>
      <c r="DP230" s="133" t="e">
        <f>IF(SeilBeregnet=0,#REF!,(SeilBeregnet^0.5/(Depl^0.3333))^DP$3*DP$7)</f>
        <v>#REF!</v>
      </c>
      <c r="DQ230" s="133" t="e">
        <f>IF(SeilBeregnet=0,#REF!,(SeilBeregnet^0.5/Lwl)^DQ$3*DQ$7)</f>
        <v>#REF!</v>
      </c>
      <c r="DR230" s="133" t="e">
        <f>IF(SeilBeregnet=0,#REF!,(0.1*Loa/Depl^0.3333)^DR$3*DR$7)</f>
        <v>#REF!</v>
      </c>
      <c r="DS230" s="133" t="e">
        <f>IF(SeilBeregnet=0,#REF!,((Loa)/Bredde)^DS$3*DS$7)</f>
        <v>#REF!</v>
      </c>
      <c r="DT230" s="107" t="e">
        <f>IF(SeilBeregnet=0,#REF!,(Lwl)^DT$3)</f>
        <v>#REF!</v>
      </c>
      <c r="DU230" s="133" t="e">
        <f>IF(SeilBeregnet=0,#REF!,(Dypg/Loa)^DU$3*5*DU$7)</f>
        <v>#REF!</v>
      </c>
      <c r="DW230" s="107" t="str">
        <f t="shared" si="512"/>
        <v>-</v>
      </c>
      <c r="DX230" s="107" t="str">
        <f t="shared" si="2011"/>
        <v>-</v>
      </c>
      <c r="DZ230" s="107" t="str">
        <f t="shared" si="2012"/>
        <v>-</v>
      </c>
      <c r="EA230" s="122" t="str">
        <f t="shared" si="1792"/>
        <v>-</v>
      </c>
      <c r="EB230" s="107" t="str">
        <f t="shared" si="2013"/>
        <v>-</v>
      </c>
      <c r="EC230" s="122" t="str">
        <f t="shared" si="1793"/>
        <v>-</v>
      </c>
      <c r="ED230" s="107">
        <f t="shared" si="67"/>
        <v>2.5710199072724005</v>
      </c>
      <c r="EE230" s="107">
        <f t="shared" si="68"/>
        <v>1.9155355211546612</v>
      </c>
      <c r="EF230" s="107">
        <f t="shared" si="1945"/>
        <v>1.5596217233315703</v>
      </c>
      <c r="EH230" s="107" t="str">
        <f t="shared" si="2014"/>
        <v>-</v>
      </c>
      <c r="EJ230" s="107">
        <f t="shared" si="69"/>
        <v>2.5710199072724005</v>
      </c>
      <c r="EK230" s="107">
        <f t="shared" si="1946"/>
        <v>1.9156475939903101</v>
      </c>
      <c r="EL230" s="107">
        <f t="shared" si="1947"/>
        <v>1.8085615700443574</v>
      </c>
      <c r="EM230" s="107" t="str">
        <f t="shared" si="2015"/>
        <v>-</v>
      </c>
      <c r="EO230" s="107">
        <f t="shared" si="1948"/>
        <v>4.0098184984999552</v>
      </c>
      <c r="EP230" s="107">
        <f t="shared" si="70"/>
        <v>2.5710199072724005</v>
      </c>
      <c r="EQ230" s="107">
        <f t="shared" si="1949"/>
        <v>1.5596217233315703</v>
      </c>
      <c r="ER230" s="107">
        <f t="shared" si="1950"/>
        <v>1.6283165284159498</v>
      </c>
      <c r="ES230" s="107" t="str">
        <f t="shared" si="2028"/>
        <v>-</v>
      </c>
      <c r="EU230" s="107">
        <f t="shared" si="1951"/>
        <v>1.6006392094709192</v>
      </c>
      <c r="EV230" s="107">
        <f t="shared" si="71"/>
        <v>2.5710199072724005</v>
      </c>
      <c r="EW230" s="107">
        <f t="shared" si="1952"/>
        <v>0.99650954535539471</v>
      </c>
      <c r="EX230" s="107">
        <f t="shared" si="1953"/>
        <v>1.6428858497330714</v>
      </c>
      <c r="EY230" s="107" t="str">
        <f t="shared" si="2029"/>
        <v>-</v>
      </c>
      <c r="FA230" s="107">
        <f t="shared" si="2030"/>
        <v>1.6006787935749596</v>
      </c>
      <c r="FB230" s="107">
        <f t="shared" si="72"/>
        <v>2.5711470724415548</v>
      </c>
      <c r="FC230" s="107">
        <f t="shared" si="1954"/>
        <v>0.99650954535539471</v>
      </c>
      <c r="FD230" s="107">
        <f t="shared" si="1955"/>
        <v>1.6428858497330714</v>
      </c>
      <c r="FE230" s="107" t="str">
        <f t="shared" si="2031"/>
        <v>-</v>
      </c>
      <c r="FF230" s="141" t="str">
        <f t="shared" si="1794"/>
        <v>-</v>
      </c>
      <c r="FG230" s="107">
        <f t="shared" si="2032"/>
        <v>2.5532294529479374</v>
      </c>
      <c r="FH230" s="133">
        <f t="shared" si="1957"/>
        <v>2.5711470724415548</v>
      </c>
      <c r="FI230" s="133">
        <f t="shared" si="1958"/>
        <v>0.99303127398441549</v>
      </c>
      <c r="FJ230" s="107">
        <f t="shared" si="1959"/>
        <v>0.92386260587536806</v>
      </c>
      <c r="FK230" s="107" t="str">
        <f t="shared" si="2033"/>
        <v>-</v>
      </c>
      <c r="FL230" s="141" t="str">
        <f t="shared" si="1795"/>
        <v>-</v>
      </c>
      <c r="FM230" s="107">
        <f t="shared" si="2034"/>
        <v>4.473075628696936</v>
      </c>
      <c r="FN230" s="133">
        <f t="shared" si="1961"/>
        <v>2.5711470724415548</v>
      </c>
      <c r="FO230" s="133">
        <f t="shared" si="1962"/>
        <v>0.63360049648136807</v>
      </c>
      <c r="FP230" s="133">
        <f t="shared" si="1963"/>
        <v>1.7683280597740134</v>
      </c>
      <c r="FQ230" s="107">
        <f t="shared" si="1964"/>
        <v>1.6283165284159498</v>
      </c>
      <c r="FR230" s="107" t="str">
        <f t="shared" si="2035"/>
        <v>-</v>
      </c>
      <c r="FS230" s="141" t="str">
        <f t="shared" si="1796"/>
        <v>-</v>
      </c>
      <c r="FT230" s="107">
        <f t="shared" si="2036"/>
        <v>4.5466315140042095</v>
      </c>
      <c r="FU230" s="133">
        <f t="shared" si="1966"/>
        <v>2.5711470724415548</v>
      </c>
      <c r="FV230" s="133">
        <f t="shared" si="1967"/>
        <v>1.7683280597740134</v>
      </c>
      <c r="FW230" s="107">
        <f t="shared" si="1968"/>
        <v>1.6283165284159498</v>
      </c>
      <c r="FY230">
        <v>0.95</v>
      </c>
      <c r="FZ230" s="62" t="str">
        <f t="shared" si="2074"/>
        <v>-</v>
      </c>
      <c r="GA230" s="62">
        <f t="shared" si="2075"/>
        <v>2.0251955098445942</v>
      </c>
      <c r="GB230" s="107" t="str">
        <f t="shared" si="525"/>
        <v>-</v>
      </c>
      <c r="GC230" s="441"/>
      <c r="GD230" s="57"/>
      <c r="GE230" s="436"/>
      <c r="GF230" s="75"/>
      <c r="GG230" s="57"/>
      <c r="GH230" s="57"/>
      <c r="GI230" s="57"/>
      <c r="GJ230" s="57"/>
      <c r="GL230" s="57" t="s">
        <v>478</v>
      </c>
      <c r="GM230" s="436" t="s">
        <v>478</v>
      </c>
      <c r="GN230" s="58" t="s">
        <v>478</v>
      </c>
      <c r="GO230" s="58" t="s">
        <v>478</v>
      </c>
      <c r="GP230" s="58" t="s">
        <v>478</v>
      </c>
      <c r="GQ230" s="58" t="s">
        <v>478</v>
      </c>
      <c r="GS230" s="57"/>
      <c r="GT230" s="57"/>
      <c r="GU230" s="57"/>
      <c r="GV230" s="632"/>
      <c r="GW230" s="57"/>
      <c r="GX230" s="57"/>
      <c r="GY230" s="57"/>
      <c r="GZ230" s="57"/>
    </row>
    <row r="231" spans="1:208" ht="15.6" x14ac:dyDescent="0.3">
      <c r="A231" s="60" t="s">
        <v>28</v>
      </c>
      <c r="B231" s="218"/>
      <c r="C231" s="61" t="str">
        <f>C230</f>
        <v>Gaffel</v>
      </c>
      <c r="D231" s="61"/>
      <c r="E231" s="61"/>
      <c r="F231" s="61"/>
      <c r="G231" s="54"/>
      <c r="H231" s="204">
        <f>IF(StH=0,0,TBFavrundet)</f>
        <v>131</v>
      </c>
      <c r="I231" s="63">
        <f>COUNTA(O231:AG231)</f>
        <v>4</v>
      </c>
      <c r="J231" s="222">
        <f>SUM(O231:AG231)</f>
        <v>128.1</v>
      </c>
      <c r="K231" s="116">
        <f>Seilareal/Depl^0.667/K$7</f>
        <v>1.726783687426892</v>
      </c>
      <c r="L231" s="116">
        <f>Seilareal/Lwl/Lwl/L$7</f>
        <v>1.3497819351230422</v>
      </c>
      <c r="M231" s="92">
        <f>RiggF</f>
        <v>0.7598750975800157</v>
      </c>
      <c r="N231" s="242">
        <f>StHfaktor</f>
        <v>1.0030913449559995</v>
      </c>
      <c r="O231" s="143"/>
      <c r="P231" s="143"/>
      <c r="Q231" s="143"/>
      <c r="R231" s="165">
        <v>31</v>
      </c>
      <c r="S231" s="143"/>
      <c r="T231" s="143"/>
      <c r="U231" s="165">
        <v>19.8</v>
      </c>
      <c r="V231" s="559"/>
      <c r="W231" s="559"/>
      <c r="X231" s="165">
        <v>63.8</v>
      </c>
      <c r="Y231" s="143"/>
      <c r="Z231" s="143"/>
      <c r="AA231" s="165">
        <v>13.5</v>
      </c>
      <c r="AB231" s="143"/>
      <c r="AC231" s="143"/>
      <c r="AD231" s="143"/>
      <c r="AE231" s="143"/>
      <c r="AF231" s="143"/>
      <c r="AG231" s="551"/>
      <c r="AH231" s="557">
        <f t="shared" ref="AH231:AI231" si="2121">AH230</f>
        <v>0</v>
      </c>
      <c r="AI231" s="557">
        <f t="shared" si="2121"/>
        <v>12.3</v>
      </c>
      <c r="AJ231" s="337">
        <f t="shared" ref="AJ231:AL235" si="2122" xml:space="preserve"> AJ230</f>
        <v>0</v>
      </c>
      <c r="AK231" s="339"/>
      <c r="AL231" s="337">
        <f t="shared" si="2122"/>
        <v>0</v>
      </c>
      <c r="AM231" s="339"/>
      <c r="AN231" s="267" t="str">
        <f t="shared" ref="AN231" si="2123" xml:space="preserve"> AN230</f>
        <v>Lystb</v>
      </c>
      <c r="AO231" s="45">
        <f>VLOOKUP(AN231,Skrogform!$1:$1048576,3,FALSE)</f>
        <v>0.98</v>
      </c>
      <c r="AP231" s="64">
        <f t="shared" ref="AP231:AZ231" si="2124">AP230</f>
        <v>13.41</v>
      </c>
      <c r="AQ231" s="64">
        <f t="shared" si="2124"/>
        <v>12</v>
      </c>
      <c r="AR231" s="64">
        <f t="shared" si="2124"/>
        <v>4</v>
      </c>
      <c r="AS231" s="64">
        <f t="shared" si="2124"/>
        <v>2.2000000000000002</v>
      </c>
      <c r="AT231" s="64">
        <f t="shared" ref="AT231" si="2125">AT230</f>
        <v>18</v>
      </c>
      <c r="AU231" s="64">
        <f t="shared" si="2124"/>
        <v>18</v>
      </c>
      <c r="AV231" s="64">
        <f t="shared" si="2124"/>
        <v>4</v>
      </c>
      <c r="AW231" s="64">
        <f t="shared" si="2124"/>
        <v>2</v>
      </c>
      <c r="AX231" s="256">
        <f>AX230</f>
        <v>0</v>
      </c>
      <c r="AY231" s="256">
        <f t="shared" si="2124"/>
        <v>110</v>
      </c>
      <c r="AZ231" s="256">
        <f t="shared" si="2124"/>
        <v>400</v>
      </c>
      <c r="BA231" s="256">
        <f t="shared" ref="BA231:BB231" si="2126">BA230</f>
        <v>0</v>
      </c>
      <c r="BB231" s="256">
        <f t="shared" si="2126"/>
        <v>0</v>
      </c>
      <c r="BC231" s="256"/>
      <c r="BD231" s="66"/>
      <c r="BE231" s="66"/>
      <c r="BF231" s="261"/>
      <c r="BG231" s="66"/>
      <c r="BH231" s="175"/>
      <c r="BI231" s="66"/>
      <c r="BJ231" s="66"/>
      <c r="BK231" s="65" t="str">
        <f t="shared" ref="BK231:BM231" si="2127" xml:space="preserve"> BK230</f>
        <v>Fast</v>
      </c>
      <c r="BL231" s="267">
        <f t="shared" si="2127"/>
        <v>3</v>
      </c>
      <c r="BM231" s="267">
        <f t="shared" si="2127"/>
        <v>50</v>
      </c>
      <c r="BN231" s="45">
        <f t="shared" si="1932"/>
        <v>0.9850495979846261</v>
      </c>
      <c r="BO231" s="59"/>
      <c r="BP231" s="59"/>
      <c r="BR231" s="49">
        <f t="shared" ref="BR231:BX235" si="2128">IF(O231=0,0,O231*BR$9)</f>
        <v>0</v>
      </c>
      <c r="BS231" s="49">
        <f t="shared" si="2128"/>
        <v>0</v>
      </c>
      <c r="BT231" s="49">
        <f t="shared" si="2128"/>
        <v>0</v>
      </c>
      <c r="BU231" s="49">
        <f t="shared" si="2128"/>
        <v>31</v>
      </c>
      <c r="BV231" s="49">
        <f t="shared" si="2128"/>
        <v>0</v>
      </c>
      <c r="BW231" s="49">
        <f t="shared" si="2128"/>
        <v>0</v>
      </c>
      <c r="BX231" s="49">
        <f t="shared" si="2128"/>
        <v>19.8</v>
      </c>
      <c r="BY231" s="549">
        <f>IF(COUNT(Q231:U231)&gt;1,MINA(Q231:U231)*BY$9,0)</f>
        <v>-9.9</v>
      </c>
      <c r="BZ231" s="85">
        <f t="shared" ref="BZ231:CD235" si="2129">IF(V231=0,0,V231*BZ$9)</f>
        <v>0</v>
      </c>
      <c r="CA231" s="85">
        <f t="shared" si="2129"/>
        <v>0</v>
      </c>
      <c r="CB231" s="85">
        <f t="shared" si="2129"/>
        <v>51.04</v>
      </c>
      <c r="CC231" s="85">
        <f t="shared" si="2129"/>
        <v>0</v>
      </c>
      <c r="CD231" s="85">
        <f t="shared" si="2129"/>
        <v>0</v>
      </c>
      <c r="CE231" s="85">
        <f>IF(AC231=0,0,AC231*CE$9)</f>
        <v>0</v>
      </c>
      <c r="CF231" s="85">
        <f t="shared" ref="CF231:CG235" si="2130">IF(AA231=0,0,AA231*CF$9)</f>
        <v>5.4</v>
      </c>
      <c r="CG231" s="85">
        <f t="shared" si="2130"/>
        <v>0</v>
      </c>
      <c r="CH231" s="85">
        <f t="shared" ref="CH231:CK235" si="2131">IF(AD231=0,0,AD231*CH$9)</f>
        <v>0</v>
      </c>
      <c r="CI231" s="85">
        <f t="shared" si="2131"/>
        <v>0</v>
      </c>
      <c r="CJ231" s="85">
        <f t="shared" si="2131"/>
        <v>0</v>
      </c>
      <c r="CK231" s="85">
        <f t="shared" si="2131"/>
        <v>0</v>
      </c>
      <c r="CL231" s="100">
        <f>SUM(BR231:CK231)</f>
        <v>97.34</v>
      </c>
      <c r="CM231" s="50"/>
      <c r="CN231" s="104">
        <f>J231</f>
        <v>128.1</v>
      </c>
      <c r="CO231" s="101">
        <f>CL231/CN231</f>
        <v>0.7598750975800157</v>
      </c>
      <c r="CP231" s="51">
        <f>Seilareal/Lwl/Lwl</f>
        <v>0.88958333333333328</v>
      </c>
      <c r="CQ231" s="116">
        <f>Seilareal/Depl^0.667/K$7</f>
        <v>1.726783687426892</v>
      </c>
      <c r="CR231" s="51">
        <f>Seilareal/Lwl/Lwl/SApRS1</f>
        <v>1.3497819351230422</v>
      </c>
      <c r="CS231" s="204"/>
      <c r="CT231" s="204">
        <f>(ROUND(TBF/CT$6,3)*CT$6)*CT$4</f>
        <v>131</v>
      </c>
      <c r="CU231" s="107">
        <f t="shared" si="1041"/>
        <v>1.3100080925441802</v>
      </c>
      <c r="CV231" s="62">
        <f t="shared" si="2119"/>
        <v>3.7623774097409508</v>
      </c>
      <c r="CW231" s="62">
        <f t="shared" si="998"/>
        <v>1.7822036920621616</v>
      </c>
      <c r="CX231" s="62">
        <f t="shared" si="2120"/>
        <v>1.8612097182041991</v>
      </c>
      <c r="CY231" s="107">
        <f t="shared" si="999"/>
        <v>1.0030913449559995</v>
      </c>
      <c r="CZ231" s="168" t="str">
        <f t="shared" si="1875"/>
        <v>-</v>
      </c>
      <c r="DA231" s="159">
        <f>DA230</f>
        <v>0</v>
      </c>
      <c r="DB231" s="168">
        <f t="shared" si="1980"/>
        <v>1.2273684210526319</v>
      </c>
      <c r="DC231" s="159">
        <f>DC230</f>
        <v>1.32</v>
      </c>
      <c r="DD231" s="190" t="s">
        <v>134</v>
      </c>
      <c r="DE231" s="62">
        <v>1.04</v>
      </c>
      <c r="DF231" s="62">
        <v>0.97</v>
      </c>
      <c r="DG231" s="62">
        <v>1.05</v>
      </c>
      <c r="DH231" s="150">
        <v>1.08</v>
      </c>
      <c r="DI231" s="62">
        <f t="shared" si="2007"/>
        <v>2.0388160736299663</v>
      </c>
      <c r="DJ231" s="47">
        <f t="shared" si="2008"/>
        <v>12.941176470588237</v>
      </c>
      <c r="DK231" s="48">
        <f t="shared" si="2009"/>
        <v>0</v>
      </c>
      <c r="DM231" s="107">
        <f t="shared" si="2027"/>
        <v>1.2721854007730318</v>
      </c>
      <c r="DN231" s="141">
        <f t="shared" si="1791"/>
        <v>-6.4557550802662345</v>
      </c>
      <c r="DO231" s="107">
        <f t="shared" si="2010"/>
        <v>5.5959691635624349</v>
      </c>
      <c r="DP231" s="133">
        <f>IF(SeilBeregnet=0,DP230,(SeilBeregnet^0.5/(Depl^0.3333))^DP$3*DP$7)</f>
        <v>3.7649858212023797</v>
      </c>
      <c r="DQ231" s="133">
        <f>IF(SeilBeregnet=0,DQ230,(SeilBeregnet^0.5/Lwl)^DQ$3*DQ$7)</f>
        <v>0</v>
      </c>
      <c r="DR231" s="133">
        <f>IF(SeilBeregnet=0,DR230,(0.1*Loa/Depl^0.3333)^DR$3*DR$7)</f>
        <v>0</v>
      </c>
      <c r="DS231" s="133">
        <f>IF(SeilBeregnet=0,DS230,((Loa)/Bredde)^DS$3*DS$7)</f>
        <v>1.8309833423600554</v>
      </c>
      <c r="DT231" s="107">
        <f>IF(SeilBeregnet=0,DT230,(Lwl)^DT$3)</f>
        <v>1.8612097182041991</v>
      </c>
      <c r="DU231" s="133">
        <f>IF(SeilBeregnet=0,DU230,(Dypg/Loa)^DU$3*5*DU$7)</f>
        <v>2.0251955098445942</v>
      </c>
      <c r="DW231" s="107">
        <f t="shared" si="512"/>
        <v>1.3367429515756941</v>
      </c>
      <c r="DX231" s="107">
        <f t="shared" si="2011"/>
        <v>1.2623115009972574</v>
      </c>
      <c r="DY231" s="122">
        <f>DX231-DW231</f>
        <v>-7.4431450578436698E-2</v>
      </c>
      <c r="DZ231" s="107">
        <f t="shared" si="2012"/>
        <v>1.24148379504082</v>
      </c>
      <c r="EA231" s="122">
        <f t="shared" si="1792"/>
        <v>-9.5259156534874156E-2</v>
      </c>
      <c r="EB231" s="107">
        <f t="shared" si="2013"/>
        <v>1.327714134668549</v>
      </c>
      <c r="EC231" s="122">
        <f t="shared" si="1793"/>
        <v>-9.0288169071450763E-3</v>
      </c>
      <c r="ED231" s="107">
        <f t="shared" si="67"/>
        <v>3.7646593690955088</v>
      </c>
      <c r="EE231" s="107">
        <f t="shared" si="68"/>
        <v>2.2892388590912591</v>
      </c>
      <c r="EF231" s="107">
        <f t="shared" si="1945"/>
        <v>1.5875820080316205</v>
      </c>
      <c r="EH231" s="107">
        <f t="shared" si="2014"/>
        <v>1.3081981545431556</v>
      </c>
      <c r="EJ231" s="107">
        <f t="shared" si="69"/>
        <v>3.7646593690955088</v>
      </c>
      <c r="EK231" s="107">
        <f t="shared" si="1946"/>
        <v>2.2894095217983113</v>
      </c>
      <c r="EL231" s="107">
        <f t="shared" si="1947"/>
        <v>1.8519167499625264</v>
      </c>
      <c r="EM231" s="107">
        <f t="shared" si="2015"/>
        <v>1.3034867023768626</v>
      </c>
      <c r="EO231" s="107">
        <f t="shared" si="1948"/>
        <v>5.9767054807437017</v>
      </c>
      <c r="EP231" s="107">
        <f t="shared" si="70"/>
        <v>3.7646593690955088</v>
      </c>
      <c r="EQ231" s="107">
        <f t="shared" si="1949"/>
        <v>1.5875820080316205</v>
      </c>
      <c r="ER231" s="107">
        <f t="shared" si="1950"/>
        <v>1.8612097182041991</v>
      </c>
      <c r="ES231" s="107">
        <f t="shared" si="2028"/>
        <v>1.2939649816506591</v>
      </c>
      <c r="EU231" s="107">
        <f t="shared" si="1951"/>
        <v>1.9541685579888166</v>
      </c>
      <c r="EV231" s="107">
        <f t="shared" si="71"/>
        <v>3.7646593690955088</v>
      </c>
      <c r="EW231" s="107">
        <f t="shared" si="1952"/>
        <v>1.0143745764572543</v>
      </c>
      <c r="EX231" s="107">
        <f t="shared" si="1953"/>
        <v>1.8773991690387828</v>
      </c>
      <c r="EY231" s="107">
        <f t="shared" si="2029"/>
        <v>1.2152336580884815</v>
      </c>
      <c r="FA231" s="107">
        <f t="shared" si="2030"/>
        <v>1.9542532839296269</v>
      </c>
      <c r="FB231" s="107">
        <f t="shared" si="72"/>
        <v>3.7649858212023797</v>
      </c>
      <c r="FC231" s="107">
        <f t="shared" si="1954"/>
        <v>1.0143745764572543</v>
      </c>
      <c r="FD231" s="107">
        <f t="shared" si="1955"/>
        <v>1.8773991690387828</v>
      </c>
      <c r="FE231" s="107">
        <f t="shared" si="2031"/>
        <v>1.2828274567811659</v>
      </c>
      <c r="FF231" s="141">
        <f t="shared" si="1794"/>
        <v>-5.3915494794528174</v>
      </c>
      <c r="FG231" s="107">
        <f t="shared" si="2032"/>
        <v>3.8740039274752851</v>
      </c>
      <c r="FH231" s="133">
        <f t="shared" si="1957"/>
        <v>3.7649858212023797</v>
      </c>
      <c r="FI231" s="133">
        <f t="shared" si="1958"/>
        <v>1.0289557813628338</v>
      </c>
      <c r="FJ231" s="107">
        <f t="shared" si="1959"/>
        <v>1.0557391366285294</v>
      </c>
      <c r="FK231" s="107">
        <f t="shared" si="2033"/>
        <v>1.2911774514926171</v>
      </c>
      <c r="FL231" s="141">
        <f t="shared" si="1795"/>
        <v>-4.5565500083077026</v>
      </c>
      <c r="FM231" s="107">
        <f t="shared" si="2034"/>
        <v>5.9181444625238075</v>
      </c>
      <c r="FN231" s="133">
        <f t="shared" si="1961"/>
        <v>3.7649858212023797</v>
      </c>
      <c r="FO231" s="133">
        <f t="shared" si="1962"/>
        <v>0.82217529896137254</v>
      </c>
      <c r="FP231" s="133">
        <f t="shared" si="1963"/>
        <v>1.8309833423600554</v>
      </c>
      <c r="FQ231" s="107">
        <f t="shared" si="1964"/>
        <v>1.8612097182041991</v>
      </c>
      <c r="FR231" s="107">
        <f t="shared" si="2035"/>
        <v>1.2782207325472001</v>
      </c>
      <c r="FS231" s="141">
        <f t="shared" si="1796"/>
        <v>-5.8522219028493971</v>
      </c>
      <c r="FT231" s="107">
        <f t="shared" si="2036"/>
        <v>6.8936263228433514</v>
      </c>
      <c r="FU231" s="133">
        <f t="shared" si="1966"/>
        <v>3.7649858212023797</v>
      </c>
      <c r="FV231" s="133">
        <f t="shared" si="1967"/>
        <v>1.8309833423600554</v>
      </c>
      <c r="FW231" s="107">
        <f t="shared" si="1968"/>
        <v>1.8612097182041991</v>
      </c>
      <c r="FY231">
        <v>0.95</v>
      </c>
      <c r="FZ231" s="62">
        <f t="shared" si="2074"/>
        <v>1.2603001249398191</v>
      </c>
      <c r="GA231" s="62">
        <f t="shared" si="2075"/>
        <v>2.0251955098445942</v>
      </c>
      <c r="GB231" s="107">
        <f t="shared" si="525"/>
        <v>1.2820451255031198</v>
      </c>
      <c r="GC231" s="440"/>
      <c r="GD231" s="17"/>
      <c r="GE231" s="442"/>
      <c r="GF231" s="462"/>
      <c r="GG231" s="17"/>
      <c r="GH231" s="17"/>
      <c r="GI231" s="17"/>
      <c r="GJ231" s="17"/>
      <c r="GL231" s="17"/>
      <c r="GM231" s="442"/>
      <c r="GN231" s="8"/>
      <c r="GO231" s="8"/>
      <c r="GP231" s="8"/>
      <c r="GQ231" s="8"/>
      <c r="GS231" s="17"/>
      <c r="GT231" s="17"/>
      <c r="GU231" s="17"/>
      <c r="GV231" s="629"/>
      <c r="GW231" s="17"/>
      <c r="GX231" s="17"/>
      <c r="GY231" s="17"/>
      <c r="GZ231" s="17"/>
    </row>
    <row r="232" spans="1:208" ht="15.6" x14ac:dyDescent="0.3">
      <c r="A232" s="60" t="s">
        <v>29</v>
      </c>
      <c r="B232" s="218"/>
      <c r="C232" s="14" t="str">
        <f>C230</f>
        <v>Gaffel</v>
      </c>
      <c r="G232" s="54"/>
      <c r="H232" s="204">
        <f>IF(StH=0,0,TBFavrundet)</f>
        <v>128.5</v>
      </c>
      <c r="I232" s="63">
        <f>COUNTA(O232:AG232)</f>
        <v>3</v>
      </c>
      <c r="J232" s="222">
        <f>SUM(O232:AG232)</f>
        <v>114.6</v>
      </c>
      <c r="K232" s="116">
        <f>Seilareal/Depl^0.667/K$7</f>
        <v>1.5448041419135194</v>
      </c>
      <c r="L232" s="116">
        <f>Seilareal/Lwl/Lwl/L$7</f>
        <v>1.2075332534356022</v>
      </c>
      <c r="M232" s="92">
        <f>RiggF</f>
        <v>0.80226876090750443</v>
      </c>
      <c r="N232" s="242">
        <f>StHfaktor</f>
        <v>1.0030913449559995</v>
      </c>
      <c r="O232" s="143"/>
      <c r="P232" s="143"/>
      <c r="Q232" s="143"/>
      <c r="R232" s="165">
        <v>31</v>
      </c>
      <c r="S232" s="143"/>
      <c r="T232" s="143"/>
      <c r="U232" s="165">
        <v>19.8</v>
      </c>
      <c r="V232" s="559"/>
      <c r="W232" s="559"/>
      <c r="X232" s="165">
        <v>63.8</v>
      </c>
      <c r="Y232" s="143"/>
      <c r="Z232" s="143"/>
      <c r="AA232" s="143"/>
      <c r="AB232" s="143"/>
      <c r="AC232" s="143"/>
      <c r="AD232" s="143"/>
      <c r="AE232" s="143"/>
      <c r="AF232" s="143"/>
      <c r="AG232" s="551"/>
      <c r="AH232" s="557">
        <f t="shared" ref="AH232:AI232" si="2132">AH231</f>
        <v>0</v>
      </c>
      <c r="AI232" s="557">
        <f t="shared" si="2132"/>
        <v>12.3</v>
      </c>
      <c r="AJ232" s="337">
        <f t="shared" si="2122"/>
        <v>0</v>
      </c>
      <c r="AK232" s="339"/>
      <c r="AL232" s="337">
        <f t="shared" si="2122"/>
        <v>0</v>
      </c>
      <c r="AM232" s="339"/>
      <c r="AN232" s="267" t="str">
        <f t="shared" ref="AN232" si="2133" xml:space="preserve"> AN231</f>
        <v>Lystb</v>
      </c>
      <c r="AO232" s="45">
        <f>VLOOKUP(AN232,Skrogform!$1:$1048576,3,FALSE)</f>
        <v>0.98</v>
      </c>
      <c r="AP232" s="64">
        <f t="shared" ref="AP232:AZ232" si="2134">AP231</f>
        <v>13.41</v>
      </c>
      <c r="AQ232" s="64">
        <f t="shared" si="2134"/>
        <v>12</v>
      </c>
      <c r="AR232" s="64">
        <f t="shared" si="2134"/>
        <v>4</v>
      </c>
      <c r="AS232" s="64">
        <f t="shared" si="2134"/>
        <v>2.2000000000000002</v>
      </c>
      <c r="AT232" s="64">
        <f t="shared" ref="AT232" si="2135">AT231</f>
        <v>18</v>
      </c>
      <c r="AU232" s="64">
        <f t="shared" si="2134"/>
        <v>18</v>
      </c>
      <c r="AV232" s="64">
        <f t="shared" si="2134"/>
        <v>4</v>
      </c>
      <c r="AW232" s="64">
        <f t="shared" si="2134"/>
        <v>2</v>
      </c>
      <c r="AX232" s="256">
        <f>AX231</f>
        <v>0</v>
      </c>
      <c r="AY232" s="256">
        <f t="shared" si="2134"/>
        <v>110</v>
      </c>
      <c r="AZ232" s="256">
        <f t="shared" si="2134"/>
        <v>400</v>
      </c>
      <c r="BA232" s="256">
        <f t="shared" ref="BA232:BB232" si="2136">BA231</f>
        <v>0</v>
      </c>
      <c r="BB232" s="256">
        <f t="shared" si="2136"/>
        <v>0</v>
      </c>
      <c r="BC232" s="256"/>
      <c r="BD232" s="66"/>
      <c r="BE232" s="66"/>
      <c r="BF232" s="261"/>
      <c r="BG232" s="66"/>
      <c r="BH232" s="175"/>
      <c r="BI232" s="66"/>
      <c r="BJ232" s="66"/>
      <c r="BK232" s="65" t="str">
        <f t="shared" ref="BK232:BM232" si="2137" xml:space="preserve"> BK231</f>
        <v>Fast</v>
      </c>
      <c r="BL232" s="267">
        <f t="shared" si="2137"/>
        <v>3</v>
      </c>
      <c r="BM232" s="267">
        <f t="shared" si="2137"/>
        <v>50</v>
      </c>
      <c r="BN232" s="45">
        <f t="shared" si="1932"/>
        <v>0.9850495979846261</v>
      </c>
      <c r="BO232" s="59"/>
      <c r="BP232" s="59"/>
      <c r="BR232" s="49">
        <f t="shared" si="2128"/>
        <v>0</v>
      </c>
      <c r="BS232" s="49">
        <f t="shared" si="2128"/>
        <v>0</v>
      </c>
      <c r="BT232" s="49">
        <f t="shared" si="2128"/>
        <v>0</v>
      </c>
      <c r="BU232" s="49">
        <f t="shared" si="2128"/>
        <v>31</v>
      </c>
      <c r="BV232" s="49">
        <f t="shared" si="2128"/>
        <v>0</v>
      </c>
      <c r="BW232" s="49">
        <f t="shared" si="2128"/>
        <v>0</v>
      </c>
      <c r="BX232" s="49">
        <f t="shared" si="2128"/>
        <v>19.8</v>
      </c>
      <c r="BY232" s="549">
        <f>IF(COUNT(Q232:U232)&gt;1,MINA(Q232:U232)*BY$9,0)</f>
        <v>-9.9</v>
      </c>
      <c r="BZ232" s="85">
        <f t="shared" si="2129"/>
        <v>0</v>
      </c>
      <c r="CA232" s="85">
        <f t="shared" si="2129"/>
        <v>0</v>
      </c>
      <c r="CB232" s="85">
        <f t="shared" si="2129"/>
        <v>51.04</v>
      </c>
      <c r="CC232" s="85">
        <f t="shared" si="2129"/>
        <v>0</v>
      </c>
      <c r="CD232" s="85">
        <f t="shared" si="2129"/>
        <v>0</v>
      </c>
      <c r="CE232" s="85">
        <f>IF(AC232=0,0,AC232*CE$9)</f>
        <v>0</v>
      </c>
      <c r="CF232" s="85">
        <f t="shared" si="2130"/>
        <v>0</v>
      </c>
      <c r="CG232" s="85">
        <f t="shared" si="2130"/>
        <v>0</v>
      </c>
      <c r="CH232" s="85">
        <f t="shared" si="2131"/>
        <v>0</v>
      </c>
      <c r="CI232" s="85">
        <f t="shared" si="2131"/>
        <v>0</v>
      </c>
      <c r="CJ232" s="85">
        <f t="shared" si="2131"/>
        <v>0</v>
      </c>
      <c r="CK232" s="85">
        <f t="shared" si="2131"/>
        <v>0</v>
      </c>
      <c r="CL232" s="100">
        <f>SUM(BR232:CK232)</f>
        <v>91.94</v>
      </c>
      <c r="CM232" s="50"/>
      <c r="CN232" s="104">
        <f>J232</f>
        <v>114.6</v>
      </c>
      <c r="CO232" s="101">
        <f>CL232/CN232</f>
        <v>0.80226876090750443</v>
      </c>
      <c r="CP232" s="51">
        <f>Seilareal/Lwl/Lwl</f>
        <v>0.79583333333333328</v>
      </c>
      <c r="CQ232" s="116">
        <f>Seilareal/Depl^0.667/K$7</f>
        <v>1.5448041419135194</v>
      </c>
      <c r="CR232" s="51">
        <f>Seilareal/Lwl/Lwl/SApRS1</f>
        <v>1.2075332534356022</v>
      </c>
      <c r="CS232" s="204"/>
      <c r="CT232" s="204">
        <f>(ROUND(TBF/CT$6,3)*CT$6)*CT$4</f>
        <v>128.5</v>
      </c>
      <c r="CU232" s="107">
        <f t="shared" si="1041"/>
        <v>1.2849993116353622</v>
      </c>
      <c r="CV232" s="62">
        <f t="shared" si="2119"/>
        <v>3.6565282819413905</v>
      </c>
      <c r="CW232" s="62">
        <f t="shared" si="998"/>
        <v>1.7822036920621616</v>
      </c>
      <c r="CX232" s="62">
        <f t="shared" si="2120"/>
        <v>1.8612097182041991</v>
      </c>
      <c r="CY232" s="107">
        <f t="shared" si="999"/>
        <v>1.0030913449559995</v>
      </c>
      <c r="CZ232" s="168" t="str">
        <f t="shared" si="1875"/>
        <v>-</v>
      </c>
      <c r="DA232" s="158"/>
      <c r="DB232" s="168" t="str">
        <f t="shared" si="1980"/>
        <v>-</v>
      </c>
      <c r="DC232" s="160"/>
      <c r="DD232" s="190" t="s">
        <v>134</v>
      </c>
      <c r="DE232" s="62">
        <v>1.02</v>
      </c>
      <c r="DF232" s="62">
        <v>0.95</v>
      </c>
      <c r="DG232" s="62">
        <v>1.02</v>
      </c>
      <c r="DH232" s="150">
        <v>1.06</v>
      </c>
      <c r="DI232" s="62">
        <f t="shared" si="2007"/>
        <v>2.0388160736299663</v>
      </c>
      <c r="DJ232" s="47">
        <f t="shared" si="2008"/>
        <v>12.941176470588237</v>
      </c>
      <c r="DK232" s="48">
        <f t="shared" si="2009"/>
        <v>0</v>
      </c>
      <c r="DM232" s="107">
        <f t="shared" si="2027"/>
        <v>1.2481050191430325</v>
      </c>
      <c r="DN232" s="141" t="str">
        <f t="shared" si="1791"/>
        <v>-</v>
      </c>
      <c r="DO232" s="107">
        <f t="shared" si="2010"/>
        <v>5.4900466518228646</v>
      </c>
      <c r="DP232" s="133">
        <f>IF(SeilBeregnet=0,DP231,(SeilBeregnet^0.5/(Depl^0.3333))^DP$3*DP$7)</f>
        <v>3.6590633094628089</v>
      </c>
      <c r="DQ232" s="133">
        <f>IF(SeilBeregnet=0,DQ231,(SeilBeregnet^0.5/Lwl)^DQ$3*DQ$7)</f>
        <v>0</v>
      </c>
      <c r="DR232" s="133">
        <f>IF(SeilBeregnet=0,DR231,(0.1*Loa/Depl^0.3333)^DR$3*DR$7)</f>
        <v>0</v>
      </c>
      <c r="DS232" s="133">
        <f>IF(SeilBeregnet=0,DS231,((Loa)/Bredde)^DS$3*DS$7)</f>
        <v>1.8309833423600554</v>
      </c>
      <c r="DT232" s="107">
        <f>IF(SeilBeregnet=0,DT231,(Lwl)^DT$3)</f>
        <v>1.8612097182041991</v>
      </c>
      <c r="DU232" s="133">
        <f>IF(SeilBeregnet=0,DU231,(Dypg/Loa)^DU$3*5*DU$7)</f>
        <v>2.0251955098445942</v>
      </c>
      <c r="DW232" s="107">
        <f t="shared" si="512"/>
        <v>1.3112237873830226</v>
      </c>
      <c r="DX232" s="107">
        <f t="shared" si="2011"/>
        <v>1.2336701487964434</v>
      </c>
      <c r="DZ232" s="107">
        <f t="shared" si="2012"/>
        <v>1.2181905920278018</v>
      </c>
      <c r="EA232" s="122" t="str">
        <f t="shared" si="1792"/>
        <v>-</v>
      </c>
      <c r="EB232" s="107">
        <f t="shared" si="2013"/>
        <v>1.2982349875912034</v>
      </c>
      <c r="EC232" s="122" t="str">
        <f t="shared" si="1793"/>
        <v>-</v>
      </c>
      <c r="ED232" s="107">
        <f t="shared" si="67"/>
        <v>3.6587460416208368</v>
      </c>
      <c r="EE232" s="107">
        <f t="shared" si="68"/>
        <v>2.2892388590912591</v>
      </c>
      <c r="EF232" s="107">
        <f t="shared" si="1945"/>
        <v>1.5875820080316205</v>
      </c>
      <c r="EH232" s="107">
        <f t="shared" si="2014"/>
        <v>1.2815595038201431</v>
      </c>
      <c r="EJ232" s="107">
        <f t="shared" si="69"/>
        <v>3.6587460416208368</v>
      </c>
      <c r="EK232" s="107">
        <f t="shared" si="1946"/>
        <v>2.2894095217983113</v>
      </c>
      <c r="EL232" s="107">
        <f t="shared" si="1947"/>
        <v>1.8519167499625264</v>
      </c>
      <c r="EM232" s="107">
        <f t="shared" si="2015"/>
        <v>1.2760096697906618</v>
      </c>
      <c r="EO232" s="107">
        <f t="shared" si="1948"/>
        <v>5.8085593876341512</v>
      </c>
      <c r="EP232" s="107">
        <f t="shared" si="70"/>
        <v>3.6587460416208368</v>
      </c>
      <c r="EQ232" s="107">
        <f t="shared" si="1949"/>
        <v>1.5875820080316205</v>
      </c>
      <c r="ER232" s="107">
        <f t="shared" si="1950"/>
        <v>1.8612097182041991</v>
      </c>
      <c r="ES232" s="107">
        <f t="shared" si="2028"/>
        <v>1.2693300122211035</v>
      </c>
      <c r="EU232" s="107">
        <f t="shared" si="1951"/>
        <v>1.9264835754124123</v>
      </c>
      <c r="EV232" s="107">
        <f t="shared" si="71"/>
        <v>3.6587460416208368</v>
      </c>
      <c r="EW232" s="107">
        <f t="shared" si="1952"/>
        <v>1.0143745764572543</v>
      </c>
      <c r="EX232" s="107">
        <f t="shared" si="1953"/>
        <v>1.8773991690387828</v>
      </c>
      <c r="EY232" s="107">
        <f t="shared" si="2029"/>
        <v>1.1980172708362657</v>
      </c>
      <c r="FA232" s="107">
        <f t="shared" si="2030"/>
        <v>1.9265671010288263</v>
      </c>
      <c r="FB232" s="107">
        <f t="shared" si="72"/>
        <v>3.6590633094628089</v>
      </c>
      <c r="FC232" s="107">
        <f t="shared" si="1954"/>
        <v>1.0143745764572543</v>
      </c>
      <c r="FD232" s="107">
        <f t="shared" si="1955"/>
        <v>1.8773991690387828</v>
      </c>
      <c r="FE232" s="107">
        <f t="shared" si="2031"/>
        <v>1.2590251528468805</v>
      </c>
      <c r="FF232" s="141" t="str">
        <f t="shared" si="1794"/>
        <v>-</v>
      </c>
      <c r="FG232" s="107">
        <f t="shared" si="2032"/>
        <v>3.7650143466443811</v>
      </c>
      <c r="FH232" s="133">
        <f t="shared" si="1957"/>
        <v>3.6590633094628089</v>
      </c>
      <c r="FI232" s="133">
        <f t="shared" si="1958"/>
        <v>1.0289557813628338</v>
      </c>
      <c r="FJ232" s="107">
        <f t="shared" si="1959"/>
        <v>1.0557391366285294</v>
      </c>
      <c r="FK232" s="107">
        <f t="shared" si="2033"/>
        <v>1.2630215594540637</v>
      </c>
      <c r="FL232" s="141" t="str">
        <f t="shared" si="1795"/>
        <v>-</v>
      </c>
      <c r="FM232" s="107">
        <f t="shared" si="2034"/>
        <v>5.7890912201807394</v>
      </c>
      <c r="FN232" s="133">
        <f t="shared" si="1961"/>
        <v>3.6590633094628089</v>
      </c>
      <c r="FO232" s="133">
        <f t="shared" si="1962"/>
        <v>0.79904456835787474</v>
      </c>
      <c r="FP232" s="133">
        <f t="shared" si="1963"/>
        <v>1.8309833423600554</v>
      </c>
      <c r="FQ232" s="107">
        <f t="shared" si="1964"/>
        <v>1.8612097182041991</v>
      </c>
      <c r="FR232" s="107">
        <f t="shared" si="2035"/>
        <v>1.255464202151225</v>
      </c>
      <c r="FS232" s="141" t="str">
        <f t="shared" si="1796"/>
        <v>-</v>
      </c>
      <c r="FT232" s="107">
        <f t="shared" si="2036"/>
        <v>6.6996839682672595</v>
      </c>
      <c r="FU232" s="133">
        <f t="shared" si="1966"/>
        <v>3.6590633094628089</v>
      </c>
      <c r="FV232" s="133">
        <f t="shared" si="1967"/>
        <v>1.8309833423600554</v>
      </c>
      <c r="FW232" s="107">
        <f t="shared" si="1968"/>
        <v>1.8612097182041991</v>
      </c>
      <c r="FY232">
        <v>0.95</v>
      </c>
      <c r="FZ232" s="62">
        <f t="shared" si="2074"/>
        <v>1.2427847381507207</v>
      </c>
      <c r="GA232" s="62">
        <f t="shared" si="2075"/>
        <v>2.0251955098445942</v>
      </c>
      <c r="GB232" s="107">
        <f t="shared" si="525"/>
        <v>1.2699077434022705</v>
      </c>
      <c r="GC232" s="440"/>
      <c r="GD232" s="17"/>
      <c r="GE232" s="442"/>
      <c r="GF232" s="462"/>
      <c r="GG232" s="17"/>
      <c r="GH232" s="17"/>
      <c r="GI232" s="17"/>
      <c r="GJ232" s="17"/>
      <c r="GL232" s="17"/>
      <c r="GM232" s="442"/>
      <c r="GN232" s="8"/>
      <c r="GO232" s="8"/>
      <c r="GP232" s="8"/>
      <c r="GQ232" s="8"/>
      <c r="GS232" s="17"/>
      <c r="GT232" s="17"/>
      <c r="GU232" s="17"/>
      <c r="GV232" s="629"/>
      <c r="GW232" s="17"/>
      <c r="GX232" s="17"/>
      <c r="GY232" s="17"/>
      <c r="GZ232" s="17"/>
    </row>
    <row r="233" spans="1:208" ht="15.6" x14ac:dyDescent="0.3">
      <c r="A233" s="60" t="s">
        <v>30</v>
      </c>
      <c r="B233" s="218"/>
      <c r="C233" s="14" t="str">
        <f>C231</f>
        <v>Gaffel</v>
      </c>
      <c r="G233" s="54"/>
      <c r="H233" s="204">
        <f>IF(StH=0,0,TBFavrundet)</f>
        <v>122.50000000000001</v>
      </c>
      <c r="I233" s="63">
        <f>COUNTA(O233:AG233)</f>
        <v>3</v>
      </c>
      <c r="J233" s="222">
        <f>SUM(O233:AG233)</f>
        <v>100.3</v>
      </c>
      <c r="K233" s="116">
        <f>Seilareal/Depl^0.667/K$7</f>
        <v>1.3520406233326876</v>
      </c>
      <c r="L233" s="116">
        <f>Seilareal/Lwl/Lwl/L$7</f>
        <v>1.0568550202407583</v>
      </c>
      <c r="M233" s="92">
        <f>RiggF</f>
        <v>0.78953140578265202</v>
      </c>
      <c r="N233" s="242">
        <f>StHfaktor</f>
        <v>1.0030913449559995</v>
      </c>
      <c r="O233" s="143"/>
      <c r="P233" s="143"/>
      <c r="Q233" s="143"/>
      <c r="R233" s="143"/>
      <c r="S233" s="165">
        <v>16.7</v>
      </c>
      <c r="T233" s="143"/>
      <c r="U233" s="165">
        <v>19.8</v>
      </c>
      <c r="V233" s="559"/>
      <c r="W233" s="559"/>
      <c r="X233" s="165">
        <v>63.8</v>
      </c>
      <c r="Y233" s="143"/>
      <c r="Z233" s="143"/>
      <c r="AA233" s="143"/>
      <c r="AB233" s="143"/>
      <c r="AC233" s="143"/>
      <c r="AD233" s="143"/>
      <c r="AE233" s="143"/>
      <c r="AF233" s="143"/>
      <c r="AG233" s="551"/>
      <c r="AH233" s="557">
        <f t="shared" ref="AH233:AI233" si="2138">AH232</f>
        <v>0</v>
      </c>
      <c r="AI233" s="557">
        <f t="shared" si="2138"/>
        <v>12.3</v>
      </c>
      <c r="AJ233" s="337">
        <f t="shared" si="2122"/>
        <v>0</v>
      </c>
      <c r="AK233" s="339"/>
      <c r="AL233" s="337">
        <f t="shared" si="2122"/>
        <v>0</v>
      </c>
      <c r="AM233" s="339"/>
      <c r="AN233" s="267" t="str">
        <f t="shared" ref="AN233" si="2139" xml:space="preserve"> AN232</f>
        <v>Lystb</v>
      </c>
      <c r="AO233" s="45">
        <f>VLOOKUP(AN233,Skrogform!$1:$1048576,3,FALSE)</f>
        <v>0.98</v>
      </c>
      <c r="AP233" s="64">
        <f t="shared" ref="AP233:AZ233" si="2140">AP232</f>
        <v>13.41</v>
      </c>
      <c r="AQ233" s="64">
        <f t="shared" si="2140"/>
        <v>12</v>
      </c>
      <c r="AR233" s="64">
        <f t="shared" si="2140"/>
        <v>4</v>
      </c>
      <c r="AS233" s="64">
        <f t="shared" si="2140"/>
        <v>2.2000000000000002</v>
      </c>
      <c r="AT233" s="64">
        <f t="shared" ref="AT233" si="2141">AT232</f>
        <v>18</v>
      </c>
      <c r="AU233" s="64">
        <f t="shared" si="2140"/>
        <v>18</v>
      </c>
      <c r="AV233" s="64">
        <f t="shared" si="2140"/>
        <v>4</v>
      </c>
      <c r="AW233" s="64">
        <f t="shared" si="2140"/>
        <v>2</v>
      </c>
      <c r="AX233" s="256">
        <f>AX232</f>
        <v>0</v>
      </c>
      <c r="AY233" s="256">
        <f t="shared" si="2140"/>
        <v>110</v>
      </c>
      <c r="AZ233" s="256">
        <f t="shared" si="2140"/>
        <v>400</v>
      </c>
      <c r="BA233" s="256">
        <f t="shared" ref="BA233:BB233" si="2142">BA232</f>
        <v>0</v>
      </c>
      <c r="BB233" s="256">
        <f t="shared" si="2142"/>
        <v>0</v>
      </c>
      <c r="BC233" s="256"/>
      <c r="BD233" s="66"/>
      <c r="BE233" s="66"/>
      <c r="BF233" s="261"/>
      <c r="BG233" s="66"/>
      <c r="BH233" s="175"/>
      <c r="BI233" s="66"/>
      <c r="BJ233" s="66"/>
      <c r="BK233" s="65" t="str">
        <f t="shared" ref="BK233:BM233" si="2143" xml:space="preserve"> BK232</f>
        <v>Fast</v>
      </c>
      <c r="BL233" s="267">
        <f t="shared" si="2143"/>
        <v>3</v>
      </c>
      <c r="BM233" s="267">
        <f t="shared" si="2143"/>
        <v>50</v>
      </c>
      <c r="BN233" s="45">
        <f t="shared" si="1932"/>
        <v>0.9850495979846261</v>
      </c>
      <c r="BO233" s="59"/>
      <c r="BP233" s="59"/>
      <c r="BR233" s="49">
        <f t="shared" si="2128"/>
        <v>0</v>
      </c>
      <c r="BS233" s="49">
        <f t="shared" si="2128"/>
        <v>0</v>
      </c>
      <c r="BT233" s="49">
        <f t="shared" si="2128"/>
        <v>0</v>
      </c>
      <c r="BU233" s="49">
        <f t="shared" si="2128"/>
        <v>0</v>
      </c>
      <c r="BV233" s="49">
        <f t="shared" si="2128"/>
        <v>16.7</v>
      </c>
      <c r="BW233" s="49">
        <f t="shared" si="2128"/>
        <v>0</v>
      </c>
      <c r="BX233" s="49">
        <f t="shared" si="2128"/>
        <v>19.8</v>
      </c>
      <c r="BY233" s="549">
        <f>IF(COUNT(Q233:U233)&gt;1,MINA(Q233:U233)*BY$9,0)</f>
        <v>-8.35</v>
      </c>
      <c r="BZ233" s="85">
        <f t="shared" si="2129"/>
        <v>0</v>
      </c>
      <c r="CA233" s="85">
        <f t="shared" si="2129"/>
        <v>0</v>
      </c>
      <c r="CB233" s="85">
        <f t="shared" si="2129"/>
        <v>51.04</v>
      </c>
      <c r="CC233" s="85">
        <f t="shared" si="2129"/>
        <v>0</v>
      </c>
      <c r="CD233" s="85">
        <f t="shared" si="2129"/>
        <v>0</v>
      </c>
      <c r="CE233" s="85">
        <f>IF(AC233=0,0,AC233*CE$9)</f>
        <v>0</v>
      </c>
      <c r="CF233" s="85">
        <f t="shared" si="2130"/>
        <v>0</v>
      </c>
      <c r="CG233" s="85">
        <f t="shared" si="2130"/>
        <v>0</v>
      </c>
      <c r="CH233" s="85">
        <f t="shared" si="2131"/>
        <v>0</v>
      </c>
      <c r="CI233" s="85">
        <f t="shared" si="2131"/>
        <v>0</v>
      </c>
      <c r="CJ233" s="85">
        <f t="shared" si="2131"/>
        <v>0</v>
      </c>
      <c r="CK233" s="85">
        <f t="shared" si="2131"/>
        <v>0</v>
      </c>
      <c r="CL233" s="100">
        <f>SUM(BR233:CK233)</f>
        <v>79.19</v>
      </c>
      <c r="CM233" s="50"/>
      <c r="CN233" s="104">
        <f>J233</f>
        <v>100.3</v>
      </c>
      <c r="CO233" s="101">
        <f>CL233/CN233</f>
        <v>0.78953140578265202</v>
      </c>
      <c r="CP233" s="51">
        <f>Seilareal/Lwl/Lwl</f>
        <v>0.69652777777777775</v>
      </c>
      <c r="CQ233" s="116">
        <f>Seilareal/Depl^0.667/K$7</f>
        <v>1.3520406233326876</v>
      </c>
      <c r="CR233" s="51">
        <f>Seilareal/Lwl/Lwl/SApRS1</f>
        <v>1.0568550202407583</v>
      </c>
      <c r="CS233" s="204"/>
      <c r="CT233" s="204">
        <f>(ROUND(TBF/CT$6,3)*CT$6)*CT$4</f>
        <v>122.50000000000001</v>
      </c>
      <c r="CU233" s="107">
        <f t="shared" si="1041"/>
        <v>1.2228614919951348</v>
      </c>
      <c r="CV233" s="62">
        <f t="shared" si="2119"/>
        <v>3.3935312955522896</v>
      </c>
      <c r="CW233" s="62">
        <f t="shared" si="998"/>
        <v>1.7822036920621616</v>
      </c>
      <c r="CX233" s="62">
        <f t="shared" si="2120"/>
        <v>1.8612097182041991</v>
      </c>
      <c r="CY233" s="107">
        <f t="shared" si="999"/>
        <v>1.0030913449559995</v>
      </c>
      <c r="CZ233" s="168" t="str">
        <f t="shared" si="1875"/>
        <v>-</v>
      </c>
      <c r="DA233" s="158"/>
      <c r="DB233" s="168" t="str">
        <f t="shared" si="1980"/>
        <v>-</v>
      </c>
      <c r="DC233" s="160"/>
      <c r="DD233" s="190" t="s">
        <v>134</v>
      </c>
      <c r="DE233" s="62">
        <v>0.96</v>
      </c>
      <c r="DF233" s="62">
        <v>0.92</v>
      </c>
      <c r="DG233" s="62">
        <v>0.96</v>
      </c>
      <c r="DH233" s="62">
        <v>1</v>
      </c>
      <c r="DI233" s="62">
        <f t="shared" si="2007"/>
        <v>2.0388160736299663</v>
      </c>
      <c r="DJ233" s="47">
        <f t="shared" si="2008"/>
        <v>12.941176470588237</v>
      </c>
      <c r="DK233" s="48">
        <f t="shared" si="2009"/>
        <v>0</v>
      </c>
      <c r="DM233" s="107">
        <f t="shared" si="2027"/>
        <v>1.1882739375701936</v>
      </c>
      <c r="DN233" s="141" t="str">
        <f t="shared" si="1791"/>
        <v>-</v>
      </c>
      <c r="DO233" s="107">
        <f t="shared" si="2010"/>
        <v>5.2268673327544732</v>
      </c>
      <c r="DP233" s="133">
        <f>IF(SeilBeregnet=0,DP232,(SeilBeregnet^0.5/(Depl^0.3333))^DP$3*DP$7)</f>
        <v>3.395883990394418</v>
      </c>
      <c r="DQ233" s="133">
        <f>IF(SeilBeregnet=0,DQ232,(SeilBeregnet^0.5/Lwl)^DQ$3*DQ$7)</f>
        <v>0</v>
      </c>
      <c r="DR233" s="133">
        <f>IF(SeilBeregnet=0,DR232,(0.1*Loa/Depl^0.3333)^DR$3*DR$7)</f>
        <v>0</v>
      </c>
      <c r="DS233" s="133">
        <f>IF(SeilBeregnet=0,DS232,((Loa)/Bredde)^DS$3*DS$7)</f>
        <v>1.8309833423600554</v>
      </c>
      <c r="DT233" s="107">
        <f>IF(SeilBeregnet=0,DT232,(Lwl)^DT$3)</f>
        <v>1.8612097182041991</v>
      </c>
      <c r="DU233" s="133">
        <f>IF(SeilBeregnet=0,DU232,(Dypg/Loa)^DU$3*5*DU$7)</f>
        <v>2.0251955098445942</v>
      </c>
      <c r="DW233" s="107">
        <f t="shared" si="512"/>
        <v>1.2478178489746277</v>
      </c>
      <c r="DX233" s="107">
        <f t="shared" si="2011"/>
        <v>1.1625066968954803</v>
      </c>
      <c r="DZ233" s="107">
        <f t="shared" si="2012"/>
        <v>1.1603153660044589</v>
      </c>
      <c r="EA233" s="122" t="str">
        <f t="shared" si="1792"/>
        <v>-</v>
      </c>
      <c r="EB233" s="107">
        <f t="shared" si="2013"/>
        <v>1.2249899169530747</v>
      </c>
      <c r="EC233" s="122" t="str">
        <f t="shared" si="1793"/>
        <v>-</v>
      </c>
      <c r="ED233" s="107">
        <f t="shared" si="67"/>
        <v>3.395589542145208</v>
      </c>
      <c r="EE233" s="107">
        <f t="shared" si="68"/>
        <v>2.2892388590912591</v>
      </c>
      <c r="EF233" s="107">
        <f t="shared" si="1945"/>
        <v>1.5875820080316205</v>
      </c>
      <c r="EH233" s="107">
        <f t="shared" si="2014"/>
        <v>1.2153720442985989</v>
      </c>
      <c r="EJ233" s="107">
        <f t="shared" si="69"/>
        <v>3.395589542145208</v>
      </c>
      <c r="EK233" s="107">
        <f t="shared" si="1946"/>
        <v>2.2894095217983113</v>
      </c>
      <c r="EL233" s="107">
        <f t="shared" si="1947"/>
        <v>1.8519167499625264</v>
      </c>
      <c r="EM233" s="107">
        <f t="shared" si="2015"/>
        <v>1.2077391330813745</v>
      </c>
      <c r="EO233" s="107">
        <f t="shared" si="1948"/>
        <v>5.3907768637700606</v>
      </c>
      <c r="EP233" s="107">
        <f t="shared" si="70"/>
        <v>3.395589542145208</v>
      </c>
      <c r="EQ233" s="107">
        <f t="shared" si="1949"/>
        <v>1.5875820080316205</v>
      </c>
      <c r="ER233" s="107">
        <f t="shared" si="1950"/>
        <v>1.8612097182041991</v>
      </c>
      <c r="ES233" s="107">
        <f t="shared" si="2028"/>
        <v>1.2065308888493667</v>
      </c>
      <c r="EU233" s="107">
        <f t="shared" si="1951"/>
        <v>1.8559094007079728</v>
      </c>
      <c r="EV233" s="107">
        <f t="shared" si="71"/>
        <v>3.395589542145208</v>
      </c>
      <c r="EW233" s="107">
        <f t="shared" si="1952"/>
        <v>1.0143745764572543</v>
      </c>
      <c r="EX233" s="107">
        <f t="shared" si="1953"/>
        <v>1.8773991690387828</v>
      </c>
      <c r="EY233" s="107">
        <f t="shared" si="2029"/>
        <v>1.1541294945530789</v>
      </c>
      <c r="FA233" s="107">
        <f t="shared" si="2030"/>
        <v>1.8559898664740355</v>
      </c>
      <c r="FB233" s="107">
        <f t="shared" si="72"/>
        <v>3.395883990394418</v>
      </c>
      <c r="FC233" s="107">
        <f t="shared" si="1954"/>
        <v>1.0143745764572543</v>
      </c>
      <c r="FD233" s="107">
        <f t="shared" si="1955"/>
        <v>1.8773991690387828</v>
      </c>
      <c r="FE233" s="107">
        <f t="shared" si="2031"/>
        <v>1.1998849942648595</v>
      </c>
      <c r="FF233" s="141" t="str">
        <f t="shared" si="1794"/>
        <v>-</v>
      </c>
      <c r="FG233" s="107">
        <f t="shared" si="2032"/>
        <v>3.4942144647538265</v>
      </c>
      <c r="FH233" s="133">
        <f t="shared" si="1957"/>
        <v>3.395883990394418</v>
      </c>
      <c r="FI233" s="133">
        <f t="shared" si="1958"/>
        <v>1.0289557813628338</v>
      </c>
      <c r="FJ233" s="107">
        <f t="shared" si="1959"/>
        <v>1.0557391366285294</v>
      </c>
      <c r="FK233" s="107">
        <f t="shared" si="2033"/>
        <v>1.1930643013341988</v>
      </c>
      <c r="FL233" s="141" t="str">
        <f t="shared" si="1795"/>
        <v>-</v>
      </c>
      <c r="FM233" s="107">
        <f t="shared" si="2034"/>
        <v>5.4684403605511669</v>
      </c>
      <c r="FN233" s="133">
        <f t="shared" si="1961"/>
        <v>3.395883990394418</v>
      </c>
      <c r="FO233" s="133">
        <f t="shared" si="1962"/>
        <v>0.74157302779669354</v>
      </c>
      <c r="FP233" s="133">
        <f t="shared" si="1963"/>
        <v>1.8309833423600554</v>
      </c>
      <c r="FQ233" s="107">
        <f t="shared" si="1964"/>
        <v>1.8612097182041991</v>
      </c>
      <c r="FR233" s="107">
        <f t="shared" si="2035"/>
        <v>1.198922414427223</v>
      </c>
      <c r="FS233" s="141" t="str">
        <f t="shared" si="1796"/>
        <v>-</v>
      </c>
      <c r="FT233" s="107">
        <f t="shared" si="2036"/>
        <v>6.2178070189993742</v>
      </c>
      <c r="FU233" s="133">
        <f t="shared" si="1966"/>
        <v>3.395883990394418</v>
      </c>
      <c r="FV233" s="133">
        <f t="shared" si="1967"/>
        <v>1.8309833423600554</v>
      </c>
      <c r="FW233" s="107">
        <f t="shared" si="1968"/>
        <v>1.8612097182041991</v>
      </c>
      <c r="FY233">
        <v>0.95</v>
      </c>
      <c r="FZ233" s="62">
        <f t="shared" si="2074"/>
        <v>1.1992653059481673</v>
      </c>
      <c r="GA233" s="62">
        <f t="shared" si="2075"/>
        <v>2.0251955098445942</v>
      </c>
      <c r="GB233" s="107">
        <f t="shared" si="525"/>
        <v>1.2387009726741407</v>
      </c>
      <c r="GC233" s="440"/>
      <c r="GD233" s="17"/>
      <c r="GE233" s="442"/>
      <c r="GF233" s="462"/>
      <c r="GG233" s="17"/>
      <c r="GH233" s="17"/>
      <c r="GI233" s="17"/>
      <c r="GJ233" s="17"/>
      <c r="GL233" s="17"/>
      <c r="GM233" s="442"/>
      <c r="GN233" s="8"/>
      <c r="GO233" s="8"/>
      <c r="GP233" s="8"/>
      <c r="GQ233" s="8"/>
      <c r="GS233" s="17"/>
      <c r="GT233" s="17"/>
      <c r="GU233" s="17"/>
      <c r="GV233" s="629"/>
      <c r="GW233" s="17"/>
      <c r="GX233" s="17"/>
      <c r="GY233" s="17"/>
      <c r="GZ233" s="17"/>
    </row>
    <row r="234" spans="1:208" ht="15.6" x14ac:dyDescent="0.3">
      <c r="A234" s="60" t="s">
        <v>33</v>
      </c>
      <c r="B234" s="218"/>
      <c r="C234" s="14" t="str">
        <f>C231</f>
        <v>Gaffel</v>
      </c>
      <c r="G234" s="54"/>
      <c r="H234" s="204">
        <f>TBFavrundet</f>
        <v>118</v>
      </c>
      <c r="I234" s="63">
        <f>COUNTA(O234:AG234)</f>
        <v>2</v>
      </c>
      <c r="J234" s="222">
        <f>SUM(O234:AG234)</f>
        <v>83.6</v>
      </c>
      <c r="K234" s="116">
        <f>Seilareal/Depl^0.667/K$7</f>
        <v>1.1269251855494784</v>
      </c>
      <c r="L234" s="116">
        <f>Seilareal/Lwl/Lwl/L$7</f>
        <v>0.88088813252370279</v>
      </c>
      <c r="M234" s="92">
        <f>RiggF</f>
        <v>0.84736842105263166</v>
      </c>
      <c r="N234" s="242">
        <f>StHfaktor</f>
        <v>1.0030913449559995</v>
      </c>
      <c r="O234" s="143"/>
      <c r="P234" s="143"/>
      <c r="Q234" s="143"/>
      <c r="R234" s="143"/>
      <c r="S234" s="143"/>
      <c r="T234" s="143"/>
      <c r="U234" s="165">
        <v>19.8</v>
      </c>
      <c r="V234" s="559"/>
      <c r="W234" s="559"/>
      <c r="X234" s="165">
        <v>63.8</v>
      </c>
      <c r="Y234" s="143"/>
      <c r="Z234" s="143"/>
      <c r="AA234" s="143"/>
      <c r="AB234" s="143"/>
      <c r="AC234" s="143"/>
      <c r="AD234" s="143"/>
      <c r="AE234" s="143"/>
      <c r="AF234" s="143"/>
      <c r="AG234" s="551"/>
      <c r="AH234" s="557">
        <f t="shared" ref="AH234:AI234" si="2144">AH233</f>
        <v>0</v>
      </c>
      <c r="AI234" s="557">
        <f t="shared" si="2144"/>
        <v>12.3</v>
      </c>
      <c r="AJ234" s="337">
        <f t="shared" si="2122"/>
        <v>0</v>
      </c>
      <c r="AK234" s="339"/>
      <c r="AL234" s="337">
        <f t="shared" si="2122"/>
        <v>0</v>
      </c>
      <c r="AM234" s="339"/>
      <c r="AN234" s="267" t="str">
        <f t="shared" ref="AN234" si="2145" xml:space="preserve"> AN233</f>
        <v>Lystb</v>
      </c>
      <c r="AO234" s="45">
        <f>VLOOKUP(AN234,Skrogform!$1:$1048576,3,FALSE)</f>
        <v>0.98</v>
      </c>
      <c r="AP234" s="64">
        <f t="shared" ref="AP234:AZ234" si="2146">AP233</f>
        <v>13.41</v>
      </c>
      <c r="AQ234" s="64">
        <f t="shared" si="2146"/>
        <v>12</v>
      </c>
      <c r="AR234" s="64">
        <f t="shared" si="2146"/>
        <v>4</v>
      </c>
      <c r="AS234" s="64">
        <f t="shared" si="2146"/>
        <v>2.2000000000000002</v>
      </c>
      <c r="AT234" s="64">
        <f t="shared" ref="AT234" si="2147">AT233</f>
        <v>18</v>
      </c>
      <c r="AU234" s="64">
        <f t="shared" si="2146"/>
        <v>18</v>
      </c>
      <c r="AV234" s="64">
        <f t="shared" si="2146"/>
        <v>4</v>
      </c>
      <c r="AW234" s="64">
        <f t="shared" si="2146"/>
        <v>2</v>
      </c>
      <c r="AX234" s="256">
        <f>AX233</f>
        <v>0</v>
      </c>
      <c r="AY234" s="256">
        <f t="shared" si="2146"/>
        <v>110</v>
      </c>
      <c r="AZ234" s="256">
        <f t="shared" si="2146"/>
        <v>400</v>
      </c>
      <c r="BA234" s="256">
        <f t="shared" ref="BA234:BB234" si="2148">BA233</f>
        <v>0</v>
      </c>
      <c r="BB234" s="256">
        <f t="shared" si="2148"/>
        <v>0</v>
      </c>
      <c r="BC234" s="256"/>
      <c r="BD234" s="66"/>
      <c r="BE234" s="66"/>
      <c r="BF234" s="261"/>
      <c r="BG234" s="66"/>
      <c r="BH234" s="175"/>
      <c r="BI234" s="66"/>
      <c r="BJ234" s="66"/>
      <c r="BK234" s="65" t="str">
        <f t="shared" ref="BK234:BM234" si="2149" xml:space="preserve"> BK233</f>
        <v>Fast</v>
      </c>
      <c r="BL234" s="267">
        <f t="shared" si="2149"/>
        <v>3</v>
      </c>
      <c r="BM234" s="267">
        <f t="shared" si="2149"/>
        <v>50</v>
      </c>
      <c r="BN234" s="45">
        <f t="shared" si="1932"/>
        <v>0.9850495979846261</v>
      </c>
      <c r="BO234" s="59"/>
      <c r="BP234" s="59"/>
      <c r="BR234" s="49">
        <f t="shared" si="2128"/>
        <v>0</v>
      </c>
      <c r="BS234" s="49">
        <f t="shared" si="2128"/>
        <v>0</v>
      </c>
      <c r="BT234" s="49">
        <f t="shared" si="2128"/>
        <v>0</v>
      </c>
      <c r="BU234" s="49">
        <f t="shared" si="2128"/>
        <v>0</v>
      </c>
      <c r="BV234" s="49">
        <f t="shared" si="2128"/>
        <v>0</v>
      </c>
      <c r="BW234" s="49">
        <f t="shared" si="2128"/>
        <v>0</v>
      </c>
      <c r="BX234" s="49">
        <f t="shared" si="2128"/>
        <v>19.8</v>
      </c>
      <c r="BY234" s="549">
        <f>IF(COUNT(Q234:U234)&gt;1,MINA(Q234:U234)*BY$9,0)</f>
        <v>0</v>
      </c>
      <c r="BZ234" s="85">
        <f t="shared" si="2129"/>
        <v>0</v>
      </c>
      <c r="CA234" s="85">
        <f t="shared" si="2129"/>
        <v>0</v>
      </c>
      <c r="CB234" s="85">
        <f t="shared" si="2129"/>
        <v>51.04</v>
      </c>
      <c r="CC234" s="85">
        <f t="shared" si="2129"/>
        <v>0</v>
      </c>
      <c r="CD234" s="85">
        <f t="shared" si="2129"/>
        <v>0</v>
      </c>
      <c r="CE234" s="85">
        <f>IF(AC234=0,0,AC234*CE$9)</f>
        <v>0</v>
      </c>
      <c r="CF234" s="85">
        <f t="shared" si="2130"/>
        <v>0</v>
      </c>
      <c r="CG234" s="85">
        <f t="shared" si="2130"/>
        <v>0</v>
      </c>
      <c r="CH234" s="85">
        <f t="shared" si="2131"/>
        <v>0</v>
      </c>
      <c r="CI234" s="85">
        <f t="shared" si="2131"/>
        <v>0</v>
      </c>
      <c r="CJ234" s="85">
        <f t="shared" si="2131"/>
        <v>0</v>
      </c>
      <c r="CK234" s="85">
        <f t="shared" si="2131"/>
        <v>0</v>
      </c>
      <c r="CL234" s="100">
        <f>SUM(BR234:CK234)</f>
        <v>70.84</v>
      </c>
      <c r="CM234" s="50"/>
      <c r="CN234" s="104">
        <f>J234</f>
        <v>83.6</v>
      </c>
      <c r="CO234" s="101">
        <f>CL234/CN234</f>
        <v>0.84736842105263166</v>
      </c>
      <c r="CP234" s="51">
        <f>Seilareal/Lwl/Lwl</f>
        <v>0.58055555555555549</v>
      </c>
      <c r="CQ234" s="116">
        <f>Seilareal/Depl^0.667/K$7</f>
        <v>1.1269251855494784</v>
      </c>
      <c r="CR234" s="51">
        <f>Seilareal/Lwl/Lwl/SApRS1</f>
        <v>0.88088813252370279</v>
      </c>
      <c r="CS234" s="204"/>
      <c r="CT234" s="204">
        <f>(ROUND(TBF/CT$6,3)*CT$6)*CT$4</f>
        <v>118</v>
      </c>
      <c r="CU234" s="107">
        <f t="shared" si="1041"/>
        <v>1.1794132009001128</v>
      </c>
      <c r="CV234" s="62">
        <f t="shared" si="2119"/>
        <v>3.2096373371239562</v>
      </c>
      <c r="CW234" s="62">
        <f t="shared" si="998"/>
        <v>1.7822036920621616</v>
      </c>
      <c r="CX234" s="62">
        <f t="shared" si="2120"/>
        <v>1.8612097182041991</v>
      </c>
      <c r="CY234" s="107">
        <f t="shared" si="999"/>
        <v>1.0030913449559995</v>
      </c>
      <c r="CZ234" s="168" t="str">
        <f t="shared" si="1875"/>
        <v>-</v>
      </c>
      <c r="DA234" s="158"/>
      <c r="DB234" s="168" t="str">
        <f t="shared" si="1980"/>
        <v>-</v>
      </c>
      <c r="DC234" s="160"/>
      <c r="DD234" s="190" t="s">
        <v>134</v>
      </c>
      <c r="DE234" s="62">
        <v>0.9</v>
      </c>
      <c r="DF234" s="62">
        <v>0.89</v>
      </c>
      <c r="DG234" s="62">
        <v>0.91</v>
      </c>
      <c r="DH234" s="150" t="s">
        <v>102</v>
      </c>
      <c r="DI234" s="62">
        <f t="shared" si="2007"/>
        <v>2.0388160736299663</v>
      </c>
      <c r="DJ234" s="47">
        <f t="shared" si="2008"/>
        <v>12.941176470588237</v>
      </c>
      <c r="DK234" s="48">
        <f t="shared" si="2009"/>
        <v>0</v>
      </c>
      <c r="DM234" s="107">
        <f t="shared" si="2027"/>
        <v>1.1464385744409764</v>
      </c>
      <c r="DN234" s="141" t="str">
        <f t="shared" si="1791"/>
        <v>-</v>
      </c>
      <c r="DO234" s="107">
        <f t="shared" si="2010"/>
        <v>5.0428458828342952</v>
      </c>
      <c r="DP234" s="133">
        <f>IF(SeilBeregnet=0,DP233,(SeilBeregnet^0.5/(Depl^0.3333))^DP$3*DP$7)</f>
        <v>3.2118625404742396</v>
      </c>
      <c r="DQ234" s="133">
        <f>IF(SeilBeregnet=0,DQ233,(SeilBeregnet^0.5/Lwl)^DQ$3*DQ$7)</f>
        <v>0</v>
      </c>
      <c r="DR234" s="133">
        <f>IF(SeilBeregnet=0,DR233,(0.1*Loa/Depl^0.3333)^DR$3*DR$7)</f>
        <v>0</v>
      </c>
      <c r="DS234" s="133">
        <f>IF(SeilBeregnet=0,DS233,((Loa)/Bredde)^DS$3*DS$7)</f>
        <v>1.8309833423600554</v>
      </c>
      <c r="DT234" s="107">
        <f>IF(SeilBeregnet=0,DT233,(Lwl)^DT$3)</f>
        <v>1.8612097182041991</v>
      </c>
      <c r="DU234" s="133">
        <f>IF(SeilBeregnet=0,DU233,(Dypg/Loa)^DU$3*5*DU$7)</f>
        <v>2.0251955098445942</v>
      </c>
      <c r="DW234" s="107">
        <f t="shared" si="512"/>
        <v>1.2034828580613397</v>
      </c>
      <c r="DX234" s="107">
        <f t="shared" si="2011"/>
        <v>1.1127474618366759</v>
      </c>
      <c r="DZ234" s="107">
        <f t="shared" si="2012"/>
        <v>1.1198475851584038</v>
      </c>
      <c r="EA234" s="122" t="str">
        <f t="shared" si="1792"/>
        <v>-</v>
      </c>
      <c r="EB234" s="107">
        <f t="shared" si="2013"/>
        <v>1.1737751628985145</v>
      </c>
      <c r="EC234" s="122" t="str">
        <f t="shared" si="1793"/>
        <v>-</v>
      </c>
      <c r="ED234" s="107">
        <f t="shared" si="67"/>
        <v>3.211584048245288</v>
      </c>
      <c r="EE234" s="107">
        <f t="shared" si="68"/>
        <v>2.2892388590912591</v>
      </c>
      <c r="EF234" s="107">
        <f t="shared" si="1945"/>
        <v>1.5875820080316205</v>
      </c>
      <c r="EH234" s="107">
        <f t="shared" si="2014"/>
        <v>1.1690921454417948</v>
      </c>
      <c r="EJ234" s="107">
        <f t="shared" si="69"/>
        <v>3.211584048245288</v>
      </c>
      <c r="EK234" s="107">
        <f t="shared" si="1946"/>
        <v>2.2894095217983113</v>
      </c>
      <c r="EL234" s="107">
        <f t="shared" si="1947"/>
        <v>1.8519167499625264</v>
      </c>
      <c r="EM234" s="107">
        <f t="shared" si="2015"/>
        <v>1.1600026954443157</v>
      </c>
      <c r="EO234" s="107">
        <f t="shared" si="1948"/>
        <v>5.0986530522755755</v>
      </c>
      <c r="EP234" s="107">
        <f t="shared" si="70"/>
        <v>3.211584048245288</v>
      </c>
      <c r="EQ234" s="107">
        <f t="shared" si="1949"/>
        <v>1.5875820080316205</v>
      </c>
      <c r="ER234" s="107">
        <f t="shared" si="1950"/>
        <v>1.8612097182041991</v>
      </c>
      <c r="ES234" s="107">
        <f t="shared" si="2028"/>
        <v>1.1611621192823491</v>
      </c>
      <c r="EU234" s="107">
        <f t="shared" si="1951"/>
        <v>1.804923601900005</v>
      </c>
      <c r="EV234" s="107">
        <f t="shared" si="71"/>
        <v>3.211584048245288</v>
      </c>
      <c r="EW234" s="107">
        <f t="shared" si="1952"/>
        <v>1.0143745764572543</v>
      </c>
      <c r="EX234" s="107">
        <f t="shared" si="1953"/>
        <v>1.8773991690387828</v>
      </c>
      <c r="EY234" s="107">
        <f t="shared" si="2029"/>
        <v>1.1224230900350687</v>
      </c>
      <c r="FA234" s="107">
        <f t="shared" si="2030"/>
        <v>1.8050018570994539</v>
      </c>
      <c r="FB234" s="107">
        <f t="shared" si="72"/>
        <v>3.2118625404742396</v>
      </c>
      <c r="FC234" s="107">
        <f t="shared" si="1954"/>
        <v>1.0143745764572543</v>
      </c>
      <c r="FD234" s="107">
        <f t="shared" si="1955"/>
        <v>1.8773991690387828</v>
      </c>
      <c r="FE234" s="107">
        <f t="shared" si="2031"/>
        <v>1.1585327414765447</v>
      </c>
      <c r="FF234" s="141" t="str">
        <f t="shared" si="1794"/>
        <v>-</v>
      </c>
      <c r="FG234" s="107">
        <f t="shared" si="2032"/>
        <v>3.3048645299636878</v>
      </c>
      <c r="FH234" s="133">
        <f t="shared" si="1957"/>
        <v>3.2118625404742396</v>
      </c>
      <c r="FI234" s="133">
        <f t="shared" si="1958"/>
        <v>1.0289557813628338</v>
      </c>
      <c r="FJ234" s="107">
        <f t="shared" si="1959"/>
        <v>1.0557391366285294</v>
      </c>
      <c r="FK234" s="107">
        <f t="shared" si="2033"/>
        <v>1.1441484666203308</v>
      </c>
      <c r="FL234" s="141" t="str">
        <f t="shared" si="1795"/>
        <v>-</v>
      </c>
      <c r="FM234" s="107">
        <f t="shared" si="2034"/>
        <v>5.2442333965843222</v>
      </c>
      <c r="FN234" s="133">
        <f t="shared" si="1961"/>
        <v>3.2118625404742396</v>
      </c>
      <c r="FO234" s="133">
        <f t="shared" si="1962"/>
        <v>0.70138751375002706</v>
      </c>
      <c r="FP234" s="133">
        <f t="shared" si="1963"/>
        <v>1.8309833423600554</v>
      </c>
      <c r="FQ234" s="107">
        <f t="shared" si="1964"/>
        <v>1.8612097182041991</v>
      </c>
      <c r="FR234" s="107">
        <f t="shared" si="2035"/>
        <v>1.1593870064214524</v>
      </c>
      <c r="FS234" s="141" t="str">
        <f t="shared" si="1796"/>
        <v>-</v>
      </c>
      <c r="FT234" s="107">
        <f t="shared" si="2036"/>
        <v>5.8808668095585821</v>
      </c>
      <c r="FU234" s="133">
        <f t="shared" si="1966"/>
        <v>3.2118625404742396</v>
      </c>
      <c r="FV234" s="133">
        <f t="shared" si="1967"/>
        <v>1.8309833423600554</v>
      </c>
      <c r="FW234" s="107">
        <f t="shared" si="1968"/>
        <v>1.8612097182041991</v>
      </c>
      <c r="FY234">
        <v>0.95</v>
      </c>
      <c r="FZ234" s="62">
        <f t="shared" si="2074"/>
        <v>1.1688354490659263</v>
      </c>
      <c r="GA234" s="62">
        <f t="shared" si="2075"/>
        <v>2.0251955098445942</v>
      </c>
      <c r="GB234" s="107">
        <f t="shared" si="525"/>
        <v>1.2159092999813421</v>
      </c>
      <c r="GC234" s="440"/>
      <c r="GD234" s="17"/>
      <c r="GE234" s="442"/>
      <c r="GF234" s="462"/>
      <c r="GG234" s="17"/>
      <c r="GH234" s="17"/>
      <c r="GI234" s="17"/>
      <c r="GJ234" s="17"/>
      <c r="GL234" s="17"/>
      <c r="GM234" s="442"/>
      <c r="GN234" s="8"/>
      <c r="GO234" s="8"/>
      <c r="GP234" s="8"/>
      <c r="GQ234" s="8"/>
      <c r="GS234" s="17"/>
      <c r="GT234" s="17"/>
      <c r="GU234" s="17"/>
      <c r="GV234" s="629"/>
      <c r="GW234" s="17"/>
      <c r="GX234" s="17"/>
      <c r="GY234" s="17"/>
      <c r="GZ234" s="17"/>
    </row>
    <row r="235" spans="1:208" ht="15.6" x14ac:dyDescent="0.3">
      <c r="A235" s="60" t="s">
        <v>35</v>
      </c>
      <c r="B235" s="218"/>
      <c r="C235" s="14" t="str">
        <f>C232</f>
        <v>Gaffel</v>
      </c>
      <c r="G235" s="54"/>
      <c r="H235" s="204">
        <f>TBFavrundet</f>
        <v>112.5</v>
      </c>
      <c r="I235" s="63">
        <f>COUNTA(O235:AG235)</f>
        <v>2</v>
      </c>
      <c r="J235" s="222">
        <f>SUM(O235:AG235)</f>
        <v>72.400000000000006</v>
      </c>
      <c r="K235" s="116">
        <f>Seilareal/Depl^0.667/K$7</f>
        <v>0.97594956260505084</v>
      </c>
      <c r="L235" s="116">
        <f>Seilareal/Lwl/Lwl/L$7</f>
        <v>0.76287441142004908</v>
      </c>
      <c r="M235" s="92">
        <f>RiggF</f>
        <v>0.84016574585635362</v>
      </c>
      <c r="N235" s="242">
        <f>StHfaktor</f>
        <v>1.0030913449559995</v>
      </c>
      <c r="O235" s="143"/>
      <c r="P235" s="143"/>
      <c r="Q235" s="143"/>
      <c r="R235" s="143"/>
      <c r="S235" s="143"/>
      <c r="T235" s="143"/>
      <c r="U235" s="165">
        <v>19.8</v>
      </c>
      <c r="V235" s="559"/>
      <c r="W235" s="559"/>
      <c r="X235" s="143"/>
      <c r="Y235" s="165">
        <v>52.6</v>
      </c>
      <c r="Z235" s="143"/>
      <c r="AA235" s="143"/>
      <c r="AB235" s="143"/>
      <c r="AC235" s="143"/>
      <c r="AD235" s="143"/>
      <c r="AE235" s="143"/>
      <c r="AF235" s="143"/>
      <c r="AG235" s="551"/>
      <c r="AH235" s="557">
        <f t="shared" ref="AH235:AI235" si="2150">AH234</f>
        <v>0</v>
      </c>
      <c r="AI235" s="557">
        <f t="shared" si="2150"/>
        <v>12.3</v>
      </c>
      <c r="AJ235" s="337">
        <f t="shared" si="2122"/>
        <v>0</v>
      </c>
      <c r="AK235" s="339"/>
      <c r="AL235" s="337">
        <f t="shared" si="2122"/>
        <v>0</v>
      </c>
      <c r="AM235" s="339"/>
      <c r="AN235" s="267" t="str">
        <f t="shared" ref="AN235" si="2151" xml:space="preserve"> AN234</f>
        <v>Lystb</v>
      </c>
      <c r="AO235" s="45">
        <f>VLOOKUP(AN235,Skrogform!$1:$1048576,3,FALSE)</f>
        <v>0.98</v>
      </c>
      <c r="AP235" s="64">
        <f t="shared" ref="AP235:AZ235" si="2152">AP234</f>
        <v>13.41</v>
      </c>
      <c r="AQ235" s="64">
        <f t="shared" si="2152"/>
        <v>12</v>
      </c>
      <c r="AR235" s="64">
        <f t="shared" si="2152"/>
        <v>4</v>
      </c>
      <c r="AS235" s="64">
        <f t="shared" si="2152"/>
        <v>2.2000000000000002</v>
      </c>
      <c r="AT235" s="64">
        <f t="shared" ref="AT235" si="2153">AT234</f>
        <v>18</v>
      </c>
      <c r="AU235" s="64">
        <f t="shared" si="2152"/>
        <v>18</v>
      </c>
      <c r="AV235" s="64">
        <f t="shared" si="2152"/>
        <v>4</v>
      </c>
      <c r="AW235" s="64">
        <f t="shared" si="2152"/>
        <v>2</v>
      </c>
      <c r="AX235" s="256">
        <f>AX234</f>
        <v>0</v>
      </c>
      <c r="AY235" s="256">
        <f t="shared" si="2152"/>
        <v>110</v>
      </c>
      <c r="AZ235" s="256">
        <f t="shared" si="2152"/>
        <v>400</v>
      </c>
      <c r="BA235" s="256">
        <f t="shared" ref="BA235:BB235" si="2154">BA234</f>
        <v>0</v>
      </c>
      <c r="BB235" s="256">
        <f t="shared" si="2154"/>
        <v>0</v>
      </c>
      <c r="BC235" s="256"/>
      <c r="BD235" s="66"/>
      <c r="BE235" s="66"/>
      <c r="BF235" s="261"/>
      <c r="BG235" s="66"/>
      <c r="BH235" s="175"/>
      <c r="BI235" s="66"/>
      <c r="BJ235" s="66"/>
      <c r="BK235" s="65" t="str">
        <f t="shared" ref="BK235:BM235" si="2155" xml:space="preserve"> BK234</f>
        <v>Fast</v>
      </c>
      <c r="BL235" s="267">
        <f t="shared" si="2155"/>
        <v>3</v>
      </c>
      <c r="BM235" s="267">
        <f t="shared" si="2155"/>
        <v>50</v>
      </c>
      <c r="BN235" s="45">
        <f t="shared" si="1932"/>
        <v>0.9850495979846261</v>
      </c>
      <c r="BO235" s="59"/>
      <c r="BP235" s="59"/>
      <c r="BR235" s="49">
        <f t="shared" si="2128"/>
        <v>0</v>
      </c>
      <c r="BS235" s="49">
        <f t="shared" si="2128"/>
        <v>0</v>
      </c>
      <c r="BT235" s="49">
        <f t="shared" si="2128"/>
        <v>0</v>
      </c>
      <c r="BU235" s="49">
        <f t="shared" si="2128"/>
        <v>0</v>
      </c>
      <c r="BV235" s="49">
        <f t="shared" si="2128"/>
        <v>0</v>
      </c>
      <c r="BW235" s="49">
        <f t="shared" si="2128"/>
        <v>0</v>
      </c>
      <c r="BX235" s="49">
        <f t="shared" si="2128"/>
        <v>19.8</v>
      </c>
      <c r="BY235" s="549">
        <f>IF(COUNT(Q235:U235)&gt;1,MINA(Q235:U235)*BY$9,0)</f>
        <v>0</v>
      </c>
      <c r="BZ235" s="85">
        <f t="shared" si="2129"/>
        <v>0</v>
      </c>
      <c r="CA235" s="85">
        <f t="shared" si="2129"/>
        <v>0</v>
      </c>
      <c r="CB235" s="85">
        <f t="shared" si="2129"/>
        <v>0</v>
      </c>
      <c r="CC235" s="85">
        <f t="shared" si="2129"/>
        <v>41.028000000000006</v>
      </c>
      <c r="CD235" s="85">
        <f t="shared" si="2129"/>
        <v>0</v>
      </c>
      <c r="CE235" s="85">
        <f>IF(AC235=0,0,AC235*CE$9)</f>
        <v>0</v>
      </c>
      <c r="CF235" s="85">
        <f t="shared" si="2130"/>
        <v>0</v>
      </c>
      <c r="CG235" s="85">
        <f t="shared" si="2130"/>
        <v>0</v>
      </c>
      <c r="CH235" s="85">
        <f t="shared" si="2131"/>
        <v>0</v>
      </c>
      <c r="CI235" s="85">
        <f t="shared" si="2131"/>
        <v>0</v>
      </c>
      <c r="CJ235" s="85">
        <f t="shared" si="2131"/>
        <v>0</v>
      </c>
      <c r="CK235" s="85">
        <f t="shared" si="2131"/>
        <v>0</v>
      </c>
      <c r="CL235" s="100">
        <f>SUM(BR235:CK235)</f>
        <v>60.828000000000003</v>
      </c>
      <c r="CM235" s="50"/>
      <c r="CN235" s="104">
        <f>J235</f>
        <v>72.400000000000006</v>
      </c>
      <c r="CO235" s="101">
        <f>CL235/CN235</f>
        <v>0.84016574585635362</v>
      </c>
      <c r="CP235" s="51">
        <f>Seilareal/Lwl/Lwl</f>
        <v>0.50277777777777788</v>
      </c>
      <c r="CQ235" s="116">
        <f>Seilareal/Depl^0.667/K$7</f>
        <v>0.97594956260505084</v>
      </c>
      <c r="CR235" s="51">
        <f>Seilareal/Lwl/Lwl/SApRS1</f>
        <v>0.76287441142004908</v>
      </c>
      <c r="CS235" s="204"/>
      <c r="CT235" s="204">
        <f>(ROUND(TBF/CT$6,3)*CT$6)*CT$4</f>
        <v>112.5</v>
      </c>
      <c r="CU235" s="107">
        <f t="shared" si="1041"/>
        <v>1.1237840769904901</v>
      </c>
      <c r="CV235" s="62">
        <f t="shared" si="2119"/>
        <v>2.9741882655536167</v>
      </c>
      <c r="CW235" s="62">
        <f t="shared" si="998"/>
        <v>1.7822036920621616</v>
      </c>
      <c r="CX235" s="62">
        <f t="shared" si="2120"/>
        <v>1.8612097182041991</v>
      </c>
      <c r="CY235" s="107">
        <f t="shared" si="999"/>
        <v>1.0030913449559995</v>
      </c>
      <c r="CZ235" s="168" t="str">
        <f t="shared" si="1875"/>
        <v>-</v>
      </c>
      <c r="DA235" s="158"/>
      <c r="DB235" s="168" t="str">
        <f t="shared" si="1980"/>
        <v>-</v>
      </c>
      <c r="DC235" s="160"/>
      <c r="DD235" s="190" t="s">
        <v>134</v>
      </c>
      <c r="DE235" s="62">
        <v>0.86</v>
      </c>
      <c r="DF235" s="62">
        <v>0.86</v>
      </c>
      <c r="DG235" s="62">
        <v>0.87</v>
      </c>
      <c r="DH235" s="150" t="s">
        <v>102</v>
      </c>
      <c r="DI235" s="62">
        <f t="shared" si="2007"/>
        <v>2.0388160736299663</v>
      </c>
      <c r="DJ235" s="47">
        <f t="shared" si="2008"/>
        <v>12.941176470588237</v>
      </c>
      <c r="DK235" s="48">
        <f t="shared" si="2009"/>
        <v>0</v>
      </c>
      <c r="DM235" s="107">
        <f t="shared" si="2027"/>
        <v>1.0928745667282327</v>
      </c>
      <c r="DN235" s="141" t="str">
        <f t="shared" si="1791"/>
        <v>-</v>
      </c>
      <c r="DO235" s="107">
        <f t="shared" si="2010"/>
        <v>4.8072335772260102</v>
      </c>
      <c r="DP235" s="133">
        <f>IF(SeilBeregnet=0,DP234,(SeilBeregnet^0.5/(Depl^0.3333))^DP$3*DP$7)</f>
        <v>2.9762502348659545</v>
      </c>
      <c r="DQ235" s="133">
        <f>IF(SeilBeregnet=0,DQ234,(SeilBeregnet^0.5/Lwl)^DQ$3*DQ$7)</f>
        <v>0</v>
      </c>
      <c r="DR235" s="133">
        <f>IF(SeilBeregnet=0,DR234,(0.1*Loa/Depl^0.3333)^DR$3*DR$7)</f>
        <v>0</v>
      </c>
      <c r="DS235" s="133">
        <f>IF(SeilBeregnet=0,DS234,((Loa)/Bredde)^DS$3*DS$7)</f>
        <v>1.8309833423600554</v>
      </c>
      <c r="DT235" s="107">
        <f>IF(SeilBeregnet=0,DT234,(Lwl)^DT$3)</f>
        <v>1.8612097182041991</v>
      </c>
      <c r="DU235" s="133">
        <f>IF(SeilBeregnet=0,DU234,(Dypg/Loa)^DU$3*5*DU$7)</f>
        <v>2.0251955098445942</v>
      </c>
      <c r="DW235" s="107">
        <f t="shared" si="512"/>
        <v>1.1467184459086635</v>
      </c>
      <c r="DX235" s="107">
        <f t="shared" si="2011"/>
        <v>1.0490381056578455</v>
      </c>
      <c r="DZ235" s="107">
        <f t="shared" si="2012"/>
        <v>1.068034564708203</v>
      </c>
      <c r="EA235" s="122" t="str">
        <f t="shared" si="1792"/>
        <v>-</v>
      </c>
      <c r="EB235" s="107">
        <f t="shared" si="2013"/>
        <v>1.10820222947586</v>
      </c>
      <c r="EC235" s="122" t="str">
        <f t="shared" si="1793"/>
        <v>-</v>
      </c>
      <c r="ED235" s="107">
        <f t="shared" si="67"/>
        <v>2.9759921719658831</v>
      </c>
      <c r="EE235" s="107">
        <f t="shared" si="68"/>
        <v>2.2892388590912591</v>
      </c>
      <c r="EF235" s="107">
        <f t="shared" si="1945"/>
        <v>1.5875820080316205</v>
      </c>
      <c r="EH235" s="107">
        <f t="shared" si="2014"/>
        <v>1.1098375657300299</v>
      </c>
      <c r="EJ235" s="107">
        <f t="shared" si="69"/>
        <v>2.9759921719658831</v>
      </c>
      <c r="EK235" s="107">
        <f t="shared" si="1946"/>
        <v>2.2894095217983113</v>
      </c>
      <c r="EL235" s="107">
        <f t="shared" si="1947"/>
        <v>1.8519167499625264</v>
      </c>
      <c r="EM235" s="107">
        <f t="shared" si="2015"/>
        <v>1.098883232805193</v>
      </c>
      <c r="EO235" s="107">
        <f t="shared" si="1948"/>
        <v>4.7246316282559802</v>
      </c>
      <c r="EP235" s="107">
        <f t="shared" si="70"/>
        <v>2.9759921719658831</v>
      </c>
      <c r="EQ235" s="107">
        <f t="shared" si="1949"/>
        <v>1.5875820080316205</v>
      </c>
      <c r="ER235" s="107">
        <f t="shared" si="1950"/>
        <v>1.8612097182041991</v>
      </c>
      <c r="ES235" s="107">
        <f t="shared" si="2028"/>
        <v>1.1011317899446049</v>
      </c>
      <c r="EU235" s="107">
        <f t="shared" si="1951"/>
        <v>1.7374610208514021</v>
      </c>
      <c r="EV235" s="107">
        <f t="shared" si="71"/>
        <v>2.9759921719658831</v>
      </c>
      <c r="EW235" s="107">
        <f t="shared" si="1952"/>
        <v>1.0143745764572543</v>
      </c>
      <c r="EX235" s="107">
        <f t="shared" si="1953"/>
        <v>1.8773991690387828</v>
      </c>
      <c r="EY235" s="107">
        <f t="shared" si="2029"/>
        <v>1.0804703123094053</v>
      </c>
      <c r="FA235" s="107">
        <f t="shared" si="2030"/>
        <v>1.7375363511083606</v>
      </c>
      <c r="FB235" s="107">
        <f t="shared" si="72"/>
        <v>2.9762502348659545</v>
      </c>
      <c r="FC235" s="107">
        <f t="shared" si="1954"/>
        <v>1.0143745764572543</v>
      </c>
      <c r="FD235" s="107">
        <f t="shared" si="1955"/>
        <v>1.8773991690387828</v>
      </c>
      <c r="FE235" s="107">
        <f t="shared" si="2031"/>
        <v>1.105587285249688</v>
      </c>
      <c r="FF235" s="141" t="str">
        <f t="shared" si="1794"/>
        <v>-</v>
      </c>
      <c r="FG235" s="107">
        <f t="shared" si="2032"/>
        <v>3.0624298859478158</v>
      </c>
      <c r="FH235" s="133">
        <f t="shared" si="1957"/>
        <v>2.9762502348659545</v>
      </c>
      <c r="FI235" s="133">
        <f t="shared" si="1958"/>
        <v>1.0289557813628338</v>
      </c>
      <c r="FJ235" s="107">
        <f t="shared" si="1959"/>
        <v>1.0557391366285294</v>
      </c>
      <c r="FK235" s="107">
        <f t="shared" si="2033"/>
        <v>1.0815189600998278</v>
      </c>
      <c r="FL235" s="141" t="str">
        <f t="shared" si="1795"/>
        <v>-</v>
      </c>
      <c r="FM235" s="107">
        <f t="shared" si="2034"/>
        <v>4.9571694715007197</v>
      </c>
      <c r="FN235" s="133">
        <f t="shared" si="1961"/>
        <v>2.9762502348659545</v>
      </c>
      <c r="FO235" s="133">
        <f t="shared" si="1962"/>
        <v>0.64993589427470977</v>
      </c>
      <c r="FP235" s="133">
        <f t="shared" si="1963"/>
        <v>1.8309833423600554</v>
      </c>
      <c r="FQ235" s="107">
        <f t="shared" si="1964"/>
        <v>1.8612097182041991</v>
      </c>
      <c r="FR235" s="107">
        <f t="shared" si="2035"/>
        <v>1.1087677517777985</v>
      </c>
      <c r="FS235" s="141" t="str">
        <f t="shared" si="1796"/>
        <v>-</v>
      </c>
      <c r="FT235" s="107">
        <f t="shared" si="2036"/>
        <v>5.4494646027347651</v>
      </c>
      <c r="FU235" s="133">
        <f t="shared" si="1966"/>
        <v>2.9762502348659545</v>
      </c>
      <c r="FV235" s="133">
        <f t="shared" si="1967"/>
        <v>1.8309833423600554</v>
      </c>
      <c r="FW235" s="107">
        <f t="shared" si="1968"/>
        <v>1.8612097182041991</v>
      </c>
      <c r="FY235">
        <v>0.95</v>
      </c>
      <c r="FZ235" s="62">
        <f t="shared" si="2074"/>
        <v>1.1298745086838955</v>
      </c>
      <c r="GA235" s="62">
        <f t="shared" si="2075"/>
        <v>2.0251955098445942</v>
      </c>
      <c r="GB235" s="107">
        <f t="shared" si="525"/>
        <v>1.1854193470159056</v>
      </c>
      <c r="GC235" s="440"/>
      <c r="GD235" s="17"/>
      <c r="GE235" s="442"/>
      <c r="GF235" s="462"/>
      <c r="GG235" s="17"/>
      <c r="GH235" s="17"/>
      <c r="GI235" s="17"/>
      <c r="GJ235" s="17"/>
      <c r="GL235" s="17"/>
      <c r="GM235" s="442"/>
      <c r="GN235" s="8"/>
      <c r="GO235" s="8"/>
      <c r="GP235" s="8"/>
      <c r="GQ235" s="8"/>
      <c r="GS235" s="17"/>
      <c r="GT235" s="17"/>
      <c r="GU235" s="17"/>
      <c r="GV235" s="629"/>
      <c r="GW235" s="17"/>
      <c r="GX235" s="17"/>
      <c r="GY235" s="17"/>
      <c r="GZ235" s="17"/>
    </row>
    <row r="236" spans="1:208" ht="15.6" x14ac:dyDescent="0.3">
      <c r="A236" s="52" t="s">
        <v>58</v>
      </c>
      <c r="B236" s="218">
        <f t="shared" si="10"/>
        <v>41.338582677165348</v>
      </c>
      <c r="C236" s="53" t="s">
        <v>19</v>
      </c>
      <c r="D236" s="53"/>
      <c r="E236" s="53"/>
      <c r="F236" s="53"/>
      <c r="G236" s="54"/>
      <c r="H236" s="112">
        <f>J237</f>
        <v>119.30000000000001</v>
      </c>
      <c r="I236" s="601">
        <f>H237/100</f>
        <v>1.2650000000000001</v>
      </c>
      <c r="J236" s="651">
        <f>IF(DC237=0,"-",DC237)</f>
        <v>1.27</v>
      </c>
      <c r="K236" s="123" t="str">
        <f>A236</f>
        <v>Venus</v>
      </c>
      <c r="L236" s="116"/>
      <c r="M236" s="116"/>
      <c r="N236" s="92"/>
      <c r="O236" s="165"/>
      <c r="P236" s="165"/>
      <c r="Q236" s="165">
        <v>65</v>
      </c>
      <c r="R236" s="165">
        <v>23</v>
      </c>
      <c r="S236" s="165">
        <v>12.2</v>
      </c>
      <c r="T236" s="165"/>
      <c r="U236" s="165">
        <v>21.1</v>
      </c>
      <c r="V236" s="559"/>
      <c r="W236" s="559"/>
      <c r="X236" s="165">
        <v>57.2</v>
      </c>
      <c r="Y236" s="177">
        <f>StorS-StorS/6</f>
        <v>47.666666666666671</v>
      </c>
      <c r="Z236" s="177">
        <f>StorS-StorS/6*1.9</f>
        <v>39.086666666666673</v>
      </c>
      <c r="AA236" s="165">
        <v>18</v>
      </c>
      <c r="AB236" s="165"/>
      <c r="AC236" s="165"/>
      <c r="AD236" s="165"/>
      <c r="AE236" s="165"/>
      <c r="AF236" s="165"/>
      <c r="AG236" s="552"/>
      <c r="AH236" s="241"/>
      <c r="AI236" s="241">
        <v>11.85</v>
      </c>
      <c r="AJ236" s="554"/>
      <c r="AK236" s="339"/>
      <c r="AL236" s="268"/>
      <c r="AM236" s="339"/>
      <c r="AN236" s="268" t="s">
        <v>211</v>
      </c>
      <c r="AO236" s="45">
        <f>VLOOKUP(AN236,Skrogform!$1:$1048576,3,FALSE)</f>
        <v>0.98</v>
      </c>
      <c r="AP236" s="55">
        <v>12.6</v>
      </c>
      <c r="AQ236" s="55">
        <v>11.66</v>
      </c>
      <c r="AR236" s="55">
        <v>3.65</v>
      </c>
      <c r="AS236" s="55">
        <v>1.9</v>
      </c>
      <c r="AT236" s="637">
        <v>17.399999999999999</v>
      </c>
      <c r="AU236" s="55">
        <v>17.399999999999999</v>
      </c>
      <c r="AV236" s="55">
        <v>4.5</v>
      </c>
      <c r="AW236" s="55">
        <v>0.8</v>
      </c>
      <c r="AX236" s="253"/>
      <c r="AY236" s="253">
        <v>40</v>
      </c>
      <c r="AZ236" s="253">
        <v>200</v>
      </c>
      <c r="BA236" s="253"/>
      <c r="BB236" s="253"/>
      <c r="BC236" s="244">
        <f>Depl+Diesel/1000*0.84+Vann/1000</f>
        <v>17.399999999999999</v>
      </c>
      <c r="BD236" s="95">
        <f>Bredde/(Loa+Lwl)*2</f>
        <v>0.30090684253915911</v>
      </c>
      <c r="BE236" s="95">
        <f>(Kjøl+Ballast)/Depl</f>
        <v>0.3045977011494253</v>
      </c>
      <c r="BF236" s="260">
        <f>BF$7*((Depl-Kjøl-Ballast-VektMotor/1000-VektAnnet/1000)/Lwl/Lwl/Bredde)</f>
        <v>0.90497507893708595</v>
      </c>
      <c r="BG236" s="95">
        <f>BG$7*(Depl/Loa/Lwl/Lwl)</f>
        <v>0.7474735638483655</v>
      </c>
      <c r="BH236" s="174">
        <f>BH$7*(Depl/Loa/Lwl/Bredde)</f>
        <v>0.88262014413603973</v>
      </c>
      <c r="BI236" s="95">
        <f>BI$7*Bredde/(Loa+Lwl)*2</f>
        <v>0.85839339059826791</v>
      </c>
      <c r="BJ236" s="95">
        <f>BJ$7*(Dypg/Lwl)</f>
        <v>0.89126705943769102</v>
      </c>
      <c r="BK236" s="56" t="s">
        <v>39</v>
      </c>
      <c r="BL236" s="268">
        <v>4</v>
      </c>
      <c r="BM236" s="268">
        <v>50</v>
      </c>
      <c r="BN236" s="45">
        <f t="shared" si="1932"/>
        <v>0.98149201307666778</v>
      </c>
      <c r="BO236" s="59"/>
      <c r="BP236" s="59"/>
      <c r="BR236" s="209"/>
      <c r="BS236" s="209"/>
      <c r="BT236" s="209" t="str">
        <f>$A236</f>
        <v>Venus</v>
      </c>
      <c r="BU236" s="10"/>
      <c r="BV236" s="10"/>
      <c r="BW236" s="10"/>
      <c r="BX236" s="10"/>
      <c r="BY236" s="549"/>
      <c r="BZ236" s="10"/>
      <c r="CA236" s="10"/>
      <c r="CB236" s="209" t="str">
        <f>$A236</f>
        <v>Venus</v>
      </c>
      <c r="CC236" s="10"/>
      <c r="CD236" s="10"/>
      <c r="CE236" s="10"/>
      <c r="CF236" s="10"/>
      <c r="CG236" s="10"/>
      <c r="CH236" s="10"/>
      <c r="CI236" s="10"/>
      <c r="CJ236" s="10"/>
      <c r="CK236" s="10"/>
      <c r="CL236" s="209"/>
      <c r="CM236" s="10"/>
      <c r="CN236" s="209" t="str">
        <f>$A236</f>
        <v>Venus</v>
      </c>
      <c r="CO236" s="207"/>
      <c r="CP236" s="207"/>
      <c r="CQ236" s="116"/>
      <c r="CR236" s="207"/>
      <c r="CS236" s="203"/>
      <c r="CT236" s="203" t="s">
        <v>23</v>
      </c>
      <c r="CU236" s="107" t="str">
        <f t="shared" si="1041"/>
        <v>-</v>
      </c>
      <c r="CV236" s="62" t="str">
        <f t="shared" si="2119"/>
        <v>-</v>
      </c>
      <c r="CW236" s="62" t="str">
        <f t="shared" si="998"/>
        <v>-</v>
      </c>
      <c r="CX236" s="62" t="str">
        <f t="shared" si="2120"/>
        <v>-</v>
      </c>
      <c r="CY236" s="107" t="str">
        <f t="shared" si="999"/>
        <v>-</v>
      </c>
      <c r="CZ236" s="168">
        <f t="shared" si="1875"/>
        <v>1.2345882352941175</v>
      </c>
      <c r="DA236" s="158">
        <v>0.99</v>
      </c>
      <c r="DB236" s="168" t="str">
        <f t="shared" si="1980"/>
        <v>-</v>
      </c>
      <c r="DC236" s="160">
        <v>1.27</v>
      </c>
      <c r="DD236" s="190" t="s">
        <v>134</v>
      </c>
      <c r="DE236" s="29" t="s">
        <v>23</v>
      </c>
      <c r="DF236" s="29" t="s">
        <v>23</v>
      </c>
      <c r="DG236" s="29" t="s">
        <v>23</v>
      </c>
      <c r="DH236" s="149">
        <v>2022</v>
      </c>
      <c r="DI236" s="62" t="str">
        <f t="shared" si="2007"/>
        <v>-</v>
      </c>
      <c r="DJ236" s="47">
        <f t="shared" si="2008"/>
        <v>11.649294911097483</v>
      </c>
      <c r="DK236" s="48">
        <f t="shared" si="2009"/>
        <v>0</v>
      </c>
      <c r="DM236" s="107" t="str">
        <f t="shared" si="2027"/>
        <v>-</v>
      </c>
      <c r="DN236" s="141" t="str">
        <f t="shared" ref="DN236:DN247" si="2156">IF($DY236=0,"-",(DM236-$DW236)*100)</f>
        <v>-</v>
      </c>
      <c r="DO236" s="107">
        <f t="shared" si="2010"/>
        <v>4.8164945641806796</v>
      </c>
      <c r="DP236" s="133">
        <f>IF(SeilBeregnet=0,DP109,(SeilBeregnet^0.5/(Depl^0.3333))^DP$3*DP$7)</f>
        <v>2.8878990857351559</v>
      </c>
      <c r="DQ236" s="133">
        <f>IF(SeilBeregnet=0,DQ109,(SeilBeregnet^0.5/Lwl)^DQ$3*DQ$7)</f>
        <v>0</v>
      </c>
      <c r="DR236" s="133">
        <f>IF(SeilBeregnet=0,DR109,(0.1*Loa/Depl^0.3333)^DR$3*DR$7)</f>
        <v>0</v>
      </c>
      <c r="DS236" s="133">
        <f>IF(SeilBeregnet=0,DS109,((Loa)/Bredde)^DS$3*DS$7)</f>
        <v>1.9285954784455239</v>
      </c>
      <c r="DT236" s="107">
        <f>IF(SeilBeregnet=0,DT109,(Lwl)^DT$3)</f>
        <v>1.878418417945126</v>
      </c>
      <c r="DU236" s="133">
        <f>IF(SeilBeregnet=0,DU109,(Dypg/Loa)^DU$3*5*DU$7)</f>
        <v>2.0038371012863347</v>
      </c>
      <c r="DW236" s="107" t="str">
        <f t="shared" si="417"/>
        <v>-</v>
      </c>
      <c r="DX236" s="107" t="str">
        <f t="shared" si="2011"/>
        <v>-</v>
      </c>
      <c r="DZ236" s="107" t="str">
        <f t="shared" si="2012"/>
        <v>-</v>
      </c>
      <c r="EA236" s="122" t="str">
        <f t="shared" ref="EA236:EA247" si="2157">IF($DY236=0,"-",DZ236-$DW236)</f>
        <v>-</v>
      </c>
      <c r="EB236" s="107" t="str">
        <f t="shared" si="2013"/>
        <v>-</v>
      </c>
      <c r="EC236" s="122" t="str">
        <f t="shared" ref="EC236:EC247" si="2158">IF($DY236=0,"-",EB236-$DW236)</f>
        <v>-</v>
      </c>
      <c r="ED236" s="107">
        <f t="shared" si="67"/>
        <v>2.9759921719658831</v>
      </c>
      <c r="EE236" s="107">
        <f t="shared" si="68"/>
        <v>2.2892388590912591</v>
      </c>
      <c r="EF236" s="107">
        <f t="shared" si="1945"/>
        <v>1.5875820080316205</v>
      </c>
      <c r="EH236" s="107" t="str">
        <f t="shared" si="2014"/>
        <v>-</v>
      </c>
      <c r="EJ236" s="107">
        <f t="shared" si="69"/>
        <v>2.9759921719658831</v>
      </c>
      <c r="EK236" s="107">
        <f t="shared" si="1946"/>
        <v>2.2894095217983113</v>
      </c>
      <c r="EL236" s="107">
        <f t="shared" si="1947"/>
        <v>1.8519167499625264</v>
      </c>
      <c r="EM236" s="107" t="str">
        <f t="shared" si="2015"/>
        <v>-</v>
      </c>
      <c r="EO236" s="107">
        <f t="shared" si="1948"/>
        <v>4.7246316282559802</v>
      </c>
      <c r="EP236" s="107">
        <f t="shared" si="70"/>
        <v>2.9759921719658831</v>
      </c>
      <c r="EQ236" s="107">
        <f t="shared" si="1949"/>
        <v>1.5875820080316205</v>
      </c>
      <c r="ER236" s="107">
        <f t="shared" si="1950"/>
        <v>1.8612097182041991</v>
      </c>
      <c r="ES236" s="107" t="str">
        <f t="shared" si="2028"/>
        <v>-</v>
      </c>
      <c r="EU236" s="107">
        <f t="shared" si="1951"/>
        <v>1.7374610208514021</v>
      </c>
      <c r="EV236" s="107">
        <f t="shared" si="71"/>
        <v>2.9759921719658831</v>
      </c>
      <c r="EW236" s="107">
        <f t="shared" si="1952"/>
        <v>1.0143745764572543</v>
      </c>
      <c r="EX236" s="107">
        <f t="shared" si="1953"/>
        <v>1.8773991690387828</v>
      </c>
      <c r="EY236" s="107" t="str">
        <f t="shared" si="2029"/>
        <v>-</v>
      </c>
      <c r="FA236" s="107">
        <f t="shared" si="2030"/>
        <v>1.7375363511083606</v>
      </c>
      <c r="FB236" s="107">
        <f t="shared" si="72"/>
        <v>2.9762502348659545</v>
      </c>
      <c r="FC236" s="107">
        <f t="shared" si="1954"/>
        <v>1.0143745764572543</v>
      </c>
      <c r="FD236" s="107">
        <f t="shared" si="1955"/>
        <v>1.8773991690387828</v>
      </c>
      <c r="FE236" s="107" t="str">
        <f t="shared" si="2031"/>
        <v>-</v>
      </c>
      <c r="FF236" s="141" t="str">
        <f t="shared" si="1794"/>
        <v>-</v>
      </c>
      <c r="FG236" s="107">
        <f t="shared" si="2032"/>
        <v>3.0624298859478158</v>
      </c>
      <c r="FH236" s="133">
        <f t="shared" si="1957"/>
        <v>2.9762502348659545</v>
      </c>
      <c r="FI236" s="133">
        <f t="shared" si="1958"/>
        <v>1.0289557813628338</v>
      </c>
      <c r="FJ236" s="107">
        <f t="shared" si="1959"/>
        <v>1.0557391366285294</v>
      </c>
      <c r="FK236" s="107" t="str">
        <f t="shared" si="2033"/>
        <v>-</v>
      </c>
      <c r="FL236" s="141" t="str">
        <f t="shared" si="1795"/>
        <v>-</v>
      </c>
      <c r="FM236" s="107">
        <f t="shared" si="2034"/>
        <v>4.9571694715007197</v>
      </c>
      <c r="FN236" s="133">
        <f t="shared" si="1961"/>
        <v>2.9762502348659545</v>
      </c>
      <c r="FO236" s="133">
        <f t="shared" si="1962"/>
        <v>0.64993589427470977</v>
      </c>
      <c r="FP236" s="133">
        <f t="shared" si="1963"/>
        <v>1.8309833423600554</v>
      </c>
      <c r="FQ236" s="107">
        <f t="shared" si="1964"/>
        <v>1.8612097182041991</v>
      </c>
      <c r="FR236" s="107" t="str">
        <f t="shared" si="2035"/>
        <v>-</v>
      </c>
      <c r="FS236" s="141" t="str">
        <f t="shared" si="1796"/>
        <v>-</v>
      </c>
      <c r="FT236" s="107">
        <f t="shared" si="2036"/>
        <v>5.4494646027347651</v>
      </c>
      <c r="FU236" s="133">
        <f t="shared" si="1966"/>
        <v>2.9762502348659545</v>
      </c>
      <c r="FV236" s="133">
        <f t="shared" si="1967"/>
        <v>1.8309833423600554</v>
      </c>
      <c r="FW236" s="107">
        <f t="shared" si="1968"/>
        <v>1.8612097182041991</v>
      </c>
      <c r="FY236">
        <v>0.95</v>
      </c>
      <c r="FZ236" s="62" t="str">
        <f t="shared" si="2074"/>
        <v>-</v>
      </c>
      <c r="GA236" s="62">
        <f t="shared" si="2075"/>
        <v>1.9416079083690583</v>
      </c>
      <c r="GB236" s="107" t="str">
        <f t="shared" si="525"/>
        <v>-</v>
      </c>
      <c r="GC236" s="441"/>
      <c r="GD236" s="57"/>
      <c r="GE236" s="436"/>
      <c r="GF236" s="75"/>
      <c r="GG236" s="57"/>
      <c r="GH236" s="57"/>
      <c r="GI236" s="57"/>
      <c r="GJ236" s="57"/>
      <c r="GL236" s="57" t="s">
        <v>478</v>
      </c>
      <c r="GM236" s="436" t="s">
        <v>478</v>
      </c>
      <c r="GN236" s="58" t="s">
        <v>478</v>
      </c>
      <c r="GO236" s="58" t="s">
        <v>478</v>
      </c>
      <c r="GP236" s="58" t="s">
        <v>478</v>
      </c>
      <c r="GQ236" s="58" t="s">
        <v>478</v>
      </c>
      <c r="GS236" s="57"/>
      <c r="GT236" s="57"/>
      <c r="GU236" s="57"/>
      <c r="GV236" s="632"/>
      <c r="GW236" s="57"/>
      <c r="GX236" s="57"/>
      <c r="GY236" s="57"/>
      <c r="GZ236" s="57"/>
    </row>
    <row r="237" spans="1:208" ht="15.6" x14ac:dyDescent="0.3">
      <c r="A237" s="60" t="s">
        <v>28</v>
      </c>
      <c r="B237" s="218"/>
      <c r="C237" s="14" t="s">
        <v>19</v>
      </c>
      <c r="G237" s="54"/>
      <c r="H237" s="204">
        <f>IF(StH=0,0,TBFavrundet)</f>
        <v>126.50000000000001</v>
      </c>
      <c r="I237" s="63">
        <f>COUNTA(O237:AG237)</f>
        <v>4</v>
      </c>
      <c r="J237" s="222">
        <f>SUM(O237:AG237)</f>
        <v>119.30000000000001</v>
      </c>
      <c r="K237" s="116">
        <f>Seilareal/Depl^0.667/K$7</f>
        <v>1.6449384927894373</v>
      </c>
      <c r="L237" s="116">
        <f t="shared" ref="L237:L242" si="2159">Seilareal/Lwl/Lwl/L$7</f>
        <v>1.331436064935835</v>
      </c>
      <c r="M237" s="92">
        <f t="shared" ref="M237:M242" si="2160">RiggF</f>
        <v>0.72514668901927914</v>
      </c>
      <c r="N237" s="242">
        <f t="shared" ref="N237:N242" si="2161">StHfaktor</f>
        <v>1.0020225033387065</v>
      </c>
      <c r="O237" s="143"/>
      <c r="P237" s="143"/>
      <c r="Q237" s="143"/>
      <c r="R237" s="165">
        <v>23</v>
      </c>
      <c r="S237" s="143"/>
      <c r="T237" s="143"/>
      <c r="U237" s="165">
        <v>21.1</v>
      </c>
      <c r="V237" s="559"/>
      <c r="W237" s="559"/>
      <c r="X237" s="165">
        <v>57.2</v>
      </c>
      <c r="Y237" s="143"/>
      <c r="Z237" s="143"/>
      <c r="AA237" s="165">
        <v>18</v>
      </c>
      <c r="AB237" s="143"/>
      <c r="AC237" s="143"/>
      <c r="AD237" s="143"/>
      <c r="AE237" s="143"/>
      <c r="AF237" s="143"/>
      <c r="AG237" s="551"/>
      <c r="AH237" s="557">
        <f t="shared" ref="AH237" si="2162">AH236</f>
        <v>0</v>
      </c>
      <c r="AI237" s="557">
        <f t="shared" ref="AI237:AP237" si="2163">AI236</f>
        <v>11.85</v>
      </c>
      <c r="AJ237" s="337">
        <f t="shared" ref="AJ237:AL242" si="2164" xml:space="preserve"> AJ236</f>
        <v>0</v>
      </c>
      <c r="AK237" s="339"/>
      <c r="AL237" s="337">
        <f t="shared" si="2164"/>
        <v>0</v>
      </c>
      <c r="AM237" s="339"/>
      <c r="AN237" s="267" t="str">
        <f t="shared" ref="AN237" si="2165" xml:space="preserve"> AN236</f>
        <v>Lystb</v>
      </c>
      <c r="AO237" s="45">
        <f>VLOOKUP(AN237,Skrogform!$1:$1048576,3,FALSE)</f>
        <v>0.98</v>
      </c>
      <c r="AP237" s="64">
        <f t="shared" si="2163"/>
        <v>12.6</v>
      </c>
      <c r="AQ237" s="64">
        <f t="shared" ref="AQ237" si="2166">AQ236</f>
        <v>11.66</v>
      </c>
      <c r="AR237" s="64">
        <f t="shared" ref="AR237" si="2167">AR236</f>
        <v>3.65</v>
      </c>
      <c r="AS237" s="64">
        <f t="shared" ref="AS237" si="2168">AS236</f>
        <v>1.9</v>
      </c>
      <c r="AT237" s="64">
        <f t="shared" ref="AT237:AU237" si="2169">AT236</f>
        <v>17.399999999999999</v>
      </c>
      <c r="AU237" s="64">
        <f t="shared" si="2169"/>
        <v>17.399999999999999</v>
      </c>
      <c r="AV237" s="64">
        <f t="shared" ref="AV237" si="2170">AV236</f>
        <v>4.5</v>
      </c>
      <c r="AW237" s="64">
        <f t="shared" ref="AW237:AZ237" si="2171">AW236</f>
        <v>0.8</v>
      </c>
      <c r="AX237" s="256">
        <f t="shared" ref="AX237:AX242" si="2172">AX236</f>
        <v>0</v>
      </c>
      <c r="AY237" s="256">
        <f t="shared" si="2171"/>
        <v>40</v>
      </c>
      <c r="AZ237" s="256">
        <f t="shared" si="2171"/>
        <v>200</v>
      </c>
      <c r="BA237" s="256">
        <f t="shared" ref="BA237:BB237" si="2173">BA236</f>
        <v>0</v>
      </c>
      <c r="BB237" s="256">
        <f t="shared" si="2173"/>
        <v>0</v>
      </c>
      <c r="BC237" s="256"/>
      <c r="BD237" s="66"/>
      <c r="BE237" s="66"/>
      <c r="BF237" s="261"/>
      <c r="BG237" s="66"/>
      <c r="BH237" s="175"/>
      <c r="BI237" s="66"/>
      <c r="BJ237" s="66"/>
      <c r="BK237" s="65" t="str">
        <f t="shared" ref="BK237:BM237" si="2174" xml:space="preserve"> BK236</f>
        <v>Fast</v>
      </c>
      <c r="BL237" s="267">
        <f t="shared" si="2174"/>
        <v>4</v>
      </c>
      <c r="BM237" s="267">
        <f t="shared" si="2174"/>
        <v>50</v>
      </c>
      <c r="BN237" s="45">
        <f t="shared" si="1932"/>
        <v>0.98149201307666778</v>
      </c>
      <c r="BO237" s="59"/>
      <c r="BP237" s="59"/>
      <c r="BR237" s="49">
        <f t="shared" ref="BR237:BX242" si="2175">IF(O237=0,0,O237*BR$9)</f>
        <v>0</v>
      </c>
      <c r="BS237" s="49">
        <f t="shared" si="2175"/>
        <v>0</v>
      </c>
      <c r="BT237" s="49">
        <f t="shared" si="2175"/>
        <v>0</v>
      </c>
      <c r="BU237" s="49">
        <f t="shared" si="2175"/>
        <v>23</v>
      </c>
      <c r="BV237" s="49">
        <f t="shared" si="2175"/>
        <v>0</v>
      </c>
      <c r="BW237" s="49">
        <f t="shared" si="2175"/>
        <v>0</v>
      </c>
      <c r="BX237" s="49">
        <f t="shared" si="2175"/>
        <v>21.1</v>
      </c>
      <c r="BY237" s="549">
        <f t="shared" ref="BY237:BY242" si="2176">IF(COUNT(Q237:U237)&gt;1,MINA(Q237:U237)*BY$9,0)</f>
        <v>-10.55</v>
      </c>
      <c r="BZ237" s="85">
        <f t="shared" ref="BZ237:CD242" si="2177">IF(V237=0,0,V237*BZ$9)</f>
        <v>0</v>
      </c>
      <c r="CA237" s="85">
        <f t="shared" si="2177"/>
        <v>0</v>
      </c>
      <c r="CB237" s="85">
        <f t="shared" si="2177"/>
        <v>45.760000000000005</v>
      </c>
      <c r="CC237" s="85">
        <f t="shared" si="2177"/>
        <v>0</v>
      </c>
      <c r="CD237" s="85">
        <f t="shared" si="2177"/>
        <v>0</v>
      </c>
      <c r="CE237" s="85">
        <f t="shared" ref="CE237:CE242" si="2178">IF(AC237=0,0,AC237*CE$9)</f>
        <v>0</v>
      </c>
      <c r="CF237" s="85">
        <f t="shared" ref="CF237:CG242" si="2179">IF(AA237=0,0,AA237*CF$9)</f>
        <v>7.2</v>
      </c>
      <c r="CG237" s="85">
        <f t="shared" si="2179"/>
        <v>0</v>
      </c>
      <c r="CH237" s="85">
        <f t="shared" ref="CH237:CK242" si="2180">IF(AD237=0,0,AD237*CH$9)</f>
        <v>0</v>
      </c>
      <c r="CI237" s="85">
        <f t="shared" si="2180"/>
        <v>0</v>
      </c>
      <c r="CJ237" s="85">
        <f t="shared" si="2180"/>
        <v>0</v>
      </c>
      <c r="CK237" s="85">
        <f t="shared" si="2180"/>
        <v>0</v>
      </c>
      <c r="CL237" s="100">
        <f t="shared" ref="CL237:CL242" si="2181">SUM(BR237:CK237)</f>
        <v>86.51</v>
      </c>
      <c r="CM237" s="50"/>
      <c r="CN237" s="104">
        <f t="shared" ref="CN237:CN242" si="2182">J237</f>
        <v>119.30000000000001</v>
      </c>
      <c r="CO237" s="101">
        <f t="shared" ref="CO237:CO240" si="2183">CL237/CN237</f>
        <v>0.72514668901927914</v>
      </c>
      <c r="CP237" s="51">
        <f t="shared" ref="CP237:CP242" si="2184">Seilareal/Lwl/Lwl</f>
        <v>0.8774923577991639</v>
      </c>
      <c r="CQ237" s="116">
        <f t="shared" ref="CQ237:CQ242" si="2185">Seilareal/Depl^0.667/K$7</f>
        <v>1.6449384927894373</v>
      </c>
      <c r="CR237" s="51">
        <f t="shared" ref="CR237:CR242" si="2186">Seilareal/Lwl/Lwl/SApRS1</f>
        <v>1.331436064935835</v>
      </c>
      <c r="CS237" s="204"/>
      <c r="CT237" s="204">
        <f t="shared" ref="CT237:CT242" si="2187">(ROUND(TBF/CT$6,3)*CT$6)*CT$4</f>
        <v>126.50000000000001</v>
      </c>
      <c r="CU237" s="107">
        <f t="shared" si="1041"/>
        <v>1.2635245459991189</v>
      </c>
      <c r="CV237" s="62">
        <f t="shared" si="2119"/>
        <v>3.5829417012100797</v>
      </c>
      <c r="CW237" s="62">
        <f t="shared" si="998"/>
        <v>1.8229886645925357</v>
      </c>
      <c r="CX237" s="62">
        <f t="shared" si="2120"/>
        <v>1.8478837127354022</v>
      </c>
      <c r="CY237" s="107">
        <f t="shared" si="999"/>
        <v>1.0020225033387065</v>
      </c>
      <c r="CZ237" s="168">
        <f t="shared" si="1875"/>
        <v>1.2345882352941175</v>
      </c>
      <c r="DA237" s="158">
        <v>0.99</v>
      </c>
      <c r="DB237" s="168">
        <f t="shared" si="1980"/>
        <v>1.1808771929824562</v>
      </c>
      <c r="DC237" s="160">
        <v>1.27</v>
      </c>
      <c r="DD237" s="190" t="s">
        <v>134</v>
      </c>
      <c r="DE237" s="62">
        <v>0.99</v>
      </c>
      <c r="DF237" s="62">
        <v>0.94</v>
      </c>
      <c r="DG237" s="62">
        <v>1</v>
      </c>
      <c r="DH237" s="150" t="s">
        <v>102</v>
      </c>
      <c r="DI237" s="62">
        <f t="shared" si="2007"/>
        <v>1.9148737503548841</v>
      </c>
      <c r="DJ237" s="47">
        <f t="shared" si="2008"/>
        <v>11.649294911097483</v>
      </c>
      <c r="DK237" s="48">
        <f t="shared" si="2009"/>
        <v>0</v>
      </c>
      <c r="DM237" s="107">
        <f t="shared" si="2027"/>
        <v>1.2251630527205406</v>
      </c>
      <c r="DN237" s="141" t="str">
        <f t="shared" si="2156"/>
        <v>-</v>
      </c>
      <c r="DO237" s="107">
        <f t="shared" si="2010"/>
        <v>5.4476700870923835</v>
      </c>
      <c r="DP237" s="133">
        <f t="shared" ref="DP237:DP242" si="2188">IF(SeilBeregnet=0,DP236,(SeilBeregnet^0.5/(Depl^0.3333))^DP$3*DP$7)</f>
        <v>3.5896994752363862</v>
      </c>
      <c r="DQ237" s="133">
        <f t="shared" ref="DQ237:DQ242" si="2189">IF(SeilBeregnet=0,DQ236,(SeilBeregnet^0.5/Lwl)^DQ$3*DQ$7)</f>
        <v>0</v>
      </c>
      <c r="DR237" s="133">
        <f t="shared" ref="DR237:DR242" si="2190">IF(SeilBeregnet=0,DR236,(0.1*Loa/Depl^0.3333)^DR$3*DR$7)</f>
        <v>0</v>
      </c>
      <c r="DS237" s="133">
        <f t="shared" ref="DS237:DS242" si="2191">IF(SeilBeregnet=0,DS236,((Loa)/Bredde)^DS$3*DS$7)</f>
        <v>1.8579706118559971</v>
      </c>
      <c r="DT237" s="107">
        <f t="shared" ref="DT237:DT242" si="2192">IF(SeilBeregnet=0,DT236,(Lwl)^DT$3)</f>
        <v>1.8478837127354022</v>
      </c>
      <c r="DU237" s="133">
        <f t="shared" ref="DU237:DU242" si="2193">IF(SeilBeregnet=0,DU236,(Dypg/Loa)^DU$3*5*DU$7)</f>
        <v>1.9416079083690583</v>
      </c>
      <c r="DW237" s="107">
        <f t="shared" si="417"/>
        <v>1.2893107612235908</v>
      </c>
      <c r="DX237" s="107">
        <f t="shared" si="2011"/>
        <v>1.2304877945352284</v>
      </c>
      <c r="DZ237" s="107">
        <f t="shared" si="2012"/>
        <v>1.2275324733746007</v>
      </c>
      <c r="EA237" s="122" t="str">
        <f t="shared" si="2157"/>
        <v>-</v>
      </c>
      <c r="EB237" s="107">
        <f t="shared" si="2013"/>
        <v>1.2770503668750657</v>
      </c>
      <c r="EC237" s="122" t="str">
        <f t="shared" si="2158"/>
        <v>-</v>
      </c>
      <c r="ED237" s="107">
        <f t="shared" si="67"/>
        <v>3.5893918723284433</v>
      </c>
      <c r="EE237" s="107">
        <f t="shared" si="68"/>
        <v>2.2674129716058933</v>
      </c>
      <c r="EF237" s="107">
        <f t="shared" si="1945"/>
        <v>1.6056448217209125</v>
      </c>
      <c r="EH237" s="107">
        <f t="shared" si="2014"/>
        <v>1.2658184973662969</v>
      </c>
      <c r="EJ237" s="107">
        <f t="shared" si="69"/>
        <v>3.5893918723284433</v>
      </c>
      <c r="EK237" s="107">
        <f t="shared" si="1946"/>
        <v>2.2675800519171947</v>
      </c>
      <c r="EL237" s="107">
        <f t="shared" si="1947"/>
        <v>1.8800607846552968</v>
      </c>
      <c r="EM237" s="107">
        <f t="shared" si="2015"/>
        <v>1.2549798995967445</v>
      </c>
      <c r="EO237" s="107">
        <f t="shared" si="1948"/>
        <v>5.7632884729312952</v>
      </c>
      <c r="EP237" s="107">
        <f t="shared" si="70"/>
        <v>3.5893918723284433</v>
      </c>
      <c r="EQ237" s="107">
        <f t="shared" si="1949"/>
        <v>1.6056448217209125</v>
      </c>
      <c r="ER237" s="107">
        <f t="shared" si="1950"/>
        <v>1.8478837127354022</v>
      </c>
      <c r="ES237" s="107">
        <f t="shared" si="2028"/>
        <v>1.2457179359982615</v>
      </c>
      <c r="EU237" s="107">
        <f t="shared" si="1951"/>
        <v>1.9189615492660299</v>
      </c>
      <c r="EV237" s="107">
        <f t="shared" si="71"/>
        <v>3.5893918723284433</v>
      </c>
      <c r="EW237" s="107">
        <f t="shared" si="1952"/>
        <v>1.0259156867073127</v>
      </c>
      <c r="EX237" s="107">
        <f t="shared" si="1953"/>
        <v>1.8589566686871406</v>
      </c>
      <c r="EY237" s="107">
        <f t="shared" si="2029"/>
        <v>1.1773487778846772</v>
      </c>
      <c r="FA237" s="107">
        <f t="shared" si="2030"/>
        <v>1.9190437728749226</v>
      </c>
      <c r="FB237" s="107">
        <f t="shared" si="72"/>
        <v>3.5896994752363862</v>
      </c>
      <c r="FC237" s="107">
        <f t="shared" si="1954"/>
        <v>1.0259156867073127</v>
      </c>
      <c r="FD237" s="107">
        <f t="shared" si="1955"/>
        <v>1.8589566686871406</v>
      </c>
      <c r="FE237" s="107">
        <f t="shared" si="2031"/>
        <v>1.2449892610135882</v>
      </c>
      <c r="FF237" s="141" t="str">
        <f t="shared" si="1794"/>
        <v>-</v>
      </c>
      <c r="FG237" s="107">
        <f t="shared" si="2032"/>
        <v>3.7781694532592258</v>
      </c>
      <c r="FH237" s="133">
        <f t="shared" si="1957"/>
        <v>3.5896994752363862</v>
      </c>
      <c r="FI237" s="133">
        <f t="shared" si="1958"/>
        <v>1.0525029962321368</v>
      </c>
      <c r="FJ237" s="107">
        <f t="shared" si="1959"/>
        <v>1.0453681565409634</v>
      </c>
      <c r="FK237" s="107">
        <f t="shared" si="2033"/>
        <v>1.2400114217513731</v>
      </c>
      <c r="FL237" s="141" t="str">
        <f t="shared" si="1795"/>
        <v>-</v>
      </c>
      <c r="FM237" s="107">
        <f t="shared" si="2034"/>
        <v>5.7453609281440929</v>
      </c>
      <c r="FN237" s="133">
        <f t="shared" si="1961"/>
        <v>3.5896994752363862</v>
      </c>
      <c r="FO237" s="133">
        <f t="shared" si="1962"/>
        <v>0.79769084105170995</v>
      </c>
      <c r="FP237" s="133">
        <f t="shared" si="1963"/>
        <v>1.8579706118559971</v>
      </c>
      <c r="FQ237" s="107">
        <f t="shared" si="1964"/>
        <v>1.8478837127354022</v>
      </c>
      <c r="FR237" s="107">
        <f t="shared" si="2035"/>
        <v>1.2384763963562224</v>
      </c>
      <c r="FS237" s="141" t="str">
        <f t="shared" si="1796"/>
        <v>-</v>
      </c>
      <c r="FT237" s="107">
        <f t="shared" si="2036"/>
        <v>6.6695561303841</v>
      </c>
      <c r="FU237" s="133">
        <f t="shared" si="1966"/>
        <v>3.5896994752363862</v>
      </c>
      <c r="FV237" s="133">
        <f t="shared" si="1967"/>
        <v>1.8579706118559971</v>
      </c>
      <c r="FW237" s="107">
        <f t="shared" si="1968"/>
        <v>1.8478837127354022</v>
      </c>
      <c r="FY237">
        <v>0.95</v>
      </c>
      <c r="FZ237" s="62">
        <f t="shared" si="2074"/>
        <v>1.2132059949403855</v>
      </c>
      <c r="GA237" s="62">
        <f t="shared" si="2075"/>
        <v>1.9416079083690583</v>
      </c>
      <c r="GB237" s="107">
        <f t="shared" si="525"/>
        <v>1.308900559711347</v>
      </c>
      <c r="GC237" s="440"/>
      <c r="GD237" s="17"/>
      <c r="GE237" s="442"/>
      <c r="GF237" s="462"/>
      <c r="GG237" s="17"/>
      <c r="GH237" s="17"/>
      <c r="GI237" s="17"/>
      <c r="GJ237" s="17"/>
      <c r="GL237" s="17"/>
      <c r="GM237" s="442"/>
      <c r="GN237" s="8"/>
      <c r="GO237" s="8"/>
      <c r="GP237" s="8"/>
      <c r="GQ237" s="8"/>
      <c r="GS237" s="17"/>
      <c r="GT237" s="17"/>
      <c r="GU237" s="17"/>
      <c r="GV237" s="629"/>
      <c r="GW237" s="17"/>
      <c r="GX237" s="17"/>
      <c r="GY237" s="17"/>
      <c r="GZ237" s="17"/>
    </row>
    <row r="238" spans="1:208" ht="15.6" x14ac:dyDescent="0.3">
      <c r="A238" s="60" t="s">
        <v>29</v>
      </c>
      <c r="B238" s="218"/>
      <c r="C238" s="14" t="s">
        <v>19</v>
      </c>
      <c r="G238" s="54"/>
      <c r="H238" s="204">
        <f>IF(StH=0,0,TBFavrundet)</f>
        <v>123</v>
      </c>
      <c r="I238" s="63">
        <f>COUNTA(O238:AG238)</f>
        <v>3</v>
      </c>
      <c r="J238" s="222">
        <f>SUM(O238:AG238)</f>
        <v>101.30000000000001</v>
      </c>
      <c r="K238" s="116">
        <f>Seilareal/Depl^0.667/K$7</f>
        <v>1.3967499523853313</v>
      </c>
      <c r="L238" s="116">
        <f t="shared" si="2159"/>
        <v>1.1305488128918699</v>
      </c>
      <c r="M238" s="92">
        <f t="shared" si="2160"/>
        <v>0.78292201382033555</v>
      </c>
      <c r="N238" s="242">
        <f t="shared" si="2161"/>
        <v>1.0020225033387065</v>
      </c>
      <c r="O238" s="143"/>
      <c r="P238" s="143"/>
      <c r="Q238" s="143"/>
      <c r="R238" s="165">
        <v>23</v>
      </c>
      <c r="S238" s="143"/>
      <c r="T238" s="143"/>
      <c r="U238" s="165">
        <v>21.1</v>
      </c>
      <c r="V238" s="559"/>
      <c r="W238" s="559"/>
      <c r="X238" s="165">
        <v>57.2</v>
      </c>
      <c r="Y238" s="143"/>
      <c r="Z238" s="143"/>
      <c r="AA238" s="143"/>
      <c r="AB238" s="143"/>
      <c r="AC238" s="143"/>
      <c r="AD238" s="143"/>
      <c r="AE238" s="143"/>
      <c r="AF238" s="143"/>
      <c r="AG238" s="551"/>
      <c r="AH238" s="557">
        <f t="shared" ref="AH238" si="2194">AH237</f>
        <v>0</v>
      </c>
      <c r="AI238" s="557">
        <f t="shared" ref="AI238:AP242" si="2195">AI237</f>
        <v>11.85</v>
      </c>
      <c r="AJ238" s="337">
        <f t="shared" si="2164"/>
        <v>0</v>
      </c>
      <c r="AK238" s="339"/>
      <c r="AL238" s="337">
        <f t="shared" si="2164"/>
        <v>0</v>
      </c>
      <c r="AM238" s="339"/>
      <c r="AN238" s="267" t="str">
        <f t="shared" ref="AN238" si="2196" xml:space="preserve"> AN237</f>
        <v>Lystb</v>
      </c>
      <c r="AO238" s="45">
        <f>VLOOKUP(AN238,Skrogform!$1:$1048576,3,FALSE)</f>
        <v>0.98</v>
      </c>
      <c r="AP238" s="64">
        <f t="shared" si="2195"/>
        <v>12.6</v>
      </c>
      <c r="AQ238" s="64">
        <f t="shared" ref="AQ238:AQ242" si="2197">AQ237</f>
        <v>11.66</v>
      </c>
      <c r="AR238" s="64">
        <f t="shared" ref="AR238:AR242" si="2198">AR237</f>
        <v>3.65</v>
      </c>
      <c r="AS238" s="64">
        <f t="shared" ref="AS238:AS242" si="2199">AS237</f>
        <v>1.9</v>
      </c>
      <c r="AT238" s="64">
        <f t="shared" ref="AT238:AU242" si="2200">AT237</f>
        <v>17.399999999999999</v>
      </c>
      <c r="AU238" s="64">
        <f t="shared" si="2200"/>
        <v>17.399999999999999</v>
      </c>
      <c r="AV238" s="64">
        <f t="shared" ref="AV238:AV242" si="2201">AV237</f>
        <v>4.5</v>
      </c>
      <c r="AW238" s="64">
        <f t="shared" ref="AW238:AZ242" si="2202">AW237</f>
        <v>0.8</v>
      </c>
      <c r="AX238" s="256">
        <f t="shared" si="2172"/>
        <v>0</v>
      </c>
      <c r="AY238" s="256">
        <f t="shared" si="2202"/>
        <v>40</v>
      </c>
      <c r="AZ238" s="256">
        <f t="shared" si="2202"/>
        <v>200</v>
      </c>
      <c r="BA238" s="256">
        <f t="shared" ref="BA238:BB238" si="2203">BA237</f>
        <v>0</v>
      </c>
      <c r="BB238" s="256">
        <f t="shared" si="2203"/>
        <v>0</v>
      </c>
      <c r="BC238" s="256"/>
      <c r="BD238" s="66"/>
      <c r="BE238" s="66"/>
      <c r="BF238" s="261"/>
      <c r="BG238" s="66"/>
      <c r="BH238" s="175"/>
      <c r="BI238" s="66"/>
      <c r="BJ238" s="66"/>
      <c r="BK238" s="65" t="str">
        <f t="shared" ref="BK238:BM238" si="2204" xml:space="preserve"> BK237</f>
        <v>Fast</v>
      </c>
      <c r="BL238" s="267">
        <f t="shared" si="2204"/>
        <v>4</v>
      </c>
      <c r="BM238" s="267">
        <f t="shared" si="2204"/>
        <v>50</v>
      </c>
      <c r="BN238" s="45">
        <f t="shared" si="1932"/>
        <v>0.98149201307666778</v>
      </c>
      <c r="BO238" s="59"/>
      <c r="BP238" s="59"/>
      <c r="BR238" s="49">
        <f t="shared" si="2175"/>
        <v>0</v>
      </c>
      <c r="BS238" s="49">
        <f t="shared" si="2175"/>
        <v>0</v>
      </c>
      <c r="BT238" s="49">
        <f t="shared" si="2175"/>
        <v>0</v>
      </c>
      <c r="BU238" s="49">
        <f t="shared" si="2175"/>
        <v>23</v>
      </c>
      <c r="BV238" s="49">
        <f t="shared" si="2175"/>
        <v>0</v>
      </c>
      <c r="BW238" s="49">
        <f t="shared" si="2175"/>
        <v>0</v>
      </c>
      <c r="BX238" s="49">
        <f t="shared" si="2175"/>
        <v>21.1</v>
      </c>
      <c r="BY238" s="549">
        <f t="shared" si="2176"/>
        <v>-10.55</v>
      </c>
      <c r="BZ238" s="85">
        <f t="shared" si="2177"/>
        <v>0</v>
      </c>
      <c r="CA238" s="85">
        <f t="shared" si="2177"/>
        <v>0</v>
      </c>
      <c r="CB238" s="85">
        <f t="shared" si="2177"/>
        <v>45.760000000000005</v>
      </c>
      <c r="CC238" s="85">
        <f t="shared" si="2177"/>
        <v>0</v>
      </c>
      <c r="CD238" s="85">
        <f t="shared" si="2177"/>
        <v>0</v>
      </c>
      <c r="CE238" s="85">
        <f t="shared" si="2178"/>
        <v>0</v>
      </c>
      <c r="CF238" s="85">
        <f t="shared" si="2179"/>
        <v>0</v>
      </c>
      <c r="CG238" s="85">
        <f t="shared" si="2179"/>
        <v>0</v>
      </c>
      <c r="CH238" s="85">
        <f t="shared" si="2180"/>
        <v>0</v>
      </c>
      <c r="CI238" s="85">
        <f t="shared" si="2180"/>
        <v>0</v>
      </c>
      <c r="CJ238" s="85">
        <f t="shared" si="2180"/>
        <v>0</v>
      </c>
      <c r="CK238" s="85">
        <f t="shared" si="2180"/>
        <v>0</v>
      </c>
      <c r="CL238" s="100">
        <f t="shared" si="2181"/>
        <v>79.31</v>
      </c>
      <c r="CM238" s="50"/>
      <c r="CN238" s="104">
        <f t="shared" si="2182"/>
        <v>101.30000000000001</v>
      </c>
      <c r="CO238" s="101">
        <f t="shared" si="2183"/>
        <v>0.78292201382033555</v>
      </c>
      <c r="CP238" s="51">
        <f t="shared" si="2184"/>
        <v>0.74509619316894637</v>
      </c>
      <c r="CQ238" s="116">
        <f t="shared" si="2185"/>
        <v>1.3967499523853313</v>
      </c>
      <c r="CR238" s="51">
        <f t="shared" si="2186"/>
        <v>1.1305488128918699</v>
      </c>
      <c r="CS238" s="204"/>
      <c r="CT238" s="204">
        <f t="shared" si="2187"/>
        <v>123</v>
      </c>
      <c r="CU238" s="107">
        <f t="shared" si="1041"/>
        <v>1.2279187018307991</v>
      </c>
      <c r="CV238" s="62">
        <f t="shared" si="2119"/>
        <v>3.4306037709347699</v>
      </c>
      <c r="CW238" s="62">
        <f t="shared" si="998"/>
        <v>1.8229886645925357</v>
      </c>
      <c r="CX238" s="62">
        <f t="shared" si="2120"/>
        <v>1.8478837127354022</v>
      </c>
      <c r="CY238" s="107">
        <f t="shared" si="999"/>
        <v>1.0020225033387065</v>
      </c>
      <c r="CZ238" s="168" t="str">
        <f t="shared" si="1875"/>
        <v>-</v>
      </c>
      <c r="DA238" s="158"/>
      <c r="DB238" s="168" t="str">
        <f t="shared" si="1980"/>
        <v>-</v>
      </c>
      <c r="DC238" s="160"/>
      <c r="DD238" s="190" t="s">
        <v>134</v>
      </c>
      <c r="DE238" s="62">
        <v>0.96</v>
      </c>
      <c r="DF238" s="62">
        <v>0.92</v>
      </c>
      <c r="DG238" s="62">
        <v>0.97</v>
      </c>
      <c r="DH238" s="150" t="s">
        <v>102</v>
      </c>
      <c r="DI238" s="62">
        <f t="shared" si="2007"/>
        <v>1.9148737503548841</v>
      </c>
      <c r="DJ238" s="47">
        <f t="shared" si="2008"/>
        <v>11.649294911097483</v>
      </c>
      <c r="DK238" s="48">
        <f t="shared" si="2009"/>
        <v>0</v>
      </c>
      <c r="DM238" s="107">
        <f t="shared" si="2027"/>
        <v>1.1908381359179663</v>
      </c>
      <c r="DN238" s="141" t="str">
        <f t="shared" si="2156"/>
        <v>-</v>
      </c>
      <c r="DO238" s="107">
        <f t="shared" si="2010"/>
        <v>5.2950448327704418</v>
      </c>
      <c r="DP238" s="133">
        <f t="shared" si="2188"/>
        <v>3.4370742209144449</v>
      </c>
      <c r="DQ238" s="133">
        <f t="shared" si="2189"/>
        <v>0</v>
      </c>
      <c r="DR238" s="133">
        <f t="shared" si="2190"/>
        <v>0</v>
      </c>
      <c r="DS238" s="133">
        <f t="shared" si="2191"/>
        <v>1.8579706118559971</v>
      </c>
      <c r="DT238" s="107">
        <f t="shared" si="2192"/>
        <v>1.8478837127354022</v>
      </c>
      <c r="DU238" s="133">
        <f t="shared" si="2193"/>
        <v>1.9416079083690583</v>
      </c>
      <c r="DW238" s="107">
        <f t="shared" si="417"/>
        <v>1.2529782671742851</v>
      </c>
      <c r="DX238" s="107">
        <f t="shared" si="2011"/>
        <v>1.1885559126968293</v>
      </c>
      <c r="DZ238" s="107">
        <f t="shared" si="2012"/>
        <v>1.1929232234141063</v>
      </c>
      <c r="EA238" s="122" t="str">
        <f t="shared" si="2157"/>
        <v>-</v>
      </c>
      <c r="EB238" s="107">
        <f t="shared" si="2013"/>
        <v>1.234653380312593</v>
      </c>
      <c r="EC238" s="122" t="str">
        <f t="shared" si="2158"/>
        <v>-</v>
      </c>
      <c r="ED238" s="107">
        <f t="shared" si="67"/>
        <v>3.4367796965308686</v>
      </c>
      <c r="EE238" s="107">
        <f t="shared" si="68"/>
        <v>2.2674129716058933</v>
      </c>
      <c r="EF238" s="107">
        <f t="shared" si="1945"/>
        <v>1.6056448217209125</v>
      </c>
      <c r="EH238" s="107">
        <f t="shared" si="2014"/>
        <v>1.2273620606470506</v>
      </c>
      <c r="EJ238" s="107">
        <f t="shared" si="69"/>
        <v>3.4367796965308686</v>
      </c>
      <c r="EK238" s="107">
        <f t="shared" si="1946"/>
        <v>2.2675800519171947</v>
      </c>
      <c r="EL238" s="107">
        <f t="shared" si="1947"/>
        <v>1.8800607846552968</v>
      </c>
      <c r="EM238" s="107">
        <f t="shared" si="2015"/>
        <v>1.2153676312068058</v>
      </c>
      <c r="EO238" s="107">
        <f t="shared" si="1948"/>
        <v>5.5182475231303583</v>
      </c>
      <c r="EP238" s="107">
        <f t="shared" si="70"/>
        <v>3.4367796965308686</v>
      </c>
      <c r="EQ238" s="107">
        <f t="shared" si="1949"/>
        <v>1.6056448217209125</v>
      </c>
      <c r="ER238" s="107">
        <f t="shared" si="1950"/>
        <v>1.8478837127354022</v>
      </c>
      <c r="ES238" s="107">
        <f t="shared" si="2028"/>
        <v>1.2095148699444478</v>
      </c>
      <c r="EU238" s="107">
        <f t="shared" si="1951"/>
        <v>1.8777236757383169</v>
      </c>
      <c r="EV238" s="107">
        <f t="shared" si="71"/>
        <v>3.4367796965308686</v>
      </c>
      <c r="EW238" s="107">
        <f t="shared" si="1952"/>
        <v>1.0259156867073127</v>
      </c>
      <c r="EX238" s="107">
        <f t="shared" si="1953"/>
        <v>1.8589566686871406</v>
      </c>
      <c r="EY238" s="107">
        <f t="shared" si="2029"/>
        <v>1.1520479270057287</v>
      </c>
      <c r="FA238" s="107">
        <f t="shared" si="2030"/>
        <v>1.8778041323879986</v>
      </c>
      <c r="FB238" s="107">
        <f t="shared" si="72"/>
        <v>3.4370742209144449</v>
      </c>
      <c r="FC238" s="107">
        <f t="shared" si="1954"/>
        <v>1.0259156867073127</v>
      </c>
      <c r="FD238" s="107">
        <f t="shared" si="1955"/>
        <v>1.8589566686871406</v>
      </c>
      <c r="FE238" s="107">
        <f t="shared" si="2031"/>
        <v>1.210377390302888</v>
      </c>
      <c r="FF238" s="141" t="str">
        <f t="shared" si="1794"/>
        <v>-</v>
      </c>
      <c r="FG238" s="107">
        <f t="shared" si="2032"/>
        <v>3.6175309157846907</v>
      </c>
      <c r="FH238" s="133">
        <f t="shared" si="1957"/>
        <v>3.4370742209144449</v>
      </c>
      <c r="FI238" s="133">
        <f t="shared" si="1958"/>
        <v>1.0525029962321368</v>
      </c>
      <c r="FJ238" s="107">
        <f t="shared" si="1959"/>
        <v>1.0453681565409634</v>
      </c>
      <c r="FK238" s="107">
        <f t="shared" si="2033"/>
        <v>1.1997505707622635</v>
      </c>
      <c r="FL238" s="141" t="str">
        <f t="shared" si="1795"/>
        <v>-</v>
      </c>
      <c r="FM238" s="107">
        <f t="shared" si="2034"/>
        <v>5.5588198075147686</v>
      </c>
      <c r="FN238" s="133">
        <f t="shared" si="1961"/>
        <v>3.4370742209144449</v>
      </c>
      <c r="FO238" s="133">
        <f t="shared" si="1962"/>
        <v>0.76377497474432687</v>
      </c>
      <c r="FP238" s="133">
        <f t="shared" si="1963"/>
        <v>1.8579706118559971</v>
      </c>
      <c r="FQ238" s="107">
        <f t="shared" si="1964"/>
        <v>1.8478837127354022</v>
      </c>
      <c r="FR238" s="107">
        <f t="shared" si="2035"/>
        <v>1.2055604290408235</v>
      </c>
      <c r="FS238" s="141" t="str">
        <f t="shared" si="1796"/>
        <v>-</v>
      </c>
      <c r="FT238" s="107">
        <f t="shared" si="2036"/>
        <v>6.3859828932268856</v>
      </c>
      <c r="FU238" s="133">
        <f t="shared" si="1966"/>
        <v>3.4370742209144449</v>
      </c>
      <c r="FV238" s="133">
        <f t="shared" si="1967"/>
        <v>1.8579706118559971</v>
      </c>
      <c r="FW238" s="107">
        <f t="shared" si="1968"/>
        <v>1.8478837127354022</v>
      </c>
      <c r="FY238">
        <v>0.95</v>
      </c>
      <c r="FZ238" s="62">
        <f t="shared" si="2074"/>
        <v>1.1881484984003925</v>
      </c>
      <c r="GA238" s="62">
        <f t="shared" si="2075"/>
        <v>1.9416079083690583</v>
      </c>
      <c r="GB238" s="107">
        <f t="shared" si="525"/>
        <v>1.2900808434515714</v>
      </c>
      <c r="GC238" s="440"/>
      <c r="GD238" s="17"/>
      <c r="GE238" s="442"/>
      <c r="GF238" s="462"/>
      <c r="GG238" s="17"/>
      <c r="GH238" s="17"/>
      <c r="GI238" s="17"/>
      <c r="GJ238" s="17"/>
      <c r="GL238" s="17"/>
      <c r="GM238" s="442"/>
      <c r="GN238" s="8"/>
      <c r="GO238" s="8"/>
      <c r="GP238" s="8"/>
      <c r="GQ238" s="8"/>
      <c r="GS238" s="17"/>
      <c r="GT238" s="17"/>
      <c r="GU238" s="17"/>
      <c r="GV238" s="629"/>
      <c r="GW238" s="17"/>
      <c r="GX238" s="17"/>
      <c r="GY238" s="17"/>
      <c r="GZ238" s="17"/>
    </row>
    <row r="239" spans="1:208" ht="15.6" x14ac:dyDescent="0.3">
      <c r="A239" s="60" t="s">
        <v>30</v>
      </c>
      <c r="B239" s="218"/>
      <c r="C239" s="14" t="s">
        <v>19</v>
      </c>
      <c r="G239" s="54"/>
      <c r="H239" s="204">
        <f>IF(StH=0,0,TBFavrundet)</f>
        <v>119.49999999999999</v>
      </c>
      <c r="I239" s="63">
        <f>COUNTA(O239:AG239)</f>
        <v>3</v>
      </c>
      <c r="J239" s="222">
        <f>SUM(O239:AG239)</f>
        <v>90.5</v>
      </c>
      <c r="K239" s="116">
        <f>Seilareal/Depl^0.667/K$7</f>
        <v>1.2478368281428673</v>
      </c>
      <c r="L239" s="116">
        <f t="shared" si="2159"/>
        <v>1.0100164616654908</v>
      </c>
      <c r="M239" s="92">
        <f t="shared" si="2160"/>
        <v>0.80618784530386745</v>
      </c>
      <c r="N239" s="242">
        <f t="shared" si="2161"/>
        <v>1.0020225033387065</v>
      </c>
      <c r="O239" s="143"/>
      <c r="P239" s="143"/>
      <c r="Q239" s="143"/>
      <c r="R239" s="143"/>
      <c r="S239" s="165">
        <v>12.2</v>
      </c>
      <c r="T239" s="143"/>
      <c r="U239" s="165">
        <v>21.1</v>
      </c>
      <c r="V239" s="559"/>
      <c r="W239" s="559"/>
      <c r="X239" s="165">
        <v>57.2</v>
      </c>
      <c r="Y239" s="143"/>
      <c r="Z239" s="143"/>
      <c r="AA239" s="143"/>
      <c r="AB239" s="143"/>
      <c r="AC239" s="143"/>
      <c r="AD239" s="143"/>
      <c r="AE239" s="143"/>
      <c r="AF239" s="143"/>
      <c r="AG239" s="551"/>
      <c r="AH239" s="557">
        <f t="shared" ref="AH239" si="2205">AH238</f>
        <v>0</v>
      </c>
      <c r="AI239" s="557">
        <f t="shared" si="2195"/>
        <v>11.85</v>
      </c>
      <c r="AJ239" s="337">
        <f t="shared" si="2164"/>
        <v>0</v>
      </c>
      <c r="AK239" s="339"/>
      <c r="AL239" s="337">
        <f t="shared" si="2164"/>
        <v>0</v>
      </c>
      <c r="AM239" s="339"/>
      <c r="AN239" s="267" t="str">
        <f t="shared" ref="AN239" si="2206" xml:space="preserve"> AN238</f>
        <v>Lystb</v>
      </c>
      <c r="AO239" s="45">
        <f>VLOOKUP(AN239,Skrogform!$1:$1048576,3,FALSE)</f>
        <v>0.98</v>
      </c>
      <c r="AP239" s="64">
        <f t="shared" si="2195"/>
        <v>12.6</v>
      </c>
      <c r="AQ239" s="64">
        <f t="shared" si="2197"/>
        <v>11.66</v>
      </c>
      <c r="AR239" s="64">
        <f t="shared" si="2198"/>
        <v>3.65</v>
      </c>
      <c r="AS239" s="64">
        <f t="shared" si="2199"/>
        <v>1.9</v>
      </c>
      <c r="AT239" s="64">
        <f t="shared" si="2200"/>
        <v>17.399999999999999</v>
      </c>
      <c r="AU239" s="64">
        <f t="shared" si="2200"/>
        <v>17.399999999999999</v>
      </c>
      <c r="AV239" s="64">
        <f t="shared" si="2201"/>
        <v>4.5</v>
      </c>
      <c r="AW239" s="64">
        <f t="shared" si="2202"/>
        <v>0.8</v>
      </c>
      <c r="AX239" s="256">
        <f t="shared" si="2172"/>
        <v>0</v>
      </c>
      <c r="AY239" s="256">
        <f t="shared" si="2202"/>
        <v>40</v>
      </c>
      <c r="AZ239" s="256">
        <f t="shared" si="2202"/>
        <v>200</v>
      </c>
      <c r="BA239" s="256">
        <f t="shared" ref="BA239:BB239" si="2207">BA238</f>
        <v>0</v>
      </c>
      <c r="BB239" s="256">
        <f t="shared" si="2207"/>
        <v>0</v>
      </c>
      <c r="BC239" s="256"/>
      <c r="BD239" s="66"/>
      <c r="BE239" s="66"/>
      <c r="BF239" s="261"/>
      <c r="BG239" s="66"/>
      <c r="BH239" s="175"/>
      <c r="BI239" s="66"/>
      <c r="BJ239" s="66"/>
      <c r="BK239" s="65" t="str">
        <f t="shared" ref="BK239:BM239" si="2208" xml:space="preserve"> BK238</f>
        <v>Fast</v>
      </c>
      <c r="BL239" s="267">
        <f t="shared" si="2208"/>
        <v>4</v>
      </c>
      <c r="BM239" s="267">
        <f t="shared" si="2208"/>
        <v>50</v>
      </c>
      <c r="BN239" s="45">
        <f t="shared" si="1932"/>
        <v>0.98149201307666778</v>
      </c>
      <c r="BO239" s="59"/>
      <c r="BP239" s="59"/>
      <c r="BR239" s="49">
        <f t="shared" si="2175"/>
        <v>0</v>
      </c>
      <c r="BS239" s="49">
        <f t="shared" si="2175"/>
        <v>0</v>
      </c>
      <c r="BT239" s="49">
        <f t="shared" si="2175"/>
        <v>0</v>
      </c>
      <c r="BU239" s="49">
        <f t="shared" si="2175"/>
        <v>0</v>
      </c>
      <c r="BV239" s="49">
        <f t="shared" si="2175"/>
        <v>12.2</v>
      </c>
      <c r="BW239" s="49">
        <f t="shared" si="2175"/>
        <v>0</v>
      </c>
      <c r="BX239" s="49">
        <f t="shared" si="2175"/>
        <v>21.1</v>
      </c>
      <c r="BY239" s="549">
        <f t="shared" si="2176"/>
        <v>-6.1</v>
      </c>
      <c r="BZ239" s="85">
        <f t="shared" si="2177"/>
        <v>0</v>
      </c>
      <c r="CA239" s="85">
        <f t="shared" si="2177"/>
        <v>0</v>
      </c>
      <c r="CB239" s="85">
        <f t="shared" si="2177"/>
        <v>45.760000000000005</v>
      </c>
      <c r="CC239" s="85">
        <f t="shared" si="2177"/>
        <v>0</v>
      </c>
      <c r="CD239" s="85">
        <f t="shared" si="2177"/>
        <v>0</v>
      </c>
      <c r="CE239" s="85">
        <f t="shared" si="2178"/>
        <v>0</v>
      </c>
      <c r="CF239" s="85">
        <f t="shared" si="2179"/>
        <v>0</v>
      </c>
      <c r="CG239" s="85">
        <f t="shared" si="2179"/>
        <v>0</v>
      </c>
      <c r="CH239" s="85">
        <f t="shared" si="2180"/>
        <v>0</v>
      </c>
      <c r="CI239" s="85">
        <f t="shared" si="2180"/>
        <v>0</v>
      </c>
      <c r="CJ239" s="85">
        <f t="shared" si="2180"/>
        <v>0</v>
      </c>
      <c r="CK239" s="85">
        <f t="shared" si="2180"/>
        <v>0</v>
      </c>
      <c r="CL239" s="100">
        <f t="shared" si="2181"/>
        <v>72.960000000000008</v>
      </c>
      <c r="CM239" s="50"/>
      <c r="CN239" s="104">
        <f t="shared" si="2182"/>
        <v>90.5</v>
      </c>
      <c r="CO239" s="101">
        <f t="shared" si="2183"/>
        <v>0.80618784530386745</v>
      </c>
      <c r="CP239" s="51">
        <f t="shared" si="2184"/>
        <v>0.66565849439081581</v>
      </c>
      <c r="CQ239" s="116">
        <f t="shared" si="2185"/>
        <v>1.2478368281428673</v>
      </c>
      <c r="CR239" s="51">
        <f t="shared" si="2186"/>
        <v>1.0100164616654908</v>
      </c>
      <c r="CS239" s="204"/>
      <c r="CT239" s="204">
        <f t="shared" si="2187"/>
        <v>119.49999999999999</v>
      </c>
      <c r="CU239" s="107">
        <f t="shared" si="1041"/>
        <v>1.195149501313804</v>
      </c>
      <c r="CV239" s="62">
        <f t="shared" si="2119"/>
        <v>3.2904022871576419</v>
      </c>
      <c r="CW239" s="62">
        <f t="shared" si="998"/>
        <v>1.8229886645925357</v>
      </c>
      <c r="CX239" s="62">
        <f t="shared" si="2120"/>
        <v>1.8478837127354022</v>
      </c>
      <c r="CY239" s="107">
        <f t="shared" si="999"/>
        <v>1.0020225033387065</v>
      </c>
      <c r="CZ239" s="168" t="str">
        <f t="shared" ref="CZ239:CZ270" si="2209">IF(DA239=0,"-",IF(CP239="TBF","-",CZ$7*DA239))</f>
        <v>-</v>
      </c>
      <c r="DA239" s="158"/>
      <c r="DB239" s="168" t="str">
        <f t="shared" si="1980"/>
        <v>-</v>
      </c>
      <c r="DC239" s="160"/>
      <c r="DD239" s="190" t="s">
        <v>134</v>
      </c>
      <c r="DE239" s="62">
        <v>0.92</v>
      </c>
      <c r="DF239" s="62">
        <v>0.9</v>
      </c>
      <c r="DG239" s="62">
        <v>0.94</v>
      </c>
      <c r="DH239" s="150" t="s">
        <v>102</v>
      </c>
      <c r="DI239" s="62">
        <f t="shared" si="2007"/>
        <v>1.9148737503548841</v>
      </c>
      <c r="DJ239" s="47">
        <f t="shared" si="2008"/>
        <v>11.649294911097483</v>
      </c>
      <c r="DK239" s="48">
        <f t="shared" si="2009"/>
        <v>0</v>
      </c>
      <c r="DM239" s="107">
        <f t="shared" si="2027"/>
        <v>1.1592478139439821</v>
      </c>
      <c r="DN239" s="141" t="str">
        <f t="shared" si="2156"/>
        <v>-</v>
      </c>
      <c r="DO239" s="107">
        <f t="shared" si="2010"/>
        <v>5.1545789154567041</v>
      </c>
      <c r="DP239" s="133">
        <f t="shared" si="2188"/>
        <v>3.2966083036007068</v>
      </c>
      <c r="DQ239" s="133">
        <f t="shared" si="2189"/>
        <v>0</v>
      </c>
      <c r="DR239" s="133">
        <f t="shared" si="2190"/>
        <v>0</v>
      </c>
      <c r="DS239" s="133">
        <f t="shared" si="2191"/>
        <v>1.8579706118559971</v>
      </c>
      <c r="DT239" s="107">
        <f t="shared" si="2192"/>
        <v>1.8478837127354022</v>
      </c>
      <c r="DU239" s="133">
        <f t="shared" si="2193"/>
        <v>1.9416079083690583</v>
      </c>
      <c r="DW239" s="107">
        <f t="shared" si="417"/>
        <v>1.2195403074630655</v>
      </c>
      <c r="DX239" s="107">
        <f t="shared" si="2011"/>
        <v>1.1499646567917094</v>
      </c>
      <c r="DZ239" s="107">
        <f t="shared" si="2012"/>
        <v>1.1610712205143319</v>
      </c>
      <c r="EA239" s="122" t="str">
        <f t="shared" si="2157"/>
        <v>-</v>
      </c>
      <c r="EB239" s="107">
        <f t="shared" si="2013"/>
        <v>1.1956340736107416</v>
      </c>
      <c r="EC239" s="122" t="str">
        <f t="shared" si="2158"/>
        <v>-</v>
      </c>
      <c r="ED239" s="107">
        <f t="shared" si="67"/>
        <v>3.2963258158026245</v>
      </c>
      <c r="EE239" s="107">
        <f t="shared" si="68"/>
        <v>2.2674129716058933</v>
      </c>
      <c r="EF239" s="107">
        <f t="shared" si="1945"/>
        <v>1.6056448217209125</v>
      </c>
      <c r="EH239" s="107">
        <f t="shared" si="2014"/>
        <v>1.1919693683669623</v>
      </c>
      <c r="EJ239" s="107">
        <f t="shared" si="69"/>
        <v>3.2963258158026245</v>
      </c>
      <c r="EK239" s="107">
        <f t="shared" si="1946"/>
        <v>2.2675800519171947</v>
      </c>
      <c r="EL239" s="107">
        <f t="shared" si="1947"/>
        <v>1.8800607846552968</v>
      </c>
      <c r="EM239" s="107">
        <f t="shared" si="2015"/>
        <v>1.1789111899645595</v>
      </c>
      <c r="EO239" s="107">
        <f t="shared" si="1948"/>
        <v>5.2927284768484464</v>
      </c>
      <c r="EP239" s="107">
        <f t="shared" si="70"/>
        <v>3.2963258158026245</v>
      </c>
      <c r="EQ239" s="107">
        <f t="shared" si="1949"/>
        <v>1.6056448217209125</v>
      </c>
      <c r="ER239" s="107">
        <f t="shared" si="1950"/>
        <v>1.8478837127354022</v>
      </c>
      <c r="ES239" s="107">
        <f t="shared" si="2028"/>
        <v>1.1754787858940281</v>
      </c>
      <c r="EU239" s="107">
        <f t="shared" si="1951"/>
        <v>1.838954149219113</v>
      </c>
      <c r="EV239" s="107">
        <f t="shared" si="71"/>
        <v>3.2963258158026245</v>
      </c>
      <c r="EW239" s="107">
        <f t="shared" si="1952"/>
        <v>1.0259156867073127</v>
      </c>
      <c r="EX239" s="107">
        <f t="shared" si="1953"/>
        <v>1.8589566686871406</v>
      </c>
      <c r="EY239" s="107">
        <f t="shared" si="2029"/>
        <v>1.1282614917412961</v>
      </c>
      <c r="FA239" s="107">
        <f t="shared" si="2030"/>
        <v>1.8390329446732454</v>
      </c>
      <c r="FB239" s="107">
        <f t="shared" si="72"/>
        <v>3.2966083036007068</v>
      </c>
      <c r="FC239" s="107">
        <f t="shared" si="1954"/>
        <v>1.0259156867073127</v>
      </c>
      <c r="FD239" s="107">
        <f t="shared" si="1955"/>
        <v>1.8589566686871406</v>
      </c>
      <c r="FE239" s="107">
        <f t="shared" si="2031"/>
        <v>1.1785229754426332</v>
      </c>
      <c r="FF239" s="141" t="str">
        <f t="shared" si="1794"/>
        <v>-</v>
      </c>
      <c r="FG239" s="107">
        <f t="shared" si="2032"/>
        <v>3.4696901169434855</v>
      </c>
      <c r="FH239" s="133">
        <f t="shared" si="1957"/>
        <v>3.2966083036007068</v>
      </c>
      <c r="FI239" s="133">
        <f t="shared" si="1958"/>
        <v>1.0525029962321368</v>
      </c>
      <c r="FJ239" s="107">
        <f t="shared" si="1959"/>
        <v>1.0453681565409634</v>
      </c>
      <c r="FK239" s="107">
        <f t="shared" si="2033"/>
        <v>1.162697218149412</v>
      </c>
      <c r="FL239" s="141" t="str">
        <f t="shared" si="1795"/>
        <v>-</v>
      </c>
      <c r="FM239" s="107">
        <f t="shared" si="2034"/>
        <v>5.3871400305188866</v>
      </c>
      <c r="FN239" s="133">
        <f t="shared" si="1961"/>
        <v>3.2966083036007068</v>
      </c>
      <c r="FO239" s="133">
        <f t="shared" si="1962"/>
        <v>0.73256111506218258</v>
      </c>
      <c r="FP239" s="133">
        <f t="shared" si="1963"/>
        <v>1.8579706118559971</v>
      </c>
      <c r="FQ239" s="107">
        <f t="shared" si="1964"/>
        <v>1.8478837127354022</v>
      </c>
      <c r="FR239" s="107">
        <f t="shared" si="2035"/>
        <v>1.1752668084747693</v>
      </c>
      <c r="FS239" s="141" t="str">
        <f t="shared" si="1796"/>
        <v>-</v>
      </c>
      <c r="FT239" s="107">
        <f t="shared" si="2036"/>
        <v>6.1250013468905662</v>
      </c>
      <c r="FU239" s="133">
        <f t="shared" si="1966"/>
        <v>3.2966083036007068</v>
      </c>
      <c r="FV239" s="133">
        <f t="shared" si="1967"/>
        <v>1.8579706118559971</v>
      </c>
      <c r="FW239" s="107">
        <f t="shared" si="1968"/>
        <v>1.8478837127354022</v>
      </c>
      <c r="FY239">
        <v>0.95</v>
      </c>
      <c r="FZ239" s="62">
        <f t="shared" si="2074"/>
        <v>1.1650872805651606</v>
      </c>
      <c r="GA239" s="62">
        <f t="shared" si="2075"/>
        <v>1.9416079083690583</v>
      </c>
      <c r="GB239" s="107">
        <f t="shared" si="525"/>
        <v>1.2722615599839273</v>
      </c>
      <c r="GC239" s="440"/>
      <c r="GD239" s="17"/>
      <c r="GE239" s="442"/>
      <c r="GF239" s="462"/>
      <c r="GG239" s="17"/>
      <c r="GH239" s="17"/>
      <c r="GI239" s="17"/>
      <c r="GJ239" s="17"/>
      <c r="GL239" s="17"/>
      <c r="GM239" s="442"/>
      <c r="GN239" s="8"/>
      <c r="GO239" s="8"/>
      <c r="GP239" s="8"/>
      <c r="GQ239" s="8"/>
      <c r="GS239" s="17"/>
      <c r="GT239" s="17"/>
      <c r="GU239" s="17"/>
      <c r="GV239" s="629"/>
      <c r="GW239" s="17"/>
      <c r="GX239" s="17"/>
      <c r="GY239" s="17"/>
      <c r="GZ239" s="17"/>
    </row>
    <row r="240" spans="1:208" ht="15.6" x14ac:dyDescent="0.3">
      <c r="A240" s="60" t="s">
        <v>34</v>
      </c>
      <c r="B240" s="218"/>
      <c r="C240" s="14" t="s">
        <v>19</v>
      </c>
      <c r="G240" s="54"/>
      <c r="H240" s="204">
        <f t="shared" ref="H240:H242" si="2210">TBFavrundet</f>
        <v>115.00000000000001</v>
      </c>
      <c r="I240" s="63">
        <f t="shared" ref="I240:I242" si="2211">COUNTA(O240:AG240)</f>
        <v>3</v>
      </c>
      <c r="J240" s="222">
        <f t="shared" ref="J240:J242" si="2212">SUM(O240:AG240)</f>
        <v>81.3</v>
      </c>
      <c r="K240" s="116">
        <f t="shared" ref="K240:K242" si="2213">Seilareal/Depl^0.667/K$7</f>
        <v>1.1209849074918796</v>
      </c>
      <c r="L240" s="116">
        <f t="shared" si="2159"/>
        <v>0.90734075506524192</v>
      </c>
      <c r="M240" s="92">
        <f t="shared" si="2160"/>
        <v>0.79507995079950788</v>
      </c>
      <c r="N240" s="242">
        <f t="shared" si="2161"/>
        <v>1.0020225033387065</v>
      </c>
      <c r="O240" s="143"/>
      <c r="P240" s="143"/>
      <c r="Q240" s="143"/>
      <c r="R240" s="143"/>
      <c r="S240" s="165">
        <v>12.2</v>
      </c>
      <c r="T240" s="143"/>
      <c r="U240" s="165">
        <v>21.1</v>
      </c>
      <c r="V240" s="559"/>
      <c r="W240" s="559"/>
      <c r="X240" s="144"/>
      <c r="Y240" s="180">
        <v>48</v>
      </c>
      <c r="Z240" s="143"/>
      <c r="AA240" s="143"/>
      <c r="AB240" s="143"/>
      <c r="AC240" s="143"/>
      <c r="AD240" s="143"/>
      <c r="AE240" s="143"/>
      <c r="AF240" s="143"/>
      <c r="AG240" s="551"/>
      <c r="AH240" s="557">
        <f t="shared" ref="AH240" si="2214">AH239</f>
        <v>0</v>
      </c>
      <c r="AI240" s="557">
        <f t="shared" si="2195"/>
        <v>11.85</v>
      </c>
      <c r="AJ240" s="337">
        <f t="shared" si="2164"/>
        <v>0</v>
      </c>
      <c r="AK240" s="339"/>
      <c r="AL240" s="337">
        <f t="shared" si="2164"/>
        <v>0</v>
      </c>
      <c r="AM240" s="339"/>
      <c r="AN240" s="267" t="str">
        <f t="shared" ref="AN240" si="2215" xml:space="preserve"> AN239</f>
        <v>Lystb</v>
      </c>
      <c r="AO240" s="45">
        <f>VLOOKUP(AN240,Skrogform!$1:$1048576,3,FALSE)</f>
        <v>0.98</v>
      </c>
      <c r="AP240" s="64">
        <f t="shared" si="2195"/>
        <v>12.6</v>
      </c>
      <c r="AQ240" s="64">
        <f t="shared" si="2197"/>
        <v>11.66</v>
      </c>
      <c r="AR240" s="64">
        <f t="shared" si="2198"/>
        <v>3.65</v>
      </c>
      <c r="AS240" s="64">
        <f t="shared" si="2199"/>
        <v>1.9</v>
      </c>
      <c r="AT240" s="64">
        <f t="shared" si="2200"/>
        <v>17.399999999999999</v>
      </c>
      <c r="AU240" s="64">
        <f t="shared" si="2200"/>
        <v>17.399999999999999</v>
      </c>
      <c r="AV240" s="64">
        <f t="shared" si="2201"/>
        <v>4.5</v>
      </c>
      <c r="AW240" s="64">
        <f t="shared" si="2202"/>
        <v>0.8</v>
      </c>
      <c r="AX240" s="256">
        <f t="shared" si="2172"/>
        <v>0</v>
      </c>
      <c r="AY240" s="256">
        <f t="shared" si="2202"/>
        <v>40</v>
      </c>
      <c r="AZ240" s="256">
        <f t="shared" si="2202"/>
        <v>200</v>
      </c>
      <c r="BA240" s="256">
        <f t="shared" ref="BA240:BB240" si="2216">BA239</f>
        <v>0</v>
      </c>
      <c r="BB240" s="256">
        <f t="shared" si="2216"/>
        <v>0</v>
      </c>
      <c r="BC240" s="256"/>
      <c r="BD240" s="66"/>
      <c r="BE240" s="66"/>
      <c r="BF240" s="261"/>
      <c r="BG240" s="66"/>
      <c r="BH240" s="175"/>
      <c r="BI240" s="66"/>
      <c r="BJ240" s="66"/>
      <c r="BK240" s="65" t="str">
        <f t="shared" ref="BK240:BM240" si="2217" xml:space="preserve"> BK239</f>
        <v>Fast</v>
      </c>
      <c r="BL240" s="267">
        <f t="shared" si="2217"/>
        <v>4</v>
      </c>
      <c r="BM240" s="267">
        <f t="shared" si="2217"/>
        <v>50</v>
      </c>
      <c r="BN240" s="45">
        <f t="shared" si="1932"/>
        <v>0.98149201307666778</v>
      </c>
      <c r="BO240" s="59"/>
      <c r="BP240" s="59"/>
      <c r="BR240" s="49">
        <f t="shared" si="2175"/>
        <v>0</v>
      </c>
      <c r="BS240" s="49">
        <f t="shared" si="2175"/>
        <v>0</v>
      </c>
      <c r="BT240" s="49">
        <f t="shared" si="2175"/>
        <v>0</v>
      </c>
      <c r="BU240" s="49">
        <f t="shared" si="2175"/>
        <v>0</v>
      </c>
      <c r="BV240" s="49">
        <f t="shared" si="2175"/>
        <v>12.2</v>
      </c>
      <c r="BW240" s="49">
        <f t="shared" si="2175"/>
        <v>0</v>
      </c>
      <c r="BX240" s="49">
        <f t="shared" si="2175"/>
        <v>21.1</v>
      </c>
      <c r="BY240" s="549">
        <f t="shared" si="2176"/>
        <v>-6.1</v>
      </c>
      <c r="BZ240" s="85">
        <f t="shared" si="2177"/>
        <v>0</v>
      </c>
      <c r="CA240" s="85">
        <f t="shared" si="2177"/>
        <v>0</v>
      </c>
      <c r="CB240" s="85">
        <f t="shared" si="2177"/>
        <v>0</v>
      </c>
      <c r="CC240" s="85">
        <f t="shared" si="2177"/>
        <v>37.44</v>
      </c>
      <c r="CD240" s="85">
        <f t="shared" si="2177"/>
        <v>0</v>
      </c>
      <c r="CE240" s="85">
        <f t="shared" si="2178"/>
        <v>0</v>
      </c>
      <c r="CF240" s="85">
        <f t="shared" si="2179"/>
        <v>0</v>
      </c>
      <c r="CG240" s="85">
        <f t="shared" si="2179"/>
        <v>0</v>
      </c>
      <c r="CH240" s="85">
        <f t="shared" si="2180"/>
        <v>0</v>
      </c>
      <c r="CI240" s="85">
        <f t="shared" si="2180"/>
        <v>0</v>
      </c>
      <c r="CJ240" s="85">
        <f t="shared" si="2180"/>
        <v>0</v>
      </c>
      <c r="CK240" s="85">
        <f t="shared" si="2180"/>
        <v>0</v>
      </c>
      <c r="CL240" s="100">
        <f t="shared" si="2181"/>
        <v>64.639999999999986</v>
      </c>
      <c r="CM240" s="50"/>
      <c r="CN240" s="104">
        <f t="shared" si="2182"/>
        <v>81.3</v>
      </c>
      <c r="CO240" s="101">
        <f t="shared" si="2183"/>
        <v>0.79507995079950788</v>
      </c>
      <c r="CP240" s="51">
        <f t="shared" si="2184"/>
        <v>0.5979893435798157</v>
      </c>
      <c r="CQ240" s="116">
        <f t="shared" si="2185"/>
        <v>1.1209849074918796</v>
      </c>
      <c r="CR240" s="51">
        <f t="shared" si="2186"/>
        <v>0.90734075506524192</v>
      </c>
      <c r="CS240" s="204"/>
      <c r="CT240" s="204">
        <f t="shared" si="2187"/>
        <v>115.00000000000001</v>
      </c>
      <c r="CU240" s="107">
        <f t="shared" si="1041"/>
        <v>1.1499724709292665</v>
      </c>
      <c r="CV240" s="62">
        <f t="shared" si="2119"/>
        <v>3.0971144866428979</v>
      </c>
      <c r="CW240" s="62">
        <f t="shared" si="998"/>
        <v>1.8229886645925357</v>
      </c>
      <c r="CX240" s="62">
        <f t="shared" si="2120"/>
        <v>1.8478837127354022</v>
      </c>
      <c r="CY240" s="107">
        <f t="shared" si="999"/>
        <v>1.0020225033387065</v>
      </c>
      <c r="CZ240" s="168" t="str">
        <f t="shared" si="2209"/>
        <v>-</v>
      </c>
      <c r="DA240" s="158"/>
      <c r="DB240" s="168" t="str">
        <f t="shared" si="1980"/>
        <v>-</v>
      </c>
      <c r="DC240" s="160"/>
      <c r="DD240" s="190" t="s">
        <v>134</v>
      </c>
      <c r="DE240" s="62">
        <v>0.9</v>
      </c>
      <c r="DF240" s="62">
        <v>0.88</v>
      </c>
      <c r="DG240" s="62">
        <v>0.91</v>
      </c>
      <c r="DH240" s="150" t="s">
        <v>102</v>
      </c>
      <c r="DI240" s="62">
        <f t="shared" si="2007"/>
        <v>1.9148737503548841</v>
      </c>
      <c r="DJ240" s="47">
        <f t="shared" si="2008"/>
        <v>11.649294911097483</v>
      </c>
      <c r="DK240" s="48">
        <f t="shared" si="2009"/>
        <v>0</v>
      </c>
      <c r="DM240" s="107">
        <f t="shared" si="2027"/>
        <v>1.1156960362637227</v>
      </c>
      <c r="DN240" s="141" t="str">
        <f t="shared" si="2156"/>
        <v>-</v>
      </c>
      <c r="DO240" s="107">
        <f t="shared" si="2010"/>
        <v>4.9609265554858348</v>
      </c>
      <c r="DP240" s="133">
        <f t="shared" si="2188"/>
        <v>3.102955943629838</v>
      </c>
      <c r="DQ240" s="133">
        <f t="shared" si="2189"/>
        <v>0</v>
      </c>
      <c r="DR240" s="133">
        <f t="shared" si="2190"/>
        <v>0</v>
      </c>
      <c r="DS240" s="133">
        <f t="shared" si="2191"/>
        <v>1.8579706118559971</v>
      </c>
      <c r="DT240" s="107">
        <f t="shared" si="2192"/>
        <v>1.8478837127354022</v>
      </c>
      <c r="DU240" s="133">
        <f t="shared" si="2193"/>
        <v>1.9416079083690583</v>
      </c>
      <c r="DW240" s="107">
        <f t="shared" si="417"/>
        <v>1.1734412968665984</v>
      </c>
      <c r="DX240" s="107">
        <f t="shared" si="2011"/>
        <v>1.0967610902384495</v>
      </c>
      <c r="DZ240" s="107">
        <f t="shared" si="2012"/>
        <v>1.1171586782457097</v>
      </c>
      <c r="EA240" s="122" t="str">
        <f t="shared" si="2157"/>
        <v>-</v>
      </c>
      <c r="EB240" s="107">
        <f t="shared" si="2013"/>
        <v>1.1418403778036401</v>
      </c>
      <c r="EC240" s="122" t="str">
        <f t="shared" si="2158"/>
        <v>-</v>
      </c>
      <c r="ED240" s="107">
        <f t="shared" si="67"/>
        <v>3.1026900499866334</v>
      </c>
      <c r="EE240" s="107">
        <f t="shared" si="68"/>
        <v>2.2674129716058933</v>
      </c>
      <c r="EF240" s="107">
        <f t="shared" si="1945"/>
        <v>1.6056448217209125</v>
      </c>
      <c r="EH240" s="107">
        <f t="shared" si="2014"/>
        <v>1.1431754793094955</v>
      </c>
      <c r="EJ240" s="107">
        <f t="shared" si="69"/>
        <v>3.1026900499866334</v>
      </c>
      <c r="EK240" s="107">
        <f t="shared" si="1946"/>
        <v>2.2675800519171947</v>
      </c>
      <c r="EL240" s="107">
        <f t="shared" si="1947"/>
        <v>1.8800607846552968</v>
      </c>
      <c r="EM240" s="107">
        <f t="shared" si="2015"/>
        <v>1.1286507707987368</v>
      </c>
      <c r="EO240" s="107">
        <f t="shared" si="1948"/>
        <v>4.9818182121660373</v>
      </c>
      <c r="EP240" s="107">
        <f t="shared" si="70"/>
        <v>3.1026900499866334</v>
      </c>
      <c r="EQ240" s="107">
        <f t="shared" si="1949"/>
        <v>1.6056448217209125</v>
      </c>
      <c r="ER240" s="107">
        <f t="shared" si="1950"/>
        <v>1.8478837127354022</v>
      </c>
      <c r="ES240" s="107">
        <f t="shared" si="2028"/>
        <v>1.1273429366602006</v>
      </c>
      <c r="EU240" s="107">
        <f t="shared" si="1951"/>
        <v>1.7841239848373722</v>
      </c>
      <c r="EV240" s="107">
        <f t="shared" si="71"/>
        <v>3.1026900499866334</v>
      </c>
      <c r="EW240" s="107">
        <f t="shared" si="1952"/>
        <v>1.0259156867073127</v>
      </c>
      <c r="EX240" s="107">
        <f t="shared" si="1953"/>
        <v>1.8589566686871406</v>
      </c>
      <c r="EY240" s="107">
        <f t="shared" si="2029"/>
        <v>1.0946213038747126</v>
      </c>
      <c r="FA240" s="107">
        <f t="shared" si="2030"/>
        <v>1.7842004309302086</v>
      </c>
      <c r="FB240" s="107">
        <f t="shared" si="72"/>
        <v>3.102955943629838</v>
      </c>
      <c r="FC240" s="107">
        <f t="shared" si="1954"/>
        <v>1.0259156867073127</v>
      </c>
      <c r="FD240" s="107">
        <f t="shared" si="1955"/>
        <v>1.8589566686871406</v>
      </c>
      <c r="FE240" s="107">
        <f t="shared" si="2031"/>
        <v>1.1346071079414701</v>
      </c>
      <c r="FF240" s="141" t="str">
        <f t="shared" si="1794"/>
        <v>-</v>
      </c>
      <c r="FG240" s="107">
        <f t="shared" si="2032"/>
        <v>3.2658704278467221</v>
      </c>
      <c r="FH240" s="133">
        <f t="shared" si="1957"/>
        <v>3.102955943629838</v>
      </c>
      <c r="FI240" s="133">
        <f t="shared" si="1958"/>
        <v>1.0525029962321368</v>
      </c>
      <c r="FJ240" s="107">
        <f t="shared" si="1959"/>
        <v>1.0453681565409634</v>
      </c>
      <c r="FK240" s="107">
        <f t="shared" si="2033"/>
        <v>1.111613871273994</v>
      </c>
      <c r="FL240" s="141" t="str">
        <f t="shared" si="1795"/>
        <v>-</v>
      </c>
      <c r="FM240" s="107">
        <f t="shared" si="2034"/>
        <v>5.1504548999881257</v>
      </c>
      <c r="FN240" s="133">
        <f t="shared" si="1961"/>
        <v>3.102955943629838</v>
      </c>
      <c r="FO240" s="133">
        <f t="shared" si="1962"/>
        <v>0.68952834450229084</v>
      </c>
      <c r="FP240" s="133">
        <f t="shared" si="1963"/>
        <v>1.8579706118559971</v>
      </c>
      <c r="FQ240" s="107">
        <f t="shared" si="1964"/>
        <v>1.8478837127354022</v>
      </c>
      <c r="FR240" s="107">
        <f t="shared" si="2035"/>
        <v>1.1335027191720553</v>
      </c>
      <c r="FS240" s="141" t="str">
        <f t="shared" si="1796"/>
        <v>-</v>
      </c>
      <c r="FT240" s="107">
        <f t="shared" si="2036"/>
        <v>5.765200953148133</v>
      </c>
      <c r="FU240" s="133">
        <f t="shared" si="1966"/>
        <v>3.102955943629838</v>
      </c>
      <c r="FV240" s="133">
        <f t="shared" si="1967"/>
        <v>1.8579706118559971</v>
      </c>
      <c r="FW240" s="107">
        <f t="shared" si="1968"/>
        <v>1.8478837127354022</v>
      </c>
      <c r="FY240">
        <v>0.95</v>
      </c>
      <c r="FZ240" s="62">
        <f t="shared" si="2074"/>
        <v>1.1332940929862814</v>
      </c>
      <c r="GA240" s="62">
        <f t="shared" si="2075"/>
        <v>1.9416079083690583</v>
      </c>
      <c r="GB240" s="107">
        <f t="shared" si="1270"/>
        <v>1.2468450707986618</v>
      </c>
      <c r="GC240" s="440"/>
      <c r="GD240" s="17"/>
      <c r="GE240" s="442"/>
      <c r="GF240" s="462"/>
      <c r="GG240" s="17"/>
      <c r="GH240" s="17"/>
      <c r="GI240" s="17"/>
      <c r="GJ240" s="17"/>
      <c r="GL240" s="17"/>
      <c r="GM240" s="442"/>
      <c r="GN240" s="8"/>
      <c r="GO240" s="8"/>
      <c r="GP240" s="8"/>
      <c r="GQ240" s="8"/>
      <c r="GS240" s="17"/>
      <c r="GT240" s="17"/>
      <c r="GU240" s="17"/>
      <c r="GV240" s="629"/>
      <c r="GW240" s="17"/>
      <c r="GX240" s="17"/>
      <c r="GY240" s="17"/>
      <c r="GZ240" s="17"/>
    </row>
    <row r="241" spans="1:208" ht="15.6" x14ac:dyDescent="0.3">
      <c r="A241" s="60" t="s">
        <v>145</v>
      </c>
      <c r="B241" s="218"/>
      <c r="C241" s="14" t="s">
        <v>19</v>
      </c>
      <c r="G241" s="54"/>
      <c r="H241" s="204">
        <f t="shared" si="2210"/>
        <v>144.49999999999997</v>
      </c>
      <c r="I241" s="63">
        <f t="shared" si="2211"/>
        <v>4</v>
      </c>
      <c r="J241" s="222">
        <f t="shared" si="2212"/>
        <v>161.30000000000001</v>
      </c>
      <c r="K241" s="116">
        <f t="shared" si="2213"/>
        <v>2.2240450870656852</v>
      </c>
      <c r="L241" s="116">
        <f t="shared" si="2159"/>
        <v>1.8001729863717533</v>
      </c>
      <c r="M241" s="92">
        <f t="shared" si="2160"/>
        <v>0.79671419714817104</v>
      </c>
      <c r="N241" s="242">
        <f t="shared" si="2161"/>
        <v>1.0020225033387065</v>
      </c>
      <c r="O241" s="143"/>
      <c r="P241" s="143"/>
      <c r="Q241" s="165">
        <v>65</v>
      </c>
      <c r="R241" s="143"/>
      <c r="S241" s="143"/>
      <c r="T241" s="143"/>
      <c r="U241" s="165">
        <v>21.1</v>
      </c>
      <c r="V241" s="559"/>
      <c r="W241" s="559"/>
      <c r="X241" s="165">
        <v>57.2</v>
      </c>
      <c r="Y241" s="143"/>
      <c r="Z241" s="143"/>
      <c r="AA241" s="165">
        <v>18</v>
      </c>
      <c r="AB241" s="143"/>
      <c r="AC241" s="143"/>
      <c r="AD241" s="143"/>
      <c r="AE241" s="143"/>
      <c r="AF241" s="143"/>
      <c r="AG241" s="551"/>
      <c r="AH241" s="557">
        <f t="shared" ref="AH241" si="2218">AH240</f>
        <v>0</v>
      </c>
      <c r="AI241" s="557">
        <f t="shared" si="2195"/>
        <v>11.85</v>
      </c>
      <c r="AJ241" s="337">
        <f t="shared" si="2164"/>
        <v>0</v>
      </c>
      <c r="AK241" s="339"/>
      <c r="AL241" s="337">
        <f t="shared" si="2164"/>
        <v>0</v>
      </c>
      <c r="AM241" s="339"/>
      <c r="AN241" s="267" t="str">
        <f t="shared" ref="AN241" si="2219" xml:space="preserve"> AN240</f>
        <v>Lystb</v>
      </c>
      <c r="AO241" s="45">
        <f>VLOOKUP(AN241,Skrogform!$1:$1048576,3,FALSE)</f>
        <v>0.98</v>
      </c>
      <c r="AP241" s="64">
        <f t="shared" si="2195"/>
        <v>12.6</v>
      </c>
      <c r="AQ241" s="64">
        <f t="shared" si="2197"/>
        <v>11.66</v>
      </c>
      <c r="AR241" s="64">
        <f t="shared" si="2198"/>
        <v>3.65</v>
      </c>
      <c r="AS241" s="64">
        <f t="shared" si="2199"/>
        <v>1.9</v>
      </c>
      <c r="AT241" s="64">
        <f t="shared" si="2200"/>
        <v>17.399999999999999</v>
      </c>
      <c r="AU241" s="64">
        <f t="shared" si="2200"/>
        <v>17.399999999999999</v>
      </c>
      <c r="AV241" s="64">
        <f t="shared" si="2201"/>
        <v>4.5</v>
      </c>
      <c r="AW241" s="64">
        <f t="shared" si="2202"/>
        <v>0.8</v>
      </c>
      <c r="AX241" s="256">
        <f t="shared" si="2172"/>
        <v>0</v>
      </c>
      <c r="AY241" s="256">
        <f t="shared" si="2202"/>
        <v>40</v>
      </c>
      <c r="AZ241" s="256">
        <f t="shared" si="2202"/>
        <v>200</v>
      </c>
      <c r="BA241" s="256">
        <f t="shared" ref="BA241:BB241" si="2220">BA240</f>
        <v>0</v>
      </c>
      <c r="BB241" s="256">
        <f t="shared" si="2220"/>
        <v>0</v>
      </c>
      <c r="BC241" s="256"/>
      <c r="BD241" s="66"/>
      <c r="BE241" s="66"/>
      <c r="BF241" s="261"/>
      <c r="BG241" s="66"/>
      <c r="BH241" s="175"/>
      <c r="BI241" s="66"/>
      <c r="BJ241" s="66"/>
      <c r="BK241" s="65" t="str">
        <f t="shared" ref="BK241:BM241" si="2221" xml:space="preserve"> BK240</f>
        <v>Fast</v>
      </c>
      <c r="BL241" s="267">
        <f t="shared" si="2221"/>
        <v>4</v>
      </c>
      <c r="BM241" s="267">
        <f t="shared" si="2221"/>
        <v>50</v>
      </c>
      <c r="BN241" s="45">
        <f t="shared" si="1932"/>
        <v>0.98149201307666778</v>
      </c>
      <c r="BO241" s="59"/>
      <c r="BP241" s="59"/>
      <c r="BR241" s="49">
        <f t="shared" si="2175"/>
        <v>0</v>
      </c>
      <c r="BS241" s="49">
        <f t="shared" si="2175"/>
        <v>0</v>
      </c>
      <c r="BT241" s="49">
        <f t="shared" si="2175"/>
        <v>65</v>
      </c>
      <c r="BU241" s="49">
        <f t="shared" si="2175"/>
        <v>0</v>
      </c>
      <c r="BV241" s="49">
        <f t="shared" si="2175"/>
        <v>0</v>
      </c>
      <c r="BW241" s="49">
        <f t="shared" si="2175"/>
        <v>0</v>
      </c>
      <c r="BX241" s="49">
        <f t="shared" si="2175"/>
        <v>21.1</v>
      </c>
      <c r="BY241" s="549">
        <f t="shared" si="2176"/>
        <v>-10.55</v>
      </c>
      <c r="BZ241" s="85">
        <f t="shared" si="2177"/>
        <v>0</v>
      </c>
      <c r="CA241" s="85">
        <f t="shared" si="2177"/>
        <v>0</v>
      </c>
      <c r="CB241" s="85">
        <f t="shared" si="2177"/>
        <v>45.760000000000005</v>
      </c>
      <c r="CC241" s="85">
        <f t="shared" si="2177"/>
        <v>0</v>
      </c>
      <c r="CD241" s="85">
        <f t="shared" si="2177"/>
        <v>0</v>
      </c>
      <c r="CE241" s="85">
        <f t="shared" si="2178"/>
        <v>0</v>
      </c>
      <c r="CF241" s="85">
        <f t="shared" si="2179"/>
        <v>7.2</v>
      </c>
      <c r="CG241" s="85">
        <f t="shared" si="2179"/>
        <v>0</v>
      </c>
      <c r="CH241" s="85">
        <f t="shared" si="2180"/>
        <v>0</v>
      </c>
      <c r="CI241" s="85">
        <f t="shared" si="2180"/>
        <v>0</v>
      </c>
      <c r="CJ241" s="85">
        <f t="shared" si="2180"/>
        <v>0</v>
      </c>
      <c r="CK241" s="85">
        <f t="shared" si="2180"/>
        <v>0</v>
      </c>
      <c r="CL241" s="100">
        <f t="shared" si="2181"/>
        <v>128.51</v>
      </c>
      <c r="CM241" s="50"/>
      <c r="CN241" s="104">
        <f t="shared" si="2182"/>
        <v>161.30000000000001</v>
      </c>
      <c r="CO241" s="101">
        <f>CL241/CN241</f>
        <v>0.79671419714817104</v>
      </c>
      <c r="CP241" s="51">
        <f t="shared" si="2184"/>
        <v>1.1864167419363381</v>
      </c>
      <c r="CQ241" s="116">
        <f t="shared" si="2185"/>
        <v>2.2240450870656852</v>
      </c>
      <c r="CR241" s="51">
        <f t="shared" si="2186"/>
        <v>1.8001729863717533</v>
      </c>
      <c r="CS241" s="204"/>
      <c r="CT241" s="204">
        <f t="shared" si="2187"/>
        <v>144.49999999999997</v>
      </c>
      <c r="CU241" s="107">
        <f t="shared" si="1041"/>
        <v>1.4467628349465209</v>
      </c>
      <c r="CV241" s="62">
        <f t="shared" si="2119"/>
        <v>4.3669181055744195</v>
      </c>
      <c r="CW241" s="62">
        <f t="shared" si="998"/>
        <v>1.8229886645925357</v>
      </c>
      <c r="CX241" s="62">
        <f t="shared" si="2120"/>
        <v>1.8478837127354022</v>
      </c>
      <c r="CY241" s="107">
        <f t="shared" si="999"/>
        <v>1.0020225033387065</v>
      </c>
      <c r="CZ241" s="168">
        <f t="shared" si="2209"/>
        <v>1.2345882352941175</v>
      </c>
      <c r="DA241" s="159">
        <f>DA236</f>
        <v>0.99</v>
      </c>
      <c r="DB241" s="168">
        <f t="shared" si="1980"/>
        <v>1.1808771929824562</v>
      </c>
      <c r="DC241" s="159">
        <f>DC236</f>
        <v>1.27</v>
      </c>
      <c r="DD241" s="190" t="s">
        <v>134</v>
      </c>
      <c r="DE241" s="62">
        <v>1.17</v>
      </c>
      <c r="DF241" s="62">
        <v>1.04</v>
      </c>
      <c r="DG241" s="62">
        <v>1.17</v>
      </c>
      <c r="DH241" s="150" t="s">
        <v>102</v>
      </c>
      <c r="DI241" s="62">
        <f t="shared" si="2007"/>
        <v>1.9148737503548841</v>
      </c>
      <c r="DJ241" s="47">
        <f t="shared" si="2008"/>
        <v>11.649294911097483</v>
      </c>
      <c r="DK241" s="48">
        <f t="shared" si="2009"/>
        <v>0</v>
      </c>
      <c r="DM241" s="107">
        <f t="shared" si="2027"/>
        <v>1.4018093075722033</v>
      </c>
      <c r="DN241" s="141" t="str">
        <f t="shared" ref="DN241:DN242" si="2222">IF($DY241=0,"-",(DM241-$DW241)*100)</f>
        <v>-</v>
      </c>
      <c r="DO241" s="107">
        <f t="shared" si="2010"/>
        <v>6.2331251466580788</v>
      </c>
      <c r="DP241" s="133">
        <f t="shared" si="2188"/>
        <v>4.3751545348020819</v>
      </c>
      <c r="DQ241" s="133">
        <f t="shared" si="2189"/>
        <v>0</v>
      </c>
      <c r="DR241" s="133">
        <f t="shared" si="2190"/>
        <v>0</v>
      </c>
      <c r="DS241" s="133">
        <f t="shared" si="2191"/>
        <v>1.8579706118559971</v>
      </c>
      <c r="DT241" s="107">
        <f t="shared" si="2192"/>
        <v>1.8478837127354022</v>
      </c>
      <c r="DU241" s="133">
        <f t="shared" si="2193"/>
        <v>1.9416079083690583</v>
      </c>
      <c r="DW241" s="107">
        <f t="shared" si="417"/>
        <v>1.4762886070882866</v>
      </c>
      <c r="DX241" s="107">
        <f t="shared" si="2011"/>
        <v>1.4462817592588422</v>
      </c>
      <c r="DZ241" s="107">
        <f t="shared" si="2012"/>
        <v>1.405641991422665</v>
      </c>
      <c r="EA241" s="122" t="str">
        <f t="shared" ref="EA241:EA242" si="2223">IF($DY241=0,"-",DZ241-$DW241)</f>
        <v>-</v>
      </c>
      <c r="EB241" s="107">
        <f t="shared" si="2013"/>
        <v>1.4952378991663406</v>
      </c>
      <c r="EC241" s="122" t="str">
        <f t="shared" ref="EC241:EC242" si="2224">IF($DY241=0,"-",EB241-$DW241)</f>
        <v>-</v>
      </c>
      <c r="ED241" s="107">
        <f t="shared" si="67"/>
        <v>4.3747796259087632</v>
      </c>
      <c r="EE241" s="107">
        <f t="shared" si="68"/>
        <v>2.2674129716058933</v>
      </c>
      <c r="EF241" s="107">
        <f t="shared" si="1945"/>
        <v>1.6056448217209125</v>
      </c>
      <c r="EH241" s="107">
        <f t="shared" si="2014"/>
        <v>1.4637267854028573</v>
      </c>
      <c r="EJ241" s="107">
        <f t="shared" si="69"/>
        <v>4.3747796259087632</v>
      </c>
      <c r="EK241" s="107">
        <f t="shared" si="1946"/>
        <v>2.2675800519171947</v>
      </c>
      <c r="EL241" s="107">
        <f t="shared" si="1947"/>
        <v>1.8800607846552968</v>
      </c>
      <c r="EM241" s="107">
        <f t="shared" si="2015"/>
        <v>1.4588364419886197</v>
      </c>
      <c r="EO241" s="107">
        <f t="shared" si="1948"/>
        <v>7.0243422525105563</v>
      </c>
      <c r="EP241" s="107">
        <f t="shared" si="70"/>
        <v>4.3747796259087632</v>
      </c>
      <c r="EQ241" s="107">
        <f t="shared" si="1949"/>
        <v>1.6056448217209125</v>
      </c>
      <c r="ER241" s="107">
        <f t="shared" si="1950"/>
        <v>1.8478837127354022</v>
      </c>
      <c r="ES241" s="107">
        <f t="shared" si="2028"/>
        <v>1.4209177428228725</v>
      </c>
      <c r="EU241" s="107">
        <f t="shared" si="1951"/>
        <v>2.1185266210523177</v>
      </c>
      <c r="EV241" s="107">
        <f t="shared" si="71"/>
        <v>4.3747796259087632</v>
      </c>
      <c r="EW241" s="107">
        <f t="shared" si="1952"/>
        <v>1.0259156867073127</v>
      </c>
      <c r="EX241" s="107">
        <f t="shared" si="1953"/>
        <v>1.8589566686871406</v>
      </c>
      <c r="EY241" s="107">
        <f t="shared" si="2029"/>
        <v>1.2997887993983555</v>
      </c>
      <c r="FA241" s="107">
        <f t="shared" si="2030"/>
        <v>2.1186173956196273</v>
      </c>
      <c r="FB241" s="107">
        <f t="shared" si="72"/>
        <v>4.3751545348020819</v>
      </c>
      <c r="FC241" s="107">
        <f t="shared" si="1954"/>
        <v>1.0259156867073127</v>
      </c>
      <c r="FD241" s="107">
        <f t="shared" si="1955"/>
        <v>1.8589566686871406</v>
      </c>
      <c r="FE241" s="107">
        <f t="shared" si="2031"/>
        <v>1.4231122662235121</v>
      </c>
      <c r="FF241" s="141" t="str">
        <f t="shared" ref="FF241:FF242" si="2225">IF($DY241=0,"-",(FE241-$DW241)*100)</f>
        <v>-</v>
      </c>
      <c r="FG241" s="107">
        <f t="shared" si="2032"/>
        <v>4.6048632568578123</v>
      </c>
      <c r="FH241" s="133">
        <f t="shared" si="1957"/>
        <v>4.3751545348020819</v>
      </c>
      <c r="FI241" s="133">
        <f t="shared" si="1958"/>
        <v>1.0525029962321368</v>
      </c>
      <c r="FJ241" s="107">
        <f t="shared" si="1959"/>
        <v>1.0453681565409634</v>
      </c>
      <c r="FK241" s="107">
        <f t="shared" si="2033"/>
        <v>1.4472057635548103</v>
      </c>
      <c r="FL241" s="141" t="str">
        <f t="shared" ref="FL241:FL242" si="2226">IF($DY241=0,"-",(FK241-$DW241)*100)</f>
        <v>-</v>
      </c>
      <c r="FM241" s="107">
        <f t="shared" si="2034"/>
        <v>6.7053571467665707</v>
      </c>
      <c r="FN241" s="133">
        <f t="shared" si="1961"/>
        <v>4.3751545348020819</v>
      </c>
      <c r="FO241" s="133">
        <f t="shared" si="1962"/>
        <v>0.97223200010849187</v>
      </c>
      <c r="FP241" s="133">
        <f t="shared" si="1963"/>
        <v>1.8579706118559971</v>
      </c>
      <c r="FQ241" s="107">
        <f t="shared" si="1964"/>
        <v>1.8478837127354022</v>
      </c>
      <c r="FR241" s="107">
        <f t="shared" si="2035"/>
        <v>1.4078717771091591</v>
      </c>
      <c r="FS241" s="141" t="str">
        <f t="shared" ref="FS241:FS242" si="2227">IF($DY241=0,"-",(FR241-$DW241)*100)</f>
        <v>-</v>
      </c>
      <c r="FT241" s="107">
        <f t="shared" si="2036"/>
        <v>8.1289085479907648</v>
      </c>
      <c r="FU241" s="133">
        <f t="shared" si="1966"/>
        <v>4.3751545348020819</v>
      </c>
      <c r="FV241" s="133">
        <f t="shared" si="1967"/>
        <v>1.8579706118559971</v>
      </c>
      <c r="FW241" s="107">
        <f t="shared" si="1968"/>
        <v>1.8478837127354022</v>
      </c>
      <c r="FY241">
        <v>0.95</v>
      </c>
      <c r="FZ241" s="62">
        <f t="shared" si="2074"/>
        <v>1.342159342306295</v>
      </c>
      <c r="GA241" s="62">
        <f t="shared" si="2075"/>
        <v>1.9416079083690583</v>
      </c>
      <c r="GB241" s="107">
        <f t="shared" si="1270"/>
        <v>1.3981435236859667</v>
      </c>
      <c r="GC241" s="440"/>
      <c r="GD241" s="17"/>
      <c r="GE241" s="442"/>
      <c r="GF241" s="462"/>
      <c r="GG241" s="17"/>
      <c r="GH241" s="17"/>
      <c r="GI241" s="17"/>
      <c r="GJ241" s="17"/>
      <c r="GL241" s="17"/>
      <c r="GM241" s="442"/>
      <c r="GN241" s="8"/>
      <c r="GO241" s="8"/>
      <c r="GP241" s="8"/>
      <c r="GQ241" s="8"/>
      <c r="GS241" s="17"/>
      <c r="GT241" s="17"/>
      <c r="GU241" s="17"/>
      <c r="GV241" s="629"/>
      <c r="GW241" s="17"/>
      <c r="GX241" s="17"/>
      <c r="GY241" s="17"/>
      <c r="GZ241" s="17"/>
    </row>
    <row r="242" spans="1:208" ht="15.6" x14ac:dyDescent="0.3">
      <c r="A242" s="60" t="s">
        <v>147</v>
      </c>
      <c r="B242" s="218"/>
      <c r="C242" s="14" t="s">
        <v>19</v>
      </c>
      <c r="G242" s="54"/>
      <c r="H242" s="204">
        <f t="shared" si="2210"/>
        <v>140.50000000000003</v>
      </c>
      <c r="I242" s="63">
        <f t="shared" si="2211"/>
        <v>3</v>
      </c>
      <c r="J242" s="222">
        <f t="shared" si="2212"/>
        <v>140.19999999999999</v>
      </c>
      <c r="K242" s="116">
        <f t="shared" si="2213"/>
        <v>1.9331129647030938</v>
      </c>
      <c r="L242" s="116">
        <f t="shared" si="2159"/>
        <v>1.5646884853646608</v>
      </c>
      <c r="M242" s="92">
        <f t="shared" si="2160"/>
        <v>0.84136947218259639</v>
      </c>
      <c r="N242" s="242">
        <f t="shared" si="2161"/>
        <v>1.0020225033387065</v>
      </c>
      <c r="O242" s="143"/>
      <c r="P242" s="143"/>
      <c r="Q242" s="165">
        <v>65</v>
      </c>
      <c r="R242" s="143"/>
      <c r="S242" s="143"/>
      <c r="T242" s="143"/>
      <c r="U242" s="143"/>
      <c r="V242" s="143"/>
      <c r="W242" s="143"/>
      <c r="X242" s="165">
        <v>57.2</v>
      </c>
      <c r="Y242" s="143"/>
      <c r="Z242" s="143"/>
      <c r="AA242" s="165">
        <v>18</v>
      </c>
      <c r="AB242" s="143"/>
      <c r="AC242" s="143"/>
      <c r="AD242" s="143"/>
      <c r="AE242" s="143"/>
      <c r="AF242" s="143"/>
      <c r="AG242" s="551"/>
      <c r="AH242" s="557">
        <f t="shared" ref="AH242" si="2228">AH241</f>
        <v>0</v>
      </c>
      <c r="AI242" s="557">
        <f t="shared" si="2195"/>
        <v>11.85</v>
      </c>
      <c r="AJ242" s="337">
        <f t="shared" si="2164"/>
        <v>0</v>
      </c>
      <c r="AK242" s="339"/>
      <c r="AL242" s="337">
        <f t="shared" si="2164"/>
        <v>0</v>
      </c>
      <c r="AM242" s="339"/>
      <c r="AN242" s="267" t="str">
        <f t="shared" ref="AN242" si="2229" xml:space="preserve"> AN241</f>
        <v>Lystb</v>
      </c>
      <c r="AO242" s="45">
        <f>VLOOKUP(AN242,Skrogform!$1:$1048576,3,FALSE)</f>
        <v>0.98</v>
      </c>
      <c r="AP242" s="64">
        <f t="shared" si="2195"/>
        <v>12.6</v>
      </c>
      <c r="AQ242" s="64">
        <f t="shared" si="2197"/>
        <v>11.66</v>
      </c>
      <c r="AR242" s="64">
        <f t="shared" si="2198"/>
        <v>3.65</v>
      </c>
      <c r="AS242" s="64">
        <f t="shared" si="2199"/>
        <v>1.9</v>
      </c>
      <c r="AT242" s="64">
        <f t="shared" si="2200"/>
        <v>17.399999999999999</v>
      </c>
      <c r="AU242" s="64">
        <f t="shared" si="2200"/>
        <v>17.399999999999999</v>
      </c>
      <c r="AV242" s="64">
        <f t="shared" si="2201"/>
        <v>4.5</v>
      </c>
      <c r="AW242" s="64">
        <f t="shared" si="2202"/>
        <v>0.8</v>
      </c>
      <c r="AX242" s="256">
        <f t="shared" si="2172"/>
        <v>0</v>
      </c>
      <c r="AY242" s="256">
        <f t="shared" si="2202"/>
        <v>40</v>
      </c>
      <c r="AZ242" s="256">
        <f t="shared" si="2202"/>
        <v>200</v>
      </c>
      <c r="BA242" s="256">
        <f t="shared" ref="BA242:BB242" si="2230">BA241</f>
        <v>0</v>
      </c>
      <c r="BB242" s="256">
        <f t="shared" si="2230"/>
        <v>0</v>
      </c>
      <c r="BC242" s="256"/>
      <c r="BD242" s="66"/>
      <c r="BE242" s="66"/>
      <c r="BF242" s="261"/>
      <c r="BG242" s="66"/>
      <c r="BH242" s="175"/>
      <c r="BI242" s="66"/>
      <c r="BJ242" s="66"/>
      <c r="BK242" s="65" t="str">
        <f t="shared" ref="BK242:BM242" si="2231" xml:space="preserve"> BK241</f>
        <v>Fast</v>
      </c>
      <c r="BL242" s="267">
        <f t="shared" si="2231"/>
        <v>4</v>
      </c>
      <c r="BM242" s="267">
        <f t="shared" si="2231"/>
        <v>50</v>
      </c>
      <c r="BN242" s="45">
        <f t="shared" si="1932"/>
        <v>0.98149201307666778</v>
      </c>
      <c r="BO242" s="59"/>
      <c r="BP242" s="59"/>
      <c r="BR242" s="49">
        <f t="shared" si="2175"/>
        <v>0</v>
      </c>
      <c r="BS242" s="49">
        <f t="shared" si="2175"/>
        <v>0</v>
      </c>
      <c r="BT242" s="49">
        <f t="shared" si="2175"/>
        <v>65</v>
      </c>
      <c r="BU242" s="49">
        <f t="shared" si="2175"/>
        <v>0</v>
      </c>
      <c r="BV242" s="49">
        <f t="shared" si="2175"/>
        <v>0</v>
      </c>
      <c r="BW242" s="49">
        <f t="shared" si="2175"/>
        <v>0</v>
      </c>
      <c r="BX242" s="49">
        <f t="shared" si="2175"/>
        <v>0</v>
      </c>
      <c r="BY242" s="549">
        <f t="shared" si="2176"/>
        <v>0</v>
      </c>
      <c r="BZ242" s="85">
        <f t="shared" si="2177"/>
        <v>0</v>
      </c>
      <c r="CA242" s="85">
        <f t="shared" si="2177"/>
        <v>0</v>
      </c>
      <c r="CB242" s="85">
        <f t="shared" si="2177"/>
        <v>45.760000000000005</v>
      </c>
      <c r="CC242" s="85">
        <f t="shared" si="2177"/>
        <v>0</v>
      </c>
      <c r="CD242" s="85">
        <f t="shared" si="2177"/>
        <v>0</v>
      </c>
      <c r="CE242" s="85">
        <f t="shared" si="2178"/>
        <v>0</v>
      </c>
      <c r="CF242" s="85">
        <f t="shared" si="2179"/>
        <v>7.2</v>
      </c>
      <c r="CG242" s="85">
        <f t="shared" si="2179"/>
        <v>0</v>
      </c>
      <c r="CH242" s="85">
        <f t="shared" si="2180"/>
        <v>0</v>
      </c>
      <c r="CI242" s="85">
        <f t="shared" si="2180"/>
        <v>0</v>
      </c>
      <c r="CJ242" s="85">
        <f t="shared" si="2180"/>
        <v>0</v>
      </c>
      <c r="CK242" s="85">
        <f t="shared" si="2180"/>
        <v>0</v>
      </c>
      <c r="CL242" s="100">
        <f t="shared" si="2181"/>
        <v>117.96000000000001</v>
      </c>
      <c r="CM242" s="50"/>
      <c r="CN242" s="104">
        <f t="shared" si="2182"/>
        <v>140.19999999999999</v>
      </c>
      <c r="CO242" s="101">
        <f>CL242/CN242</f>
        <v>0.84136947218259639</v>
      </c>
      <c r="CP242" s="51">
        <f t="shared" si="2184"/>
        <v>1.0312190156198051</v>
      </c>
      <c r="CQ242" s="116">
        <f t="shared" si="2185"/>
        <v>1.9331129647030938</v>
      </c>
      <c r="CR242" s="51">
        <f t="shared" si="2186"/>
        <v>1.5646884853646608</v>
      </c>
      <c r="CS242" s="204"/>
      <c r="CT242" s="204">
        <f t="shared" si="2187"/>
        <v>140.50000000000003</v>
      </c>
      <c r="CU242" s="107">
        <f t="shared" si="1041"/>
        <v>1.4039696328680662</v>
      </c>
      <c r="CV242" s="62">
        <f t="shared" si="2119"/>
        <v>4.1838294023922273</v>
      </c>
      <c r="CW242" s="62">
        <f t="shared" si="998"/>
        <v>1.8229886645925357</v>
      </c>
      <c r="CX242" s="62">
        <f t="shared" si="2120"/>
        <v>1.8478837127354022</v>
      </c>
      <c r="CY242" s="107">
        <f t="shared" si="999"/>
        <v>1.0020225033387065</v>
      </c>
      <c r="CZ242" s="168" t="str">
        <f t="shared" si="2209"/>
        <v>-</v>
      </c>
      <c r="DA242" s="158"/>
      <c r="DB242" s="168" t="str">
        <f t="shared" si="1980"/>
        <v>-</v>
      </c>
      <c r="DC242" s="160"/>
      <c r="DD242" s="190" t="s">
        <v>134</v>
      </c>
      <c r="DE242" s="62">
        <v>1.1200000000000001</v>
      </c>
      <c r="DF242" s="62">
        <v>1.01</v>
      </c>
      <c r="DG242" s="62">
        <v>1.1299999999999999</v>
      </c>
      <c r="DH242" s="150" t="s">
        <v>102</v>
      </c>
      <c r="DI242" s="62">
        <f t="shared" si="2007"/>
        <v>1.9148737503548841</v>
      </c>
      <c r="DJ242" s="47">
        <f t="shared" si="2008"/>
        <v>11.649294911097483</v>
      </c>
      <c r="DK242" s="48">
        <f t="shared" si="2009"/>
        <v>0</v>
      </c>
      <c r="DM242" s="107">
        <f t="shared" si="2027"/>
        <v>1.3605555994979084</v>
      </c>
      <c r="DN242" s="141" t="str">
        <f t="shared" si="2222"/>
        <v>-</v>
      </c>
      <c r="DO242" s="107">
        <f t="shared" si="2010"/>
        <v>6.0496911205021808</v>
      </c>
      <c r="DP242" s="133">
        <f t="shared" si="2188"/>
        <v>4.191720508646184</v>
      </c>
      <c r="DQ242" s="133">
        <f t="shared" si="2189"/>
        <v>0</v>
      </c>
      <c r="DR242" s="133">
        <f t="shared" si="2190"/>
        <v>0</v>
      </c>
      <c r="DS242" s="133">
        <f t="shared" si="2191"/>
        <v>1.8579706118559971</v>
      </c>
      <c r="DT242" s="107">
        <f t="shared" si="2192"/>
        <v>1.8478837127354022</v>
      </c>
      <c r="DU242" s="133">
        <f t="shared" si="2193"/>
        <v>1.9416079083690583</v>
      </c>
      <c r="DW242" s="107">
        <f t="shared" si="417"/>
        <v>1.4326220743551696</v>
      </c>
      <c r="DX242" s="107">
        <f t="shared" si="2011"/>
        <v>1.3958855522609734</v>
      </c>
      <c r="DZ242" s="107">
        <f t="shared" si="2012"/>
        <v>1.3640465550009961</v>
      </c>
      <c r="EA242" s="122" t="str">
        <f t="shared" si="2223"/>
        <v>-</v>
      </c>
      <c r="EB242" s="107">
        <f t="shared" si="2013"/>
        <v>1.4442827018984812</v>
      </c>
      <c r="EC242" s="122" t="str">
        <f t="shared" si="2224"/>
        <v>-</v>
      </c>
      <c r="ED242" s="107">
        <f t="shared" si="67"/>
        <v>4.1913613182942795</v>
      </c>
      <c r="EE242" s="107">
        <f t="shared" si="68"/>
        <v>2.2674129716058933</v>
      </c>
      <c r="EF242" s="107">
        <f t="shared" si="1945"/>
        <v>1.6056448217209125</v>
      </c>
      <c r="EH242" s="107">
        <f t="shared" si="2014"/>
        <v>1.417507573186896</v>
      </c>
      <c r="EJ242" s="107">
        <f t="shared" si="69"/>
        <v>4.1913613182942795</v>
      </c>
      <c r="EK242" s="107">
        <f t="shared" si="1946"/>
        <v>2.2675800519171947</v>
      </c>
      <c r="EL242" s="107">
        <f t="shared" si="1947"/>
        <v>1.8800607846552968</v>
      </c>
      <c r="EM242" s="107">
        <f t="shared" si="2015"/>
        <v>1.4112280831477733</v>
      </c>
      <c r="EO242" s="107">
        <f t="shared" si="1948"/>
        <v>6.7298375966805475</v>
      </c>
      <c r="EP242" s="107">
        <f t="shared" si="70"/>
        <v>4.1913613182942795</v>
      </c>
      <c r="EQ242" s="107">
        <f t="shared" si="1949"/>
        <v>1.6056448217209125</v>
      </c>
      <c r="ER242" s="107">
        <f t="shared" si="1950"/>
        <v>1.8478837127354022</v>
      </c>
      <c r="ES242" s="107">
        <f t="shared" si="2028"/>
        <v>1.3815115121639916</v>
      </c>
      <c r="EU242" s="107">
        <f t="shared" si="1951"/>
        <v>2.0736401146525747</v>
      </c>
      <c r="EV242" s="107">
        <f t="shared" si="71"/>
        <v>4.1913613182942795</v>
      </c>
      <c r="EW242" s="107">
        <f t="shared" si="1952"/>
        <v>1.0259156867073127</v>
      </c>
      <c r="EX242" s="107">
        <f t="shared" si="1953"/>
        <v>1.8589566686871406</v>
      </c>
      <c r="EY242" s="107">
        <f t="shared" si="2029"/>
        <v>1.2722493870148903</v>
      </c>
      <c r="FA242" s="107">
        <f t="shared" si="2030"/>
        <v>2.0737289659241576</v>
      </c>
      <c r="FB242" s="107">
        <f t="shared" si="72"/>
        <v>4.191720508646184</v>
      </c>
      <c r="FC242" s="107">
        <f t="shared" si="1954"/>
        <v>1.0259156867073127</v>
      </c>
      <c r="FD242" s="107">
        <f t="shared" si="1955"/>
        <v>1.8589566686871406</v>
      </c>
      <c r="FE242" s="107">
        <f t="shared" si="2031"/>
        <v>1.3815136800297827</v>
      </c>
      <c r="FF242" s="141" t="str">
        <f t="shared" si="2225"/>
        <v>-</v>
      </c>
      <c r="FG242" s="107">
        <f t="shared" si="2032"/>
        <v>4.4117983947178052</v>
      </c>
      <c r="FH242" s="133">
        <f t="shared" si="1957"/>
        <v>4.191720508646184</v>
      </c>
      <c r="FI242" s="133">
        <f t="shared" si="1958"/>
        <v>1.0525029962321368</v>
      </c>
      <c r="FJ242" s="107">
        <f t="shared" si="1959"/>
        <v>1.0453681565409634</v>
      </c>
      <c r="FK242" s="107">
        <f t="shared" si="2033"/>
        <v>1.3988178999197596</v>
      </c>
      <c r="FL242" s="141" t="str">
        <f t="shared" si="2226"/>
        <v>-</v>
      </c>
      <c r="FM242" s="107">
        <f t="shared" si="2034"/>
        <v>6.4811610335303431</v>
      </c>
      <c r="FN242" s="133">
        <f t="shared" si="1961"/>
        <v>4.191720508646184</v>
      </c>
      <c r="FO242" s="133">
        <f t="shared" si="1962"/>
        <v>0.93146991302816218</v>
      </c>
      <c r="FP242" s="133">
        <f t="shared" si="1963"/>
        <v>1.8579706118559971</v>
      </c>
      <c r="FQ242" s="107">
        <f t="shared" si="1964"/>
        <v>1.8478837127354022</v>
      </c>
      <c r="FR242" s="107">
        <f t="shared" si="2035"/>
        <v>1.3683114275699966</v>
      </c>
      <c r="FS242" s="141" t="str">
        <f t="shared" si="2227"/>
        <v>-</v>
      </c>
      <c r="FT242" s="107">
        <f t="shared" si="2036"/>
        <v>7.7880935181786821</v>
      </c>
      <c r="FU242" s="133">
        <f t="shared" si="1966"/>
        <v>4.191720508646184</v>
      </c>
      <c r="FV242" s="133">
        <f t="shared" si="1967"/>
        <v>1.8579706118559971</v>
      </c>
      <c r="FW242" s="107">
        <f t="shared" si="1968"/>
        <v>1.8478837127354022</v>
      </c>
      <c r="FY242">
        <v>0.95</v>
      </c>
      <c r="FZ242" s="62">
        <f t="shared" si="2074"/>
        <v>1.3120437661119191</v>
      </c>
      <c r="GA242" s="62">
        <f t="shared" si="2075"/>
        <v>1.9416079083690583</v>
      </c>
      <c r="GB242" s="107">
        <f t="shared" si="1270"/>
        <v>1.3783242445230406</v>
      </c>
      <c r="GC242" s="440"/>
      <c r="GD242" s="17"/>
      <c r="GE242" s="442"/>
      <c r="GF242" s="462"/>
      <c r="GG242" s="17"/>
      <c r="GH242" s="17"/>
      <c r="GI242" s="17"/>
      <c r="GJ242" s="17"/>
      <c r="GL242" s="17"/>
      <c r="GM242" s="442"/>
      <c r="GN242" s="8"/>
      <c r="GO242" s="8"/>
      <c r="GP242" s="8"/>
      <c r="GQ242" s="8"/>
      <c r="GS242" s="17"/>
      <c r="GT242" s="17"/>
      <c r="GU242" s="17"/>
      <c r="GV242" s="629"/>
      <c r="GW242" s="17"/>
      <c r="GX242" s="17"/>
      <c r="GY242" s="17"/>
      <c r="GZ242" s="17"/>
    </row>
    <row r="243" spans="1:208" ht="15.6" x14ac:dyDescent="0.3">
      <c r="A243" s="52" t="s">
        <v>751</v>
      </c>
      <c r="B243" s="218">
        <f t="shared" si="10"/>
        <v>0</v>
      </c>
      <c r="C243" s="53" t="s">
        <v>19</v>
      </c>
      <c r="D243" s="53"/>
      <c r="E243" s="53"/>
      <c r="F243" s="53"/>
      <c r="G243" s="54"/>
      <c r="H243" s="112">
        <f>J244</f>
        <v>0</v>
      </c>
      <c r="I243" s="601">
        <f>H244/100</f>
        <v>0</v>
      </c>
      <c r="J243" s="651" t="str">
        <f>IF(DC244=0,"-",DC244)</f>
        <v>-</v>
      </c>
      <c r="K243" s="123" t="str">
        <f>A243</f>
        <v>Båtnavn:</v>
      </c>
      <c r="L243" s="116"/>
      <c r="M243" s="116"/>
      <c r="N243" s="92"/>
      <c r="O243" s="165"/>
      <c r="P243" s="165"/>
      <c r="Q243" s="165"/>
      <c r="R243" s="165"/>
      <c r="S243" s="165"/>
      <c r="T243" s="165"/>
      <c r="U243" s="165"/>
      <c r="V243" s="559"/>
      <c r="W243" s="559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552"/>
      <c r="AH243" s="244"/>
      <c r="AI243" s="244"/>
      <c r="AJ243" s="554"/>
      <c r="AK243" s="339"/>
      <c r="AL243" s="268"/>
      <c r="AM243" s="339"/>
      <c r="AN243" s="268"/>
      <c r="AO243" s="45" t="e">
        <f>VLOOKUP(AN243,Skrogform!$1:$1048576,3,FALSE)</f>
        <v>#N/A</v>
      </c>
      <c r="AP243" s="55"/>
      <c r="AQ243" s="55"/>
      <c r="AR243" s="55"/>
      <c r="AS243" s="55"/>
      <c r="AT243" s="637">
        <f>AU243</f>
        <v>0</v>
      </c>
      <c r="AU243" s="55"/>
      <c r="AV243" s="55"/>
      <c r="AW243" s="55"/>
      <c r="AX243" s="253"/>
      <c r="AY243" s="253"/>
      <c r="AZ243" s="254">
        <f>AY243*7</f>
        <v>0</v>
      </c>
      <c r="BA243" s="253"/>
      <c r="BB243" s="253"/>
      <c r="BC243" s="244">
        <f>Depl+Diesel/1000*0.84+Vann/1000</f>
        <v>0</v>
      </c>
      <c r="BD243" s="95" t="e">
        <f>Bredde/(Loa+Lwl)*2</f>
        <v>#DIV/0!</v>
      </c>
      <c r="BE243" s="95" t="e">
        <f>(Kjøl+Ballast)/Depl</f>
        <v>#DIV/0!</v>
      </c>
      <c r="BF243" s="260" t="e">
        <f>BF$7*((Depl-Kjøl-Ballast-VektMotor/1000-VektAnnet/1000)/Lwl/Lwl/Bredde)</f>
        <v>#DIV/0!</v>
      </c>
      <c r="BG243" s="95" t="e">
        <f>BG$7*(Depl/Loa/Lwl/Lwl)</f>
        <v>#DIV/0!</v>
      </c>
      <c r="BH243" s="174" t="e">
        <f>BH$7*(Depl/Loa/Lwl/Bredde)</f>
        <v>#DIV/0!</v>
      </c>
      <c r="BI243" s="95" t="e">
        <f>BI$7*Bredde/(Loa+Lwl)*2</f>
        <v>#DIV/0!</v>
      </c>
      <c r="BJ243" s="95" t="e">
        <f>BJ$7*(Dypg/Lwl)</f>
        <v>#DIV/0!</v>
      </c>
      <c r="BK243" s="56"/>
      <c r="BL243" s="268"/>
      <c r="BM243" s="268"/>
      <c r="BN243" s="45">
        <f t="shared" ref="BN243:BN247" si="2232">IF((BK243="Fast"),(1.006248-(0.06415*((BM243/100*SQRT(BL243))/POWER(AU243,(1/3))))),1)</f>
        <v>1</v>
      </c>
      <c r="BO243" s="59"/>
      <c r="BP243" s="59"/>
      <c r="BR243" s="209"/>
      <c r="BS243" s="209"/>
      <c r="BT243" s="209" t="str">
        <f>$A243</f>
        <v>Båtnavn:</v>
      </c>
      <c r="BU243" s="10"/>
      <c r="BV243" s="10"/>
      <c r="BW243" s="10"/>
      <c r="BX243" s="10"/>
      <c r="BY243" s="549"/>
      <c r="BZ243" s="10"/>
      <c r="CA243" s="10"/>
      <c r="CB243" s="209" t="str">
        <f>$A243</f>
        <v>Båtnavn:</v>
      </c>
      <c r="CC243" s="10"/>
      <c r="CD243" s="10"/>
      <c r="CE243" s="10"/>
      <c r="CF243" s="10"/>
      <c r="CG243" s="10"/>
      <c r="CH243" s="10"/>
      <c r="CI243" s="10"/>
      <c r="CJ243" s="10"/>
      <c r="CK243" s="10"/>
      <c r="CL243" s="209"/>
      <c r="CM243" s="10"/>
      <c r="CN243" s="209" t="str">
        <f>$A243</f>
        <v>Båtnavn:</v>
      </c>
      <c r="CO243" s="207"/>
      <c r="CP243" s="207"/>
      <c r="CQ243" s="116"/>
      <c r="CR243" s="207"/>
      <c r="CS243" s="203"/>
      <c r="CT243" s="203" t="s">
        <v>23</v>
      </c>
      <c r="CU243" s="107" t="str">
        <f t="shared" si="1041"/>
        <v>-</v>
      </c>
      <c r="CV243" s="62" t="str">
        <f t="shared" si="2119"/>
        <v>-</v>
      </c>
      <c r="CW243" s="62" t="str">
        <f t="shared" si="998"/>
        <v>-</v>
      </c>
      <c r="CX243" s="62" t="str">
        <f t="shared" si="2120"/>
        <v>-</v>
      </c>
      <c r="CY243" s="107" t="str">
        <f t="shared" si="999"/>
        <v>-</v>
      </c>
      <c r="CZ243" s="168" t="str">
        <f t="shared" si="2209"/>
        <v>-</v>
      </c>
      <c r="DA243" s="158"/>
      <c r="DB243" s="168" t="str">
        <f t="shared" si="1980"/>
        <v>-</v>
      </c>
      <c r="DC243" s="160"/>
      <c r="DD243" s="190" t="s">
        <v>134</v>
      </c>
      <c r="DE243" s="29" t="s">
        <v>23</v>
      </c>
      <c r="DF243" s="29" t="s">
        <v>23</v>
      </c>
      <c r="DG243" s="29" t="s">
        <v>23</v>
      </c>
      <c r="DH243" s="149">
        <v>2022</v>
      </c>
      <c r="DI243" s="62" t="str">
        <f t="shared" si="2007"/>
        <v>-</v>
      </c>
      <c r="DJ243" s="47">
        <f t="shared" si="2008"/>
        <v>0</v>
      </c>
      <c r="DK243" s="48">
        <f t="shared" si="2009"/>
        <v>0</v>
      </c>
      <c r="DM243" s="107" t="str">
        <f t="shared" si="2027"/>
        <v>-</v>
      </c>
      <c r="DN243" s="141" t="str">
        <f t="shared" si="2156"/>
        <v>-</v>
      </c>
      <c r="DO243" s="107">
        <f t="shared" si="2010"/>
        <v>4.4721422970213194</v>
      </c>
      <c r="DP243" s="133">
        <f>IF(SeilBeregnet=0,DP126,(SeilBeregnet^0.5/(Depl^0.3333))^DP$3*DP$7)</f>
        <v>2.8007205089466289</v>
      </c>
      <c r="DQ243" s="133">
        <f>IF(SeilBeregnet=0,DQ126,(SeilBeregnet^0.5/Lwl)^DQ$3*DQ$7)</f>
        <v>0</v>
      </c>
      <c r="DR243" s="133">
        <f>IF(SeilBeregnet=0,DR126,(0.1*Loa/Depl^0.3333)^DR$3*DR$7)</f>
        <v>0</v>
      </c>
      <c r="DS243" s="133">
        <f>IF(SeilBeregnet=0,DS126,((Loa)/Bredde)^DS$3*DS$7)</f>
        <v>1.67142178807469</v>
      </c>
      <c r="DT243" s="107">
        <f>IF(SeilBeregnet=0,DT126,(Lwl)^DT$3)</f>
        <v>1.6657993231786119</v>
      </c>
      <c r="DU243" s="133">
        <f>IF(SeilBeregnet=0,DU126,(Dypg/Loa)^DU$3*5*DU$7)</f>
        <v>1.9943100880436639</v>
      </c>
      <c r="DW243" s="107" t="str">
        <f t="shared" si="417"/>
        <v>-</v>
      </c>
      <c r="DX243" s="107" t="str">
        <f t="shared" si="2011"/>
        <v>-</v>
      </c>
      <c r="DZ243" s="107" t="str">
        <f t="shared" si="2012"/>
        <v>-</v>
      </c>
      <c r="EA243" s="122" t="str">
        <f t="shared" si="2157"/>
        <v>-</v>
      </c>
      <c r="EB243" s="107" t="str">
        <f t="shared" si="2013"/>
        <v>-</v>
      </c>
      <c r="EC243" s="122" t="str">
        <f t="shared" si="2158"/>
        <v>-</v>
      </c>
      <c r="ED243" s="107">
        <f>IF(SeilBeregnet=0,ED126,SeilBeregnet^0.5/Depl^0.33333)</f>
        <v>2.8005570152049462</v>
      </c>
      <c r="EE243" s="107">
        <f>IF(SeilBeregnet=0,EE126,Lwl^0.3333)</f>
        <v>1.9745464681619453</v>
      </c>
      <c r="EF243" s="107">
        <f>IF(SeilBeregnet=0,EF126,((Loa+Lwl)/Bredde)^EF$3)</f>
        <v>1.51284121476291</v>
      </c>
      <c r="EH243" s="107" t="str">
        <f t="shared" si="2014"/>
        <v>-</v>
      </c>
      <c r="EJ243" s="107">
        <f>IF(SeilBeregnet=0,EJ126,SeilBeregnet^0.5/Depl^0.33333)</f>
        <v>2.8005570152049462</v>
      </c>
      <c r="EK243" s="107">
        <f>IF(SeilBeregnet=0,EK126,Lwl^EK$3)</f>
        <v>1.9746673863959516</v>
      </c>
      <c r="EL243" s="107">
        <f>IF(SeilBeregnet=0,EL126,((Loa+Lwl)/Bredde)^EL$3)</f>
        <v>1.7366027764452827</v>
      </c>
      <c r="EM243" s="107" t="str">
        <f t="shared" si="2015"/>
        <v>-</v>
      </c>
      <c r="EO243" s="107">
        <f>IF(SeilBeregnet=0,EO126,(EP243*EQ243)^EO$3)</f>
        <v>4.2367980768954405</v>
      </c>
      <c r="EP243" s="107">
        <f>IF(SeilBeregnet=0,EP126,SeilBeregnet^0.5/Depl^0.33333)</f>
        <v>2.8005570152049462</v>
      </c>
      <c r="EQ243" s="107">
        <f>IF(SeilBeregnet=0,EQ126,((Loa+Lwl)/Bredde)^EQ$3)</f>
        <v>1.51284121476291</v>
      </c>
      <c r="ER243" s="107">
        <f>IF(SeilBeregnet=0,ER126,Lwl^ER$3)</f>
        <v>1.6657993231786119</v>
      </c>
      <c r="ES243" s="107" t="str">
        <f t="shared" si="2028"/>
        <v>-</v>
      </c>
      <c r="EU243" s="107">
        <f>IF(SeilBeregnet=0,EU126,(EV:EV*EW:EW)^EU$3)</f>
        <v>1.6453184844631783</v>
      </c>
      <c r="EV243" s="107">
        <f>IF(SeilBeregnet=0,EV126,SeilBeregnet^0.5/Depl^0.33333)</f>
        <v>2.8005570152049462</v>
      </c>
      <c r="EW243" s="107">
        <f>IF(SeilBeregnet=0,EW126,((Loa+Lwl)/Bredde/6)^EW$3)</f>
        <v>0.96661946199231552</v>
      </c>
      <c r="EX243" s="107">
        <f>IF(SeilBeregnet=0,EX126,(Lwl*0.7+Loa*0.3)^EX$3)</f>
        <v>1.6833672989163568</v>
      </c>
      <c r="EY243" s="107" t="str">
        <f t="shared" si="2029"/>
        <v>-</v>
      </c>
      <c r="FA243" s="107">
        <f t="shared" si="2030"/>
        <v>1.6453665097931325</v>
      </c>
      <c r="FB243" s="107">
        <f>IF(SeilBeregnet=0,FB126,SeilBeregnet^0.5/Depl^0.3333)</f>
        <v>2.8007205089466289</v>
      </c>
      <c r="FC243" s="107">
        <f>IF(SeilBeregnet=0,FC126,((Loa+Lwl)/Bredde/6)^FC$3)</f>
        <v>0.96661946199231552</v>
      </c>
      <c r="FD243" s="107">
        <f>IF(SeilBeregnet=0,FD126,(Lwl*0.7+Loa*0.3)^FD$3)</f>
        <v>1.6833672989163568</v>
      </c>
      <c r="FE243" s="107" t="str">
        <f t="shared" si="2031"/>
        <v>-</v>
      </c>
      <c r="FF243" s="141" t="str">
        <f t="shared" si="1794"/>
        <v>-</v>
      </c>
      <c r="FG243" s="107">
        <f t="shared" si="2032"/>
        <v>2.616862125875079</v>
      </c>
      <c r="FH243" s="133">
        <f>IF(SeilBeregnet=0,FH126,(SeilBeregnet^0.5/(Depl^0.3333))^FH$3)</f>
        <v>2.8007205089466289</v>
      </c>
      <c r="FI243" s="133">
        <f>IF(SeilBeregnet=0,FI126,((Loa+Lwl)/Bredde/6)^FI$3)</f>
        <v>0.93435318430231351</v>
      </c>
      <c r="FJ243" s="107">
        <f>IF(SeilBeregnet=0,FJ126,(Lwl*0.07+Loa*0.03)^FJ$3)</f>
        <v>0.94662699765472258</v>
      </c>
      <c r="FK243" s="107" t="str">
        <f t="shared" si="2033"/>
        <v>-</v>
      </c>
      <c r="FL243" s="141" t="str">
        <f t="shared" si="1795"/>
        <v>-</v>
      </c>
      <c r="FM243" s="107">
        <f t="shared" si="2034"/>
        <v>4.6678875040851562</v>
      </c>
      <c r="FN243" s="133">
        <f>IF(SeilBeregnet=0,FN126,(SeilBeregnet^0.5/(Depl^0.3333))^FN$3)</f>
        <v>2.8007205089466289</v>
      </c>
      <c r="FO243" s="133">
        <f>IF(SeilBeregnet=0,FO126,(SeilBeregnet^0.5/Lwl*FO$7)^FO$3)</f>
        <v>0.69574520706383758</v>
      </c>
      <c r="FP243" s="133">
        <f>IF(SeilBeregnet=0,FP126,((Loa)/Bredde)^FP$3*FP$7)</f>
        <v>1.67142178807469</v>
      </c>
      <c r="FQ243" s="107">
        <f>IF(SeilBeregnet=0,FQ126,(Lwl)^FQ$3)</f>
        <v>1.6657993231786119</v>
      </c>
      <c r="FR243" s="107" t="str">
        <f t="shared" si="2035"/>
        <v>-</v>
      </c>
      <c r="FS243" s="141" t="str">
        <f t="shared" si="1796"/>
        <v>-</v>
      </c>
      <c r="FT243" s="107">
        <f t="shared" si="2036"/>
        <v>4.6811852809610306</v>
      </c>
      <c r="FU243" s="133">
        <f>IF(SeilBeregnet=0,FU126,(SeilBeregnet^0.5/(Depl^0.3333))^FU$3)</f>
        <v>2.8007205089466289</v>
      </c>
      <c r="FV243" s="133">
        <f>IF(SeilBeregnet=0,FV126,(Loa/Bredde)^FV$3)</f>
        <v>1.67142178807469</v>
      </c>
      <c r="FW243" s="107">
        <f>IF(SeilBeregnet=0,FW126,Lwl^FW$3)</f>
        <v>1.6657993231786119</v>
      </c>
      <c r="FY243">
        <v>0.95</v>
      </c>
      <c r="FZ243" s="62" t="str">
        <f t="shared" si="2074"/>
        <v>-</v>
      </c>
      <c r="GA243" s="62">
        <f t="shared" si="2075"/>
        <v>2</v>
      </c>
      <c r="GB243" s="107" t="str">
        <f t="shared" si="1270"/>
        <v>-</v>
      </c>
      <c r="GC243" s="441"/>
      <c r="GD243" s="57" t="s">
        <v>749</v>
      </c>
      <c r="GE243" s="436"/>
      <c r="GF243" s="75"/>
      <c r="GG243" s="57" t="s">
        <v>664</v>
      </c>
      <c r="GH243" s="57" t="s">
        <v>750</v>
      </c>
      <c r="GI243" s="57" t="s">
        <v>413</v>
      </c>
      <c r="GJ243" s="57"/>
      <c r="GL243" s="57" t="s">
        <v>478</v>
      </c>
      <c r="GM243" s="436" t="s">
        <v>478</v>
      </c>
      <c r="GN243" s="58" t="s">
        <v>478</v>
      </c>
      <c r="GO243" s="58" t="s">
        <v>478</v>
      </c>
      <c r="GP243" s="58" t="s">
        <v>478</v>
      </c>
      <c r="GQ243" s="58" t="s">
        <v>478</v>
      </c>
      <c r="GS243" s="57"/>
      <c r="GT243" s="57"/>
      <c r="GU243" s="57"/>
      <c r="GV243" s="632"/>
      <c r="GW243" s="57"/>
      <c r="GX243" s="57"/>
      <c r="GY243" s="57"/>
      <c r="GZ243" s="57"/>
    </row>
    <row r="244" spans="1:208" ht="15.6" x14ac:dyDescent="0.3">
      <c r="A244" s="60" t="s">
        <v>28</v>
      </c>
      <c r="B244" s="218"/>
      <c r="C244" s="61" t="str">
        <f>C243</f>
        <v>Gaffel</v>
      </c>
      <c r="D244" s="61"/>
      <c r="E244" s="61"/>
      <c r="F244" s="61"/>
      <c r="G244" s="54"/>
      <c r="H244" s="204">
        <f>IF(StH=0,0,TBFavrundet)</f>
        <v>0</v>
      </c>
      <c r="I244" s="63">
        <f>COUNTA(O244:AG244)</f>
        <v>0</v>
      </c>
      <c r="J244" s="222">
        <f>SUM(O244:AG244)</f>
        <v>0</v>
      </c>
      <c r="K244" s="116" t="e">
        <f>Seilareal/Depl^0.667/K$7</f>
        <v>#DIV/0!</v>
      </c>
      <c r="L244" s="116" t="e">
        <f>Seilareal/Lwl/Lwl/L$7</f>
        <v>#DIV/0!</v>
      </c>
      <c r="M244" s="92" t="e">
        <f>RiggF</f>
        <v>#DIV/0!</v>
      </c>
      <c r="N244" s="242" t="str">
        <f>StHfaktor</f>
        <v>-</v>
      </c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551"/>
      <c r="AH244" s="557">
        <f t="shared" ref="AH244:AI244" si="2233">AH243</f>
        <v>0</v>
      </c>
      <c r="AI244" s="557">
        <f t="shared" si="2233"/>
        <v>0</v>
      </c>
      <c r="AJ244" s="337">
        <f t="shared" ref="AJ244:AL247" si="2234" xml:space="preserve"> AJ243</f>
        <v>0</v>
      </c>
      <c r="AK244" s="339"/>
      <c r="AL244" s="337">
        <f t="shared" si="2234"/>
        <v>0</v>
      </c>
      <c r="AM244" s="339"/>
      <c r="AN244" s="267">
        <f t="shared" ref="AN244" si="2235" xml:space="preserve"> AN243</f>
        <v>0</v>
      </c>
      <c r="AO244" s="45" t="e">
        <f>VLOOKUP(AN244,Skrogform!$1:$1048576,3,FALSE)</f>
        <v>#N/A</v>
      </c>
      <c r="AP244" s="64">
        <f t="shared" ref="AP244:AZ244" si="2236">AP243</f>
        <v>0</v>
      </c>
      <c r="AQ244" s="64">
        <f t="shared" si="2236"/>
        <v>0</v>
      </c>
      <c r="AR244" s="64">
        <f t="shared" si="2236"/>
        <v>0</v>
      </c>
      <c r="AS244" s="64">
        <f t="shared" si="2236"/>
        <v>0</v>
      </c>
      <c r="AT244" s="64">
        <f t="shared" ref="AT244" si="2237">AT243</f>
        <v>0</v>
      </c>
      <c r="AU244" s="64">
        <f t="shared" si="2236"/>
        <v>0</v>
      </c>
      <c r="AV244" s="64">
        <f t="shared" si="2236"/>
        <v>0</v>
      </c>
      <c r="AW244" s="64">
        <f t="shared" si="2236"/>
        <v>0</v>
      </c>
      <c r="AX244" s="256">
        <f>AX243</f>
        <v>0</v>
      </c>
      <c r="AY244" s="256">
        <f t="shared" si="2236"/>
        <v>0</v>
      </c>
      <c r="AZ244" s="256">
        <f t="shared" si="2236"/>
        <v>0</v>
      </c>
      <c r="BA244" s="256">
        <f t="shared" ref="BA244:BB244" si="2238">BA243</f>
        <v>0</v>
      </c>
      <c r="BB244" s="256">
        <f t="shared" si="2238"/>
        <v>0</v>
      </c>
      <c r="BC244" s="256"/>
      <c r="BD244" s="66"/>
      <c r="BE244" s="66"/>
      <c r="BF244" s="261"/>
      <c r="BG244" s="66"/>
      <c r="BH244" s="175"/>
      <c r="BI244" s="66"/>
      <c r="BJ244" s="66"/>
      <c r="BK244" s="65">
        <f t="shared" ref="BK244:BM244" si="2239" xml:space="preserve"> BK243</f>
        <v>0</v>
      </c>
      <c r="BL244" s="267">
        <f t="shared" si="2239"/>
        <v>0</v>
      </c>
      <c r="BM244" s="267">
        <f t="shared" si="2239"/>
        <v>0</v>
      </c>
      <c r="BN244" s="45">
        <f t="shared" si="2232"/>
        <v>1</v>
      </c>
      <c r="BO244" s="59"/>
      <c r="BP244" s="59"/>
      <c r="BR244" s="49">
        <f t="shared" ref="BR244:BX247" si="2240">IF(O244=0,0,O244*BR$9)</f>
        <v>0</v>
      </c>
      <c r="BS244" s="49">
        <f t="shared" si="2240"/>
        <v>0</v>
      </c>
      <c r="BT244" s="49">
        <f t="shared" si="2240"/>
        <v>0</v>
      </c>
      <c r="BU244" s="49">
        <f t="shared" si="2240"/>
        <v>0</v>
      </c>
      <c r="BV244" s="49">
        <f t="shared" si="2240"/>
        <v>0</v>
      </c>
      <c r="BW244" s="49">
        <f t="shared" si="2240"/>
        <v>0</v>
      </c>
      <c r="BX244" s="49">
        <f t="shared" si="2240"/>
        <v>0</v>
      </c>
      <c r="BY244" s="549">
        <f>IF(COUNT(Q244:U244)&gt;1,MINA(Q244:U244)*BY$9,0)</f>
        <v>0</v>
      </c>
      <c r="BZ244" s="85">
        <f t="shared" ref="BZ244:CD247" si="2241">IF(V244=0,0,V244*BZ$9)</f>
        <v>0</v>
      </c>
      <c r="CA244" s="85">
        <f t="shared" si="2241"/>
        <v>0</v>
      </c>
      <c r="CB244" s="85">
        <f t="shared" si="2241"/>
        <v>0</v>
      </c>
      <c r="CC244" s="85">
        <f t="shared" si="2241"/>
        <v>0</v>
      </c>
      <c r="CD244" s="85">
        <f t="shared" si="2241"/>
        <v>0</v>
      </c>
      <c r="CE244" s="85">
        <f>IF(AC244=0,0,AC244*CE$9)</f>
        <v>0</v>
      </c>
      <c r="CF244" s="85">
        <f t="shared" ref="CF244:CG247" si="2242">IF(AA244=0,0,AA244*CF$9)</f>
        <v>0</v>
      </c>
      <c r="CG244" s="85">
        <f t="shared" si="2242"/>
        <v>0</v>
      </c>
      <c r="CH244" s="85">
        <f t="shared" ref="CH244:CK247" si="2243">IF(AD244=0,0,AD244*CH$9)</f>
        <v>0</v>
      </c>
      <c r="CI244" s="85">
        <f t="shared" si="2243"/>
        <v>0</v>
      </c>
      <c r="CJ244" s="85">
        <f t="shared" si="2243"/>
        <v>0</v>
      </c>
      <c r="CK244" s="85">
        <f t="shared" si="2243"/>
        <v>0</v>
      </c>
      <c r="CL244" s="100">
        <f>SUM(BR244:CK244)</f>
        <v>0</v>
      </c>
      <c r="CM244" s="50"/>
      <c r="CN244" s="104">
        <f>J244</f>
        <v>0</v>
      </c>
      <c r="CO244" s="101" t="e">
        <f>CL244/CN244</f>
        <v>#DIV/0!</v>
      </c>
      <c r="CP244" s="51" t="e">
        <f>Seilareal/Lwl/Lwl</f>
        <v>#DIV/0!</v>
      </c>
      <c r="CQ244" s="116" t="e">
        <f>Seilareal/Depl^0.667/K$7</f>
        <v>#DIV/0!</v>
      </c>
      <c r="CR244" s="51" t="e">
        <f>Seilareal/Lwl/Lwl/SApRS1</f>
        <v>#DIV/0!</v>
      </c>
      <c r="CS244" s="204"/>
      <c r="CT244" s="204" t="e">
        <f>(ROUND(TBF/CT$6,3)*CT$6)*CT$4</f>
        <v>#VALUE!</v>
      </c>
      <c r="CU244" s="107" t="str">
        <f t="shared" si="1041"/>
        <v>-</v>
      </c>
      <c r="CV244" s="62" t="str">
        <f t="shared" si="2119"/>
        <v>-</v>
      </c>
      <c r="CW244" s="62" t="str">
        <f t="shared" si="998"/>
        <v>-</v>
      </c>
      <c r="CX244" s="62" t="str">
        <f t="shared" si="2120"/>
        <v>-</v>
      </c>
      <c r="CY244" s="107" t="str">
        <f t="shared" si="999"/>
        <v>-</v>
      </c>
      <c r="CZ244" s="168" t="str">
        <f t="shared" si="2209"/>
        <v>-</v>
      </c>
      <c r="DA244" s="159">
        <f>DA243</f>
        <v>0</v>
      </c>
      <c r="DB244" s="168" t="str">
        <f t="shared" si="1980"/>
        <v>-</v>
      </c>
      <c r="DC244" s="159">
        <f>DC243</f>
        <v>0</v>
      </c>
      <c r="DD244" s="190" t="s">
        <v>134</v>
      </c>
      <c r="DE244" s="62" t="s">
        <v>102</v>
      </c>
      <c r="DF244" s="62" t="s">
        <v>102</v>
      </c>
      <c r="DG244" s="62" t="s">
        <v>102</v>
      </c>
      <c r="DH244" s="150" t="s">
        <v>102</v>
      </c>
      <c r="DI244" s="62" t="str">
        <f t="shared" si="2007"/>
        <v>-</v>
      </c>
      <c r="DJ244" s="47">
        <f t="shared" si="2008"/>
        <v>0</v>
      </c>
      <c r="DK244" s="48">
        <f t="shared" si="2009"/>
        <v>0</v>
      </c>
      <c r="DM244" s="107" t="str">
        <f t="shared" si="2027"/>
        <v>-</v>
      </c>
      <c r="DN244" s="141" t="str">
        <f t="shared" si="2156"/>
        <v>-</v>
      </c>
      <c r="DO244" s="107">
        <f t="shared" si="2010"/>
        <v>4.4721422970213194</v>
      </c>
      <c r="DP244" s="133">
        <f t="shared" ref="DP244:DP248" si="2244">IF(SeilBeregnet=0,DP243,(SeilBeregnet^0.5/(Depl^0.3333))^DP$3*DP$7)</f>
        <v>2.8007205089466289</v>
      </c>
      <c r="DQ244" s="133">
        <f t="shared" ref="DQ244:DQ248" si="2245">IF(SeilBeregnet=0,DQ243,(SeilBeregnet^0.5/Lwl)^DQ$3*DQ$7)</f>
        <v>0</v>
      </c>
      <c r="DR244" s="133">
        <f t="shared" ref="DR244:DR248" si="2246">IF(SeilBeregnet=0,DR243,(0.1*Loa/Depl^0.3333)^DR$3*DR$7)</f>
        <v>0</v>
      </c>
      <c r="DS244" s="133">
        <f t="shared" ref="DS244:DS248" si="2247">IF(SeilBeregnet=0,DS243,((Loa)/Bredde)^DS$3*DS$7)</f>
        <v>1.67142178807469</v>
      </c>
      <c r="DT244" s="107">
        <f t="shared" ref="DT244:DT248" si="2248">IF(SeilBeregnet=0,DT243,(Lwl)^DT$3)</f>
        <v>1.6657993231786119</v>
      </c>
      <c r="DU244" s="133">
        <f t="shared" ref="DU244:DU248" si="2249">IF(SeilBeregnet=0,DU243,(Dypg/Loa)^DU$3*5*DU$7)</f>
        <v>1.9943100880436639</v>
      </c>
      <c r="DW244" s="107" t="str">
        <f t="shared" si="417"/>
        <v>-</v>
      </c>
      <c r="DX244" s="107" t="str">
        <f t="shared" si="2011"/>
        <v>-</v>
      </c>
      <c r="DZ244" s="107" t="str">
        <f t="shared" si="2012"/>
        <v>-</v>
      </c>
      <c r="EA244" s="122" t="str">
        <f t="shared" si="2157"/>
        <v>-</v>
      </c>
      <c r="EB244" s="107" t="str">
        <f t="shared" si="2013"/>
        <v>-</v>
      </c>
      <c r="EC244" s="122" t="str">
        <f t="shared" si="2158"/>
        <v>-</v>
      </c>
      <c r="ED244" s="107">
        <f t="shared" si="67"/>
        <v>2.8005570152049462</v>
      </c>
      <c r="EE244" s="107">
        <f t="shared" si="68"/>
        <v>1.9745464681619453</v>
      </c>
      <c r="EF244" s="107">
        <f t="shared" ref="EF244:EF248" si="2250">IF(SeilBeregnet=0,EF243,((Loa+Lwl)/Bredde)^EF$3)</f>
        <v>1.51284121476291</v>
      </c>
      <c r="EH244" s="107" t="str">
        <f t="shared" si="2014"/>
        <v>-</v>
      </c>
      <c r="EJ244" s="107">
        <f t="shared" si="69"/>
        <v>2.8005570152049462</v>
      </c>
      <c r="EK244" s="107">
        <f t="shared" ref="EK244:EK248" si="2251">IF(SeilBeregnet=0,EK243,Lwl^EK$3)</f>
        <v>1.9746673863959516</v>
      </c>
      <c r="EL244" s="107">
        <f t="shared" ref="EL244:EL248" si="2252">IF(SeilBeregnet=0,EL243,((Loa+Lwl)/Bredde)^EL$3)</f>
        <v>1.7366027764452827</v>
      </c>
      <c r="EM244" s="107" t="str">
        <f t="shared" si="2015"/>
        <v>-</v>
      </c>
      <c r="EO244" s="107">
        <f t="shared" ref="EO244:EO248" si="2253">IF(SeilBeregnet=0,EO243,(EP244*EQ244)^EO$3)</f>
        <v>4.2367980768954405</v>
      </c>
      <c r="EP244" s="107">
        <f t="shared" si="70"/>
        <v>2.8005570152049462</v>
      </c>
      <c r="EQ244" s="107">
        <f t="shared" ref="EQ244:EQ248" si="2254">IF(SeilBeregnet=0,EQ243,((Loa+Lwl)/Bredde)^EQ$3)</f>
        <v>1.51284121476291</v>
      </c>
      <c r="ER244" s="107">
        <f t="shared" ref="ER244:ER248" si="2255">IF(SeilBeregnet=0,ER243,Lwl^ER$3)</f>
        <v>1.6657993231786119</v>
      </c>
      <c r="ES244" s="107" t="str">
        <f t="shared" si="2028"/>
        <v>-</v>
      </c>
      <c r="EU244" s="107">
        <f>IF(SeilBeregnet=0,EU243,(EV:EV*EW:EW)^EU$3)</f>
        <v>1.6453184844631783</v>
      </c>
      <c r="EV244" s="107">
        <f t="shared" si="71"/>
        <v>2.8005570152049462</v>
      </c>
      <c r="EW244" s="107">
        <f t="shared" ref="EW244:EW248" si="2256">IF(SeilBeregnet=0,EW243,((Loa+Lwl)/Bredde/6)^EW$3)</f>
        <v>0.96661946199231552</v>
      </c>
      <c r="EX244" s="107">
        <f t="shared" ref="EX244:EX248" si="2257">IF(SeilBeregnet=0,EX243,(Lwl*0.7+Loa*0.3)^EX$3)</f>
        <v>1.6833672989163568</v>
      </c>
      <c r="EY244" s="107" t="str">
        <f t="shared" si="2029"/>
        <v>-</v>
      </c>
      <c r="FA244" s="107">
        <f t="shared" si="2030"/>
        <v>1.6453665097931325</v>
      </c>
      <c r="FB244" s="107">
        <f t="shared" si="72"/>
        <v>2.8007205089466289</v>
      </c>
      <c r="FC244" s="107">
        <f t="shared" ref="FC244:FC248" si="2258">IF(SeilBeregnet=0,FC243,((Loa+Lwl)/Bredde/6)^FC$3)</f>
        <v>0.96661946199231552</v>
      </c>
      <c r="FD244" s="107">
        <f t="shared" ref="FD244:FD248" si="2259">IF(SeilBeregnet=0,FD243,(Lwl*0.7+Loa*0.3)^FD$3)</f>
        <v>1.6833672989163568</v>
      </c>
      <c r="FE244" s="107" t="str">
        <f t="shared" si="2031"/>
        <v>-</v>
      </c>
      <c r="FF244" s="141" t="str">
        <f t="shared" si="1794"/>
        <v>-</v>
      </c>
      <c r="FG244" s="107">
        <f t="shared" si="2032"/>
        <v>2.616862125875079</v>
      </c>
      <c r="FH244" s="133">
        <f t="shared" ref="FH244:FH248" si="2260">IF(SeilBeregnet=0,FH243,(SeilBeregnet^0.5/(Depl^0.3333))^FH$3)</f>
        <v>2.8007205089466289</v>
      </c>
      <c r="FI244" s="133">
        <f t="shared" ref="FI244:FI248" si="2261">IF(SeilBeregnet=0,FI243,((Loa+Lwl)/Bredde/6)^FI$3)</f>
        <v>0.93435318430231351</v>
      </c>
      <c r="FJ244" s="107">
        <f t="shared" ref="FJ244:FJ248" si="2262">IF(SeilBeregnet=0,FJ243,(Lwl*0.07+Loa*0.03)^FJ$3)</f>
        <v>0.94662699765472258</v>
      </c>
      <c r="FK244" s="107" t="str">
        <f t="shared" si="2033"/>
        <v>-</v>
      </c>
      <c r="FL244" s="141" t="str">
        <f t="shared" si="1795"/>
        <v>-</v>
      </c>
      <c r="FM244" s="107">
        <f t="shared" si="2034"/>
        <v>4.6678875040851562</v>
      </c>
      <c r="FN244" s="133">
        <f t="shared" ref="FN244:FN248" si="2263">IF(SeilBeregnet=0,FN243,(SeilBeregnet^0.5/(Depl^0.3333))^FN$3)</f>
        <v>2.8007205089466289</v>
      </c>
      <c r="FO244" s="133">
        <f t="shared" ref="FO244:FO248" si="2264">IF(SeilBeregnet=0,FO243,(SeilBeregnet^0.5/Lwl*FO$7)^FO$3)</f>
        <v>0.69574520706383758</v>
      </c>
      <c r="FP244" s="133">
        <f t="shared" ref="FP244:FP248" si="2265">IF(SeilBeregnet=0,FP243,((Loa)/Bredde)^FP$3*FP$7)</f>
        <v>1.67142178807469</v>
      </c>
      <c r="FQ244" s="107">
        <f t="shared" ref="FQ244:FQ248" si="2266">IF(SeilBeregnet=0,FQ243,(Lwl)^FQ$3)</f>
        <v>1.6657993231786119</v>
      </c>
      <c r="FR244" s="107" t="str">
        <f t="shared" si="2035"/>
        <v>-</v>
      </c>
      <c r="FS244" s="141" t="str">
        <f t="shared" si="1796"/>
        <v>-</v>
      </c>
      <c r="FT244" s="107">
        <f t="shared" si="2036"/>
        <v>4.6811852809610306</v>
      </c>
      <c r="FU244" s="133">
        <f t="shared" ref="FU244:FU248" si="2267">IF(SeilBeregnet=0,FU243,(SeilBeregnet^0.5/(Depl^0.3333))^FU$3)</f>
        <v>2.8007205089466289</v>
      </c>
      <c r="FV244" s="133">
        <f t="shared" ref="FV244:FV248" si="2268">IF(SeilBeregnet=0,FV243,(Loa/Bredde)^FV$3)</f>
        <v>1.67142178807469</v>
      </c>
      <c r="FW244" s="107">
        <f t="shared" ref="FW244:FW248" si="2269">IF(SeilBeregnet=0,FW243,Lwl^FW$3)</f>
        <v>1.6657993231786119</v>
      </c>
      <c r="FY244">
        <v>0.95</v>
      </c>
      <c r="FZ244" s="62" t="str">
        <f t="shared" si="2074"/>
        <v>-</v>
      </c>
      <c r="GA244" s="62">
        <f t="shared" si="2075"/>
        <v>2</v>
      </c>
      <c r="GB244" s="107" t="str">
        <f t="shared" si="1270"/>
        <v>-</v>
      </c>
      <c r="GC244" s="440"/>
      <c r="GD244" s="17"/>
      <c r="GE244" s="442"/>
      <c r="GF244" s="462"/>
      <c r="GG244" s="17"/>
      <c r="GH244" s="17"/>
      <c r="GI244" s="17"/>
      <c r="GJ244" s="17"/>
      <c r="GL244" s="17"/>
      <c r="GM244" s="442"/>
      <c r="GN244" s="8"/>
      <c r="GO244" s="8"/>
      <c r="GP244" s="8"/>
      <c r="GQ244" s="8"/>
      <c r="GS244" s="17"/>
      <c r="GT244" s="17"/>
      <c r="GU244" s="17"/>
      <c r="GV244" s="629"/>
      <c r="GW244" s="17"/>
      <c r="GX244" s="17"/>
      <c r="GY244" s="17"/>
      <c r="GZ244" s="17"/>
    </row>
    <row r="245" spans="1:208" ht="15.6" x14ac:dyDescent="0.3">
      <c r="A245" s="60" t="s">
        <v>29</v>
      </c>
      <c r="B245" s="218"/>
      <c r="C245" s="61" t="str">
        <f t="shared" ref="C245:C247" si="2270">C244</f>
        <v>Gaffel</v>
      </c>
      <c r="D245" s="61"/>
      <c r="E245" s="61"/>
      <c r="F245" s="61"/>
      <c r="G245" s="54"/>
      <c r="H245" s="204">
        <f>IF(StH=0,0,TBFavrundet)</f>
        <v>0</v>
      </c>
      <c r="I245" s="63">
        <f>COUNTA(O245:AG245)</f>
        <v>0</v>
      </c>
      <c r="J245" s="222">
        <f>SUM(O245:AG245)</f>
        <v>0</v>
      </c>
      <c r="K245" s="116" t="e">
        <f>Seilareal/Depl^0.667/K$7</f>
        <v>#DIV/0!</v>
      </c>
      <c r="L245" s="116" t="e">
        <f>Seilareal/Lwl/Lwl/L$7</f>
        <v>#DIV/0!</v>
      </c>
      <c r="M245" s="92" t="e">
        <f>RiggF</f>
        <v>#DIV/0!</v>
      </c>
      <c r="N245" s="242" t="str">
        <f>StHfaktor</f>
        <v>-</v>
      </c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551"/>
      <c r="AH245" s="557">
        <f t="shared" ref="AH245:AI245" si="2271">AH244</f>
        <v>0</v>
      </c>
      <c r="AI245" s="557">
        <f t="shared" si="2271"/>
        <v>0</v>
      </c>
      <c r="AJ245" s="337">
        <f t="shared" si="2234"/>
        <v>0</v>
      </c>
      <c r="AK245" s="339"/>
      <c r="AL245" s="337">
        <f t="shared" si="2234"/>
        <v>0</v>
      </c>
      <c r="AM245" s="339"/>
      <c r="AN245" s="267">
        <f t="shared" ref="AN245" si="2272" xml:space="preserve"> AN244</f>
        <v>0</v>
      </c>
      <c r="AO245" s="45" t="e">
        <f>VLOOKUP(AN245,Skrogform!$1:$1048576,3,FALSE)</f>
        <v>#N/A</v>
      </c>
      <c r="AP245" s="64">
        <f t="shared" ref="AP245:AZ245" si="2273">AP244</f>
        <v>0</v>
      </c>
      <c r="AQ245" s="64">
        <f t="shared" si="2273"/>
        <v>0</v>
      </c>
      <c r="AR245" s="64">
        <f t="shared" si="2273"/>
        <v>0</v>
      </c>
      <c r="AS245" s="64">
        <f t="shared" si="2273"/>
        <v>0</v>
      </c>
      <c r="AT245" s="64">
        <f t="shared" ref="AT245" si="2274">AT244</f>
        <v>0</v>
      </c>
      <c r="AU245" s="64">
        <f t="shared" si="2273"/>
        <v>0</v>
      </c>
      <c r="AV245" s="64">
        <f t="shared" si="2273"/>
        <v>0</v>
      </c>
      <c r="AW245" s="64">
        <f t="shared" si="2273"/>
        <v>0</v>
      </c>
      <c r="AX245" s="256">
        <f>AX244</f>
        <v>0</v>
      </c>
      <c r="AY245" s="256">
        <f t="shared" si="2273"/>
        <v>0</v>
      </c>
      <c r="AZ245" s="256">
        <f t="shared" si="2273"/>
        <v>0</v>
      </c>
      <c r="BA245" s="256">
        <f t="shared" ref="BA245:BB245" si="2275">BA244</f>
        <v>0</v>
      </c>
      <c r="BB245" s="256">
        <f t="shared" si="2275"/>
        <v>0</v>
      </c>
      <c r="BC245" s="256"/>
      <c r="BD245" s="66"/>
      <c r="BE245" s="66"/>
      <c r="BF245" s="261"/>
      <c r="BG245" s="66"/>
      <c r="BH245" s="175"/>
      <c r="BI245" s="66"/>
      <c r="BJ245" s="66"/>
      <c r="BK245" s="65">
        <f t="shared" ref="BK245:BM245" si="2276" xml:space="preserve"> BK244</f>
        <v>0</v>
      </c>
      <c r="BL245" s="267">
        <f t="shared" si="2276"/>
        <v>0</v>
      </c>
      <c r="BM245" s="267">
        <f t="shared" si="2276"/>
        <v>0</v>
      </c>
      <c r="BN245" s="45">
        <f t="shared" si="2232"/>
        <v>1</v>
      </c>
      <c r="BO245" s="59"/>
      <c r="BP245" s="59"/>
      <c r="BR245" s="49">
        <f t="shared" si="2240"/>
        <v>0</v>
      </c>
      <c r="BS245" s="49">
        <f t="shared" si="2240"/>
        <v>0</v>
      </c>
      <c r="BT245" s="49">
        <f t="shared" si="2240"/>
        <v>0</v>
      </c>
      <c r="BU245" s="49">
        <f t="shared" si="2240"/>
        <v>0</v>
      </c>
      <c r="BV245" s="49">
        <f t="shared" si="2240"/>
        <v>0</v>
      </c>
      <c r="BW245" s="49">
        <f t="shared" si="2240"/>
        <v>0</v>
      </c>
      <c r="BX245" s="49">
        <f t="shared" si="2240"/>
        <v>0</v>
      </c>
      <c r="BY245" s="549">
        <f>IF(COUNT(Q245:U245)&gt;1,MINA(Q245:U245)*BY$9,0)</f>
        <v>0</v>
      </c>
      <c r="BZ245" s="85">
        <f t="shared" si="2241"/>
        <v>0</v>
      </c>
      <c r="CA245" s="85">
        <f t="shared" si="2241"/>
        <v>0</v>
      </c>
      <c r="CB245" s="85">
        <f t="shared" si="2241"/>
        <v>0</v>
      </c>
      <c r="CC245" s="85">
        <f t="shared" si="2241"/>
        <v>0</v>
      </c>
      <c r="CD245" s="85">
        <f t="shared" si="2241"/>
        <v>0</v>
      </c>
      <c r="CE245" s="85">
        <f>IF(AC245=0,0,AC245*CE$9)</f>
        <v>0</v>
      </c>
      <c r="CF245" s="85">
        <f t="shared" si="2242"/>
        <v>0</v>
      </c>
      <c r="CG245" s="85">
        <f t="shared" si="2242"/>
        <v>0</v>
      </c>
      <c r="CH245" s="85">
        <f t="shared" si="2243"/>
        <v>0</v>
      </c>
      <c r="CI245" s="85">
        <f t="shared" si="2243"/>
        <v>0</v>
      </c>
      <c r="CJ245" s="85">
        <f t="shared" si="2243"/>
        <v>0</v>
      </c>
      <c r="CK245" s="85">
        <f t="shared" si="2243"/>
        <v>0</v>
      </c>
      <c r="CL245" s="100">
        <f>SUM(BR245:CK245)</f>
        <v>0</v>
      </c>
      <c r="CM245" s="50"/>
      <c r="CN245" s="104">
        <f>J245</f>
        <v>0</v>
      </c>
      <c r="CO245" s="101" t="e">
        <f>CL245/CN245</f>
        <v>#DIV/0!</v>
      </c>
      <c r="CP245" s="51" t="e">
        <f>Seilareal/Lwl/Lwl</f>
        <v>#DIV/0!</v>
      </c>
      <c r="CQ245" s="116" t="e">
        <f>Seilareal/Depl^0.667/K$7</f>
        <v>#DIV/0!</v>
      </c>
      <c r="CR245" s="51" t="e">
        <f>Seilareal/Lwl/Lwl/SApRS1</f>
        <v>#DIV/0!</v>
      </c>
      <c r="CS245" s="204"/>
      <c r="CT245" s="204" t="e">
        <f>(ROUND(TBF/CT$6,3)*CT$6)*CT$4</f>
        <v>#VALUE!</v>
      </c>
      <c r="CU245" s="107" t="str">
        <f t="shared" si="1041"/>
        <v>-</v>
      </c>
      <c r="CV245" s="62" t="str">
        <f t="shared" si="2119"/>
        <v>-</v>
      </c>
      <c r="CW245" s="62" t="str">
        <f t="shared" si="998"/>
        <v>-</v>
      </c>
      <c r="CX245" s="62" t="str">
        <f t="shared" si="2120"/>
        <v>-</v>
      </c>
      <c r="CY245" s="107" t="str">
        <f t="shared" si="999"/>
        <v>-</v>
      </c>
      <c r="CZ245" s="168" t="str">
        <f t="shared" si="2209"/>
        <v>-</v>
      </c>
      <c r="DA245" s="158"/>
      <c r="DB245" s="168" t="str">
        <f t="shared" si="1980"/>
        <v>-</v>
      </c>
      <c r="DC245" s="160"/>
      <c r="DD245" s="190" t="s">
        <v>134</v>
      </c>
      <c r="DE245" s="62" t="s">
        <v>102</v>
      </c>
      <c r="DF245" s="62" t="s">
        <v>102</v>
      </c>
      <c r="DG245" s="62" t="s">
        <v>102</v>
      </c>
      <c r="DH245" s="150" t="s">
        <v>102</v>
      </c>
      <c r="DI245" s="62" t="str">
        <f t="shared" si="2007"/>
        <v>-</v>
      </c>
      <c r="DJ245" s="47">
        <f t="shared" si="2008"/>
        <v>0</v>
      </c>
      <c r="DK245" s="48">
        <f t="shared" si="2009"/>
        <v>0</v>
      </c>
      <c r="DM245" s="107" t="str">
        <f t="shared" si="2027"/>
        <v>-</v>
      </c>
      <c r="DN245" s="141" t="str">
        <f t="shared" si="2156"/>
        <v>-</v>
      </c>
      <c r="DO245" s="107">
        <f t="shared" si="2010"/>
        <v>4.4721422970213194</v>
      </c>
      <c r="DP245" s="133">
        <f t="shared" si="2244"/>
        <v>2.8007205089466289</v>
      </c>
      <c r="DQ245" s="133">
        <f t="shared" si="2245"/>
        <v>0</v>
      </c>
      <c r="DR245" s="133">
        <f t="shared" si="2246"/>
        <v>0</v>
      </c>
      <c r="DS245" s="133">
        <f t="shared" si="2247"/>
        <v>1.67142178807469</v>
      </c>
      <c r="DT245" s="107">
        <f t="shared" si="2248"/>
        <v>1.6657993231786119</v>
      </c>
      <c r="DU245" s="133">
        <f t="shared" si="2249"/>
        <v>1.9943100880436639</v>
      </c>
      <c r="DW245" s="107" t="str">
        <f t="shared" si="417"/>
        <v>-</v>
      </c>
      <c r="DX245" s="107" t="str">
        <f t="shared" si="2011"/>
        <v>-</v>
      </c>
      <c r="DZ245" s="107" t="str">
        <f t="shared" si="2012"/>
        <v>-</v>
      </c>
      <c r="EA245" s="122" t="str">
        <f t="shared" si="2157"/>
        <v>-</v>
      </c>
      <c r="EB245" s="107" t="str">
        <f t="shared" si="2013"/>
        <v>-</v>
      </c>
      <c r="EC245" s="122" t="str">
        <f t="shared" si="2158"/>
        <v>-</v>
      </c>
      <c r="ED245" s="107">
        <f t="shared" si="67"/>
        <v>2.8005570152049462</v>
      </c>
      <c r="EE245" s="107">
        <f t="shared" si="68"/>
        <v>1.9745464681619453</v>
      </c>
      <c r="EF245" s="107">
        <f t="shared" si="2250"/>
        <v>1.51284121476291</v>
      </c>
      <c r="EH245" s="107" t="str">
        <f t="shared" si="2014"/>
        <v>-</v>
      </c>
      <c r="EJ245" s="107">
        <f t="shared" si="69"/>
        <v>2.8005570152049462</v>
      </c>
      <c r="EK245" s="107">
        <f t="shared" si="2251"/>
        <v>1.9746673863959516</v>
      </c>
      <c r="EL245" s="107">
        <f t="shared" si="2252"/>
        <v>1.7366027764452827</v>
      </c>
      <c r="EM245" s="107" t="str">
        <f t="shared" si="2015"/>
        <v>-</v>
      </c>
      <c r="EO245" s="107">
        <f t="shared" si="2253"/>
        <v>4.2367980768954405</v>
      </c>
      <c r="EP245" s="107">
        <f t="shared" si="70"/>
        <v>2.8005570152049462</v>
      </c>
      <c r="EQ245" s="107">
        <f t="shared" si="2254"/>
        <v>1.51284121476291</v>
      </c>
      <c r="ER245" s="107">
        <f t="shared" si="2255"/>
        <v>1.6657993231786119</v>
      </c>
      <c r="ES245" s="107" t="str">
        <f t="shared" si="2028"/>
        <v>-</v>
      </c>
      <c r="EU245" s="107">
        <f>IF(SeilBeregnet=0,EU244,(EV:EV*EW:EW)^EU$3)</f>
        <v>1.6453184844631783</v>
      </c>
      <c r="EV245" s="107">
        <f t="shared" si="71"/>
        <v>2.8005570152049462</v>
      </c>
      <c r="EW245" s="107">
        <f t="shared" si="2256"/>
        <v>0.96661946199231552</v>
      </c>
      <c r="EX245" s="107">
        <f t="shared" si="2257"/>
        <v>1.6833672989163568</v>
      </c>
      <c r="EY245" s="107" t="str">
        <f t="shared" si="2029"/>
        <v>-</v>
      </c>
      <c r="FA245" s="107">
        <f t="shared" si="2030"/>
        <v>1.6453665097931325</v>
      </c>
      <c r="FB245" s="107">
        <f t="shared" si="72"/>
        <v>2.8007205089466289</v>
      </c>
      <c r="FC245" s="107">
        <f t="shared" si="2258"/>
        <v>0.96661946199231552</v>
      </c>
      <c r="FD245" s="107">
        <f t="shared" si="2259"/>
        <v>1.6833672989163568</v>
      </c>
      <c r="FE245" s="107" t="str">
        <f t="shared" si="2031"/>
        <v>-</v>
      </c>
      <c r="FF245" s="141" t="str">
        <f t="shared" si="1794"/>
        <v>-</v>
      </c>
      <c r="FG245" s="107">
        <f t="shared" si="2032"/>
        <v>2.616862125875079</v>
      </c>
      <c r="FH245" s="133">
        <f t="shared" si="2260"/>
        <v>2.8007205089466289</v>
      </c>
      <c r="FI245" s="133">
        <f t="shared" si="2261"/>
        <v>0.93435318430231351</v>
      </c>
      <c r="FJ245" s="107">
        <f t="shared" si="2262"/>
        <v>0.94662699765472258</v>
      </c>
      <c r="FK245" s="107" t="str">
        <f t="shared" si="2033"/>
        <v>-</v>
      </c>
      <c r="FL245" s="141" t="str">
        <f t="shared" si="1795"/>
        <v>-</v>
      </c>
      <c r="FM245" s="107">
        <f t="shared" si="2034"/>
        <v>4.6678875040851562</v>
      </c>
      <c r="FN245" s="133">
        <f t="shared" si="2263"/>
        <v>2.8007205089466289</v>
      </c>
      <c r="FO245" s="133">
        <f t="shared" si="2264"/>
        <v>0.69574520706383758</v>
      </c>
      <c r="FP245" s="133">
        <f t="shared" si="2265"/>
        <v>1.67142178807469</v>
      </c>
      <c r="FQ245" s="107">
        <f t="shared" si="2266"/>
        <v>1.6657993231786119</v>
      </c>
      <c r="FR245" s="107" t="str">
        <f t="shared" si="2035"/>
        <v>-</v>
      </c>
      <c r="FS245" s="141" t="str">
        <f t="shared" si="1796"/>
        <v>-</v>
      </c>
      <c r="FT245" s="107">
        <f t="shared" si="2036"/>
        <v>4.6811852809610306</v>
      </c>
      <c r="FU245" s="133">
        <f t="shared" si="2267"/>
        <v>2.8007205089466289</v>
      </c>
      <c r="FV245" s="133">
        <f t="shared" si="2268"/>
        <v>1.67142178807469</v>
      </c>
      <c r="FW245" s="107">
        <f t="shared" si="2269"/>
        <v>1.6657993231786119</v>
      </c>
      <c r="FY245">
        <v>0.95</v>
      </c>
      <c r="FZ245" s="62" t="str">
        <f t="shared" si="2074"/>
        <v>-</v>
      </c>
      <c r="GA245" s="62">
        <f t="shared" si="2075"/>
        <v>2</v>
      </c>
      <c r="GB245" s="107" t="str">
        <f t="shared" si="1270"/>
        <v>-</v>
      </c>
      <c r="GC245" s="440"/>
      <c r="GD245" s="17"/>
      <c r="GE245" s="442"/>
      <c r="GF245" s="462"/>
      <c r="GG245" s="17"/>
      <c r="GH245" s="17"/>
      <c r="GI245" s="17"/>
      <c r="GJ245" s="17"/>
      <c r="GL245" s="17"/>
      <c r="GM245" s="442"/>
      <c r="GN245" s="8"/>
      <c r="GO245" s="8"/>
      <c r="GP245" s="8"/>
      <c r="GQ245" s="8"/>
      <c r="GS245" s="17"/>
      <c r="GT245" s="17"/>
      <c r="GU245" s="17"/>
      <c r="GV245" s="629"/>
      <c r="GW245" s="17"/>
      <c r="GX245" s="17"/>
      <c r="GY245" s="17"/>
      <c r="GZ245" s="17"/>
    </row>
    <row r="246" spans="1:208" ht="15.6" x14ac:dyDescent="0.3">
      <c r="A246" s="60" t="s">
        <v>30</v>
      </c>
      <c r="B246" s="218"/>
      <c r="C246" s="61" t="str">
        <f t="shared" si="2270"/>
        <v>Gaffel</v>
      </c>
      <c r="D246" s="61"/>
      <c r="E246" s="61"/>
      <c r="F246" s="61"/>
      <c r="G246" s="54"/>
      <c r="H246" s="204">
        <f>IF(StH=0,0,TBFavrundet)</f>
        <v>0</v>
      </c>
      <c r="I246" s="63">
        <f>COUNTA(O246:AG246)</f>
        <v>0</v>
      </c>
      <c r="J246" s="222">
        <f>SUM(O246:AG246)</f>
        <v>0</v>
      </c>
      <c r="K246" s="116" t="e">
        <f>Seilareal/Depl^0.667/K$7</f>
        <v>#DIV/0!</v>
      </c>
      <c r="L246" s="116" t="e">
        <f>Seilareal/Lwl/Lwl/L$7</f>
        <v>#DIV/0!</v>
      </c>
      <c r="M246" s="92" t="e">
        <f>RiggF</f>
        <v>#DIV/0!</v>
      </c>
      <c r="N246" s="242" t="str">
        <f>StHfaktor</f>
        <v>-</v>
      </c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551"/>
      <c r="AH246" s="557">
        <f t="shared" ref="AH246:AI246" si="2277">AH245</f>
        <v>0</v>
      </c>
      <c r="AI246" s="557">
        <f t="shared" si="2277"/>
        <v>0</v>
      </c>
      <c r="AJ246" s="337">
        <f t="shared" si="2234"/>
        <v>0</v>
      </c>
      <c r="AK246" s="339"/>
      <c r="AL246" s="337">
        <f t="shared" si="2234"/>
        <v>0</v>
      </c>
      <c r="AM246" s="339"/>
      <c r="AN246" s="267">
        <f t="shared" ref="AN246" si="2278" xml:space="preserve"> AN245</f>
        <v>0</v>
      </c>
      <c r="AO246" s="45" t="e">
        <f>VLOOKUP(AN246,Skrogform!$1:$1048576,3,FALSE)</f>
        <v>#N/A</v>
      </c>
      <c r="AP246" s="64">
        <f t="shared" ref="AP246:AZ246" si="2279">AP245</f>
        <v>0</v>
      </c>
      <c r="AQ246" s="64">
        <f t="shared" si="2279"/>
        <v>0</v>
      </c>
      <c r="AR246" s="64">
        <f t="shared" si="2279"/>
        <v>0</v>
      </c>
      <c r="AS246" s="64">
        <f t="shared" si="2279"/>
        <v>0</v>
      </c>
      <c r="AT246" s="64">
        <f t="shared" ref="AT246" si="2280">AT245</f>
        <v>0</v>
      </c>
      <c r="AU246" s="64">
        <f t="shared" si="2279"/>
        <v>0</v>
      </c>
      <c r="AV246" s="64">
        <f t="shared" si="2279"/>
        <v>0</v>
      </c>
      <c r="AW246" s="64">
        <f t="shared" si="2279"/>
        <v>0</v>
      </c>
      <c r="AX246" s="256">
        <f>AX245</f>
        <v>0</v>
      </c>
      <c r="AY246" s="256">
        <f t="shared" si="2279"/>
        <v>0</v>
      </c>
      <c r="AZ246" s="256">
        <f t="shared" si="2279"/>
        <v>0</v>
      </c>
      <c r="BA246" s="256">
        <f t="shared" ref="BA246:BB246" si="2281">BA245</f>
        <v>0</v>
      </c>
      <c r="BB246" s="256">
        <f t="shared" si="2281"/>
        <v>0</v>
      </c>
      <c r="BC246" s="256"/>
      <c r="BD246" s="66"/>
      <c r="BE246" s="66"/>
      <c r="BF246" s="261"/>
      <c r="BG246" s="66"/>
      <c r="BH246" s="175"/>
      <c r="BI246" s="66"/>
      <c r="BJ246" s="66"/>
      <c r="BK246" s="65">
        <f t="shared" ref="BK246:BM246" si="2282" xml:space="preserve"> BK245</f>
        <v>0</v>
      </c>
      <c r="BL246" s="267">
        <f t="shared" si="2282"/>
        <v>0</v>
      </c>
      <c r="BM246" s="267">
        <f t="shared" si="2282"/>
        <v>0</v>
      </c>
      <c r="BN246" s="45">
        <f t="shared" si="2232"/>
        <v>1</v>
      </c>
      <c r="BO246" s="59"/>
      <c r="BP246" s="59"/>
      <c r="BR246" s="49">
        <f t="shared" si="2240"/>
        <v>0</v>
      </c>
      <c r="BS246" s="49">
        <f t="shared" si="2240"/>
        <v>0</v>
      </c>
      <c r="BT246" s="49">
        <f t="shared" si="2240"/>
        <v>0</v>
      </c>
      <c r="BU246" s="49">
        <f t="shared" si="2240"/>
        <v>0</v>
      </c>
      <c r="BV246" s="49">
        <f t="shared" si="2240"/>
        <v>0</v>
      </c>
      <c r="BW246" s="49">
        <f t="shared" si="2240"/>
        <v>0</v>
      </c>
      <c r="BX246" s="49">
        <f t="shared" si="2240"/>
        <v>0</v>
      </c>
      <c r="BY246" s="549">
        <f>IF(COUNT(Q246:U246)&gt;1,MINA(Q246:U246)*BY$9,0)</f>
        <v>0</v>
      </c>
      <c r="BZ246" s="85">
        <f t="shared" si="2241"/>
        <v>0</v>
      </c>
      <c r="CA246" s="85">
        <f t="shared" si="2241"/>
        <v>0</v>
      </c>
      <c r="CB246" s="85">
        <f t="shared" si="2241"/>
        <v>0</v>
      </c>
      <c r="CC246" s="85">
        <f t="shared" si="2241"/>
        <v>0</v>
      </c>
      <c r="CD246" s="85">
        <f t="shared" si="2241"/>
        <v>0</v>
      </c>
      <c r="CE246" s="85">
        <f>IF(AC246=0,0,AC246*CE$9)</f>
        <v>0</v>
      </c>
      <c r="CF246" s="85">
        <f t="shared" si="2242"/>
        <v>0</v>
      </c>
      <c r="CG246" s="85">
        <f t="shared" si="2242"/>
        <v>0</v>
      </c>
      <c r="CH246" s="85">
        <f t="shared" si="2243"/>
        <v>0</v>
      </c>
      <c r="CI246" s="85">
        <f t="shared" si="2243"/>
        <v>0</v>
      </c>
      <c r="CJ246" s="85">
        <f t="shared" si="2243"/>
        <v>0</v>
      </c>
      <c r="CK246" s="85">
        <f t="shared" si="2243"/>
        <v>0</v>
      </c>
      <c r="CL246" s="100">
        <f>SUM(BR246:CK246)</f>
        <v>0</v>
      </c>
      <c r="CM246" s="50"/>
      <c r="CN246" s="104">
        <f>J246</f>
        <v>0</v>
      </c>
      <c r="CO246" s="101" t="e">
        <f>CL246/CN246</f>
        <v>#DIV/0!</v>
      </c>
      <c r="CP246" s="51" t="e">
        <f>Seilareal/Lwl/Lwl</f>
        <v>#DIV/0!</v>
      </c>
      <c r="CQ246" s="116" t="e">
        <f>Seilareal/Depl^0.667/K$7</f>
        <v>#DIV/0!</v>
      </c>
      <c r="CR246" s="51" t="e">
        <f>Seilareal/Lwl/Lwl/SApRS1</f>
        <v>#DIV/0!</v>
      </c>
      <c r="CS246" s="204"/>
      <c r="CT246" s="204" t="e">
        <f>(ROUND(TBF/CT$6,3)*CT$6)*CT$4</f>
        <v>#VALUE!</v>
      </c>
      <c r="CU246" s="107" t="str">
        <f t="shared" si="1041"/>
        <v>-</v>
      </c>
      <c r="CV246" s="62" t="str">
        <f t="shared" si="2119"/>
        <v>-</v>
      </c>
      <c r="CW246" s="62" t="str">
        <f t="shared" si="998"/>
        <v>-</v>
      </c>
      <c r="CX246" s="62" t="str">
        <f t="shared" si="2120"/>
        <v>-</v>
      </c>
      <c r="CY246" s="107" t="str">
        <f t="shared" si="999"/>
        <v>-</v>
      </c>
      <c r="CZ246" s="168" t="str">
        <f t="shared" si="2209"/>
        <v>-</v>
      </c>
      <c r="DA246" s="158"/>
      <c r="DB246" s="168" t="str">
        <f t="shared" si="1980"/>
        <v>-</v>
      </c>
      <c r="DC246" s="160"/>
      <c r="DD246" s="190" t="s">
        <v>134</v>
      </c>
      <c r="DE246" s="62" t="s">
        <v>102</v>
      </c>
      <c r="DF246" s="62" t="s">
        <v>102</v>
      </c>
      <c r="DG246" s="62" t="s">
        <v>102</v>
      </c>
      <c r="DH246" s="150" t="s">
        <v>102</v>
      </c>
      <c r="DI246" s="62" t="str">
        <f t="shared" si="2007"/>
        <v>-</v>
      </c>
      <c r="DJ246" s="47">
        <f t="shared" si="2008"/>
        <v>0</v>
      </c>
      <c r="DK246" s="48">
        <f t="shared" si="2009"/>
        <v>0</v>
      </c>
      <c r="DM246" s="107" t="str">
        <f t="shared" si="2027"/>
        <v>-</v>
      </c>
      <c r="DN246" s="141" t="str">
        <f t="shared" si="2156"/>
        <v>-</v>
      </c>
      <c r="DO246" s="107">
        <f t="shared" si="2010"/>
        <v>4.4721422970213194</v>
      </c>
      <c r="DP246" s="133">
        <f t="shared" si="2244"/>
        <v>2.8007205089466289</v>
      </c>
      <c r="DQ246" s="133">
        <f t="shared" si="2245"/>
        <v>0</v>
      </c>
      <c r="DR246" s="133">
        <f t="shared" si="2246"/>
        <v>0</v>
      </c>
      <c r="DS246" s="133">
        <f t="shared" si="2247"/>
        <v>1.67142178807469</v>
      </c>
      <c r="DT246" s="107">
        <f t="shared" si="2248"/>
        <v>1.6657993231786119</v>
      </c>
      <c r="DU246" s="133">
        <f t="shared" si="2249"/>
        <v>1.9943100880436639</v>
      </c>
      <c r="DW246" s="107" t="str">
        <f t="shared" si="417"/>
        <v>-</v>
      </c>
      <c r="DX246" s="107" t="str">
        <f t="shared" si="2011"/>
        <v>-</v>
      </c>
      <c r="DZ246" s="107" t="str">
        <f t="shared" si="2012"/>
        <v>-</v>
      </c>
      <c r="EA246" s="122" t="str">
        <f t="shared" si="2157"/>
        <v>-</v>
      </c>
      <c r="EB246" s="107" t="str">
        <f t="shared" si="2013"/>
        <v>-</v>
      </c>
      <c r="EC246" s="122" t="str">
        <f t="shared" si="2158"/>
        <v>-</v>
      </c>
      <c r="ED246" s="107">
        <f t="shared" si="67"/>
        <v>2.8005570152049462</v>
      </c>
      <c r="EE246" s="107">
        <f t="shared" si="68"/>
        <v>1.9745464681619453</v>
      </c>
      <c r="EF246" s="107">
        <f t="shared" si="2250"/>
        <v>1.51284121476291</v>
      </c>
      <c r="EH246" s="107" t="str">
        <f t="shared" si="2014"/>
        <v>-</v>
      </c>
      <c r="EJ246" s="107">
        <f t="shared" si="69"/>
        <v>2.8005570152049462</v>
      </c>
      <c r="EK246" s="107">
        <f t="shared" si="2251"/>
        <v>1.9746673863959516</v>
      </c>
      <c r="EL246" s="107">
        <f t="shared" si="2252"/>
        <v>1.7366027764452827</v>
      </c>
      <c r="EM246" s="107" t="str">
        <f t="shared" si="2015"/>
        <v>-</v>
      </c>
      <c r="EO246" s="107">
        <f t="shared" si="2253"/>
        <v>4.2367980768954405</v>
      </c>
      <c r="EP246" s="107">
        <f t="shared" si="70"/>
        <v>2.8005570152049462</v>
      </c>
      <c r="EQ246" s="107">
        <f t="shared" si="2254"/>
        <v>1.51284121476291</v>
      </c>
      <c r="ER246" s="107">
        <f t="shared" si="2255"/>
        <v>1.6657993231786119</v>
      </c>
      <c r="ES246" s="107" t="str">
        <f t="shared" si="2028"/>
        <v>-</v>
      </c>
      <c r="EU246" s="107">
        <f>IF(SeilBeregnet=0,EU245,(EV:EV*EW:EW)^EU$3)</f>
        <v>1.6453184844631783</v>
      </c>
      <c r="EV246" s="107">
        <f t="shared" si="71"/>
        <v>2.8005570152049462</v>
      </c>
      <c r="EW246" s="107">
        <f t="shared" si="2256"/>
        <v>0.96661946199231552</v>
      </c>
      <c r="EX246" s="107">
        <f t="shared" si="2257"/>
        <v>1.6833672989163568</v>
      </c>
      <c r="EY246" s="107" t="str">
        <f t="shared" si="2029"/>
        <v>-</v>
      </c>
      <c r="FA246" s="107">
        <f t="shared" si="2030"/>
        <v>1.6453665097931325</v>
      </c>
      <c r="FB246" s="107">
        <f t="shared" si="72"/>
        <v>2.8007205089466289</v>
      </c>
      <c r="FC246" s="107">
        <f t="shared" si="2258"/>
        <v>0.96661946199231552</v>
      </c>
      <c r="FD246" s="107">
        <f t="shared" si="2259"/>
        <v>1.6833672989163568</v>
      </c>
      <c r="FE246" s="107" t="str">
        <f t="shared" si="2031"/>
        <v>-</v>
      </c>
      <c r="FF246" s="141" t="str">
        <f t="shared" si="1794"/>
        <v>-</v>
      </c>
      <c r="FG246" s="107">
        <f t="shared" si="2032"/>
        <v>2.616862125875079</v>
      </c>
      <c r="FH246" s="133">
        <f t="shared" si="2260"/>
        <v>2.8007205089466289</v>
      </c>
      <c r="FI246" s="133">
        <f t="shared" si="2261"/>
        <v>0.93435318430231351</v>
      </c>
      <c r="FJ246" s="107">
        <f t="shared" si="2262"/>
        <v>0.94662699765472258</v>
      </c>
      <c r="FK246" s="107" t="str">
        <f t="shared" si="2033"/>
        <v>-</v>
      </c>
      <c r="FL246" s="141" t="str">
        <f t="shared" si="1795"/>
        <v>-</v>
      </c>
      <c r="FM246" s="107">
        <f t="shared" si="2034"/>
        <v>4.6678875040851562</v>
      </c>
      <c r="FN246" s="133">
        <f t="shared" si="2263"/>
        <v>2.8007205089466289</v>
      </c>
      <c r="FO246" s="133">
        <f t="shared" si="2264"/>
        <v>0.69574520706383758</v>
      </c>
      <c r="FP246" s="133">
        <f t="shared" si="2265"/>
        <v>1.67142178807469</v>
      </c>
      <c r="FQ246" s="107">
        <f t="shared" si="2266"/>
        <v>1.6657993231786119</v>
      </c>
      <c r="FR246" s="107" t="str">
        <f t="shared" si="2035"/>
        <v>-</v>
      </c>
      <c r="FS246" s="141" t="str">
        <f t="shared" si="1796"/>
        <v>-</v>
      </c>
      <c r="FT246" s="107">
        <f t="shared" si="2036"/>
        <v>4.6811852809610306</v>
      </c>
      <c r="FU246" s="133">
        <f t="shared" si="2267"/>
        <v>2.8007205089466289</v>
      </c>
      <c r="FV246" s="133">
        <f t="shared" si="2268"/>
        <v>1.67142178807469</v>
      </c>
      <c r="FW246" s="107">
        <f t="shared" si="2269"/>
        <v>1.6657993231786119</v>
      </c>
      <c r="FY246">
        <v>0.95</v>
      </c>
      <c r="FZ246" s="62" t="str">
        <f t="shared" si="2074"/>
        <v>-</v>
      </c>
      <c r="GA246" s="62">
        <f t="shared" si="2075"/>
        <v>2</v>
      </c>
      <c r="GB246" s="107" t="str">
        <f t="shared" si="1270"/>
        <v>-</v>
      </c>
      <c r="GC246" s="440"/>
      <c r="GD246" s="17"/>
      <c r="GE246" s="442"/>
      <c r="GF246" s="462"/>
      <c r="GG246" s="17"/>
      <c r="GH246" s="17"/>
      <c r="GI246" s="17"/>
      <c r="GJ246" s="17"/>
      <c r="GL246" s="17"/>
      <c r="GM246" s="442"/>
      <c r="GN246" s="8"/>
      <c r="GO246" s="8"/>
      <c r="GP246" s="8"/>
      <c r="GQ246" s="8"/>
      <c r="GS246" s="17"/>
      <c r="GT246" s="17"/>
      <c r="GU246" s="17"/>
      <c r="GV246" s="629"/>
      <c r="GW246" s="17"/>
      <c r="GX246" s="17"/>
      <c r="GY246" s="17"/>
      <c r="GZ246" s="17"/>
    </row>
    <row r="247" spans="1:208" ht="15.6" x14ac:dyDescent="0.3">
      <c r="A247" s="60" t="str">
        <f>A$3</f>
        <v>TBF 2024-62a</v>
      </c>
      <c r="B247" s="218"/>
      <c r="C247" s="61" t="str">
        <f t="shared" si="2270"/>
        <v>Gaffel</v>
      </c>
      <c r="D247" s="61"/>
      <c r="E247" s="61"/>
      <c r="F247" s="61"/>
      <c r="G247" s="54"/>
      <c r="H247" s="204">
        <f>IF(StH=0,0,TBFavrundet)</f>
        <v>0</v>
      </c>
      <c r="I247" s="63">
        <f>COUNTA(O247:AG247)</f>
        <v>0</v>
      </c>
      <c r="J247" s="222">
        <f>SUM(O247:AG247)</f>
        <v>0</v>
      </c>
      <c r="K247" s="116" t="e">
        <f>Seilareal/Depl^0.667/K$7</f>
        <v>#DIV/0!</v>
      </c>
      <c r="L247" s="116" t="e">
        <f>Seilareal/Lwl/Lwl/L$7</f>
        <v>#DIV/0!</v>
      </c>
      <c r="M247" s="92" t="e">
        <f>RiggF</f>
        <v>#DIV/0!</v>
      </c>
      <c r="N247" s="242" t="str">
        <f>StHfaktor</f>
        <v>-</v>
      </c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551"/>
      <c r="AH247" s="557">
        <f t="shared" ref="AH247:AI247" si="2283">AH246</f>
        <v>0</v>
      </c>
      <c r="AI247" s="557">
        <f t="shared" si="2283"/>
        <v>0</v>
      </c>
      <c r="AJ247" s="337">
        <f t="shared" si="2234"/>
        <v>0</v>
      </c>
      <c r="AK247" s="339"/>
      <c r="AL247" s="337">
        <f t="shared" si="2234"/>
        <v>0</v>
      </c>
      <c r="AM247" s="339"/>
      <c r="AN247" s="267">
        <f t="shared" ref="AN247" si="2284" xml:space="preserve"> AN246</f>
        <v>0</v>
      </c>
      <c r="AO247" s="45" t="e">
        <f>VLOOKUP(AN247,Skrogform!$1:$1048576,3,FALSE)</f>
        <v>#N/A</v>
      </c>
      <c r="AP247" s="64">
        <f t="shared" ref="AP247:AZ247" si="2285">AP246</f>
        <v>0</v>
      </c>
      <c r="AQ247" s="64">
        <f t="shared" si="2285"/>
        <v>0</v>
      </c>
      <c r="AR247" s="64">
        <f t="shared" si="2285"/>
        <v>0</v>
      </c>
      <c r="AS247" s="64">
        <f t="shared" si="2285"/>
        <v>0</v>
      </c>
      <c r="AT247" s="64">
        <f t="shared" ref="AT247" si="2286">AT246</f>
        <v>0</v>
      </c>
      <c r="AU247" s="64">
        <f t="shared" si="2285"/>
        <v>0</v>
      </c>
      <c r="AV247" s="64">
        <f t="shared" si="2285"/>
        <v>0</v>
      </c>
      <c r="AW247" s="64">
        <f t="shared" si="2285"/>
        <v>0</v>
      </c>
      <c r="AX247" s="256">
        <f>AX246</f>
        <v>0</v>
      </c>
      <c r="AY247" s="256">
        <f t="shared" si="2285"/>
        <v>0</v>
      </c>
      <c r="AZ247" s="256">
        <f t="shared" si="2285"/>
        <v>0</v>
      </c>
      <c r="BA247" s="256">
        <f t="shared" ref="BA247:BB247" si="2287">BA246</f>
        <v>0</v>
      </c>
      <c r="BB247" s="256">
        <f t="shared" si="2287"/>
        <v>0</v>
      </c>
      <c r="BC247" s="256"/>
      <c r="BD247" s="66"/>
      <c r="BE247" s="66"/>
      <c r="BF247" s="261"/>
      <c r="BG247" s="66"/>
      <c r="BH247" s="175"/>
      <c r="BI247" s="66"/>
      <c r="BJ247" s="66"/>
      <c r="BK247" s="65">
        <f t="shared" ref="BK247:BM247" si="2288" xml:space="preserve"> BK246</f>
        <v>0</v>
      </c>
      <c r="BL247" s="267">
        <f t="shared" si="2288"/>
        <v>0</v>
      </c>
      <c r="BM247" s="267">
        <f t="shared" si="2288"/>
        <v>0</v>
      </c>
      <c r="BN247" s="45">
        <f t="shared" si="2232"/>
        <v>1</v>
      </c>
      <c r="BO247" s="59"/>
      <c r="BP247" s="59"/>
      <c r="BR247" s="49">
        <f t="shared" si="2240"/>
        <v>0</v>
      </c>
      <c r="BS247" s="49">
        <f t="shared" si="2240"/>
        <v>0</v>
      </c>
      <c r="BT247" s="49">
        <f t="shared" si="2240"/>
        <v>0</v>
      </c>
      <c r="BU247" s="49">
        <f t="shared" si="2240"/>
        <v>0</v>
      </c>
      <c r="BV247" s="49">
        <f t="shared" si="2240"/>
        <v>0</v>
      </c>
      <c r="BW247" s="49">
        <f t="shared" si="2240"/>
        <v>0</v>
      </c>
      <c r="BX247" s="49">
        <f t="shared" si="2240"/>
        <v>0</v>
      </c>
      <c r="BY247" s="549">
        <f>IF(COUNT(Q247:U247)&gt;1,MINA(Q247:U247)*BY$9,0)</f>
        <v>0</v>
      </c>
      <c r="BZ247" s="85">
        <f t="shared" si="2241"/>
        <v>0</v>
      </c>
      <c r="CA247" s="85">
        <f t="shared" si="2241"/>
        <v>0</v>
      </c>
      <c r="CB247" s="85">
        <f t="shared" si="2241"/>
        <v>0</v>
      </c>
      <c r="CC247" s="85">
        <f t="shared" si="2241"/>
        <v>0</v>
      </c>
      <c r="CD247" s="85">
        <f t="shared" si="2241"/>
        <v>0</v>
      </c>
      <c r="CE247" s="85">
        <f>IF(AC247=0,0,AC247*CE$9)</f>
        <v>0</v>
      </c>
      <c r="CF247" s="85">
        <f t="shared" si="2242"/>
        <v>0</v>
      </c>
      <c r="CG247" s="85">
        <f t="shared" si="2242"/>
        <v>0</v>
      </c>
      <c r="CH247" s="85">
        <f t="shared" si="2243"/>
        <v>0</v>
      </c>
      <c r="CI247" s="85">
        <f t="shared" si="2243"/>
        <v>0</v>
      </c>
      <c r="CJ247" s="85">
        <f t="shared" si="2243"/>
        <v>0</v>
      </c>
      <c r="CK247" s="85">
        <f t="shared" si="2243"/>
        <v>0</v>
      </c>
      <c r="CL247" s="100">
        <f>SUM(BR247:CK247)</f>
        <v>0</v>
      </c>
      <c r="CM247" s="50"/>
      <c r="CN247" s="104">
        <f>J247</f>
        <v>0</v>
      </c>
      <c r="CO247" s="101" t="e">
        <f>CL247/CN247</f>
        <v>#DIV/0!</v>
      </c>
      <c r="CP247" s="51" t="e">
        <f>Seilareal/Lwl/Lwl</f>
        <v>#DIV/0!</v>
      </c>
      <c r="CQ247" s="116" t="e">
        <f>Seilareal/Depl^0.667/K$7</f>
        <v>#DIV/0!</v>
      </c>
      <c r="CR247" s="51" t="e">
        <f>Seilareal/Lwl/Lwl/SApRS1</f>
        <v>#DIV/0!</v>
      </c>
      <c r="CS247" s="204"/>
      <c r="CT247" s="204" t="e">
        <f>(ROUND(TBF/CT$6,3)*CT$6)*CT$4</f>
        <v>#VALUE!</v>
      </c>
      <c r="CU247" s="107" t="str">
        <f t="shared" si="1041"/>
        <v>-</v>
      </c>
      <c r="CV247" s="62" t="str">
        <f t="shared" si="2119"/>
        <v>-</v>
      </c>
      <c r="CW247" s="62" t="str">
        <f t="shared" si="998"/>
        <v>-</v>
      </c>
      <c r="CX247" s="62" t="str">
        <f t="shared" si="2120"/>
        <v>-</v>
      </c>
      <c r="CY247" s="107" t="str">
        <f t="shared" si="999"/>
        <v>-</v>
      </c>
      <c r="CZ247" s="168" t="str">
        <f t="shared" si="2209"/>
        <v>-</v>
      </c>
      <c r="DA247" s="158"/>
      <c r="DB247" s="168" t="str">
        <f t="shared" ref="DB247:DB280" si="2289">IF(DC247=0,"-",IF(CT247="TBF","-",DB$7*DC247))</f>
        <v>-</v>
      </c>
      <c r="DC247" s="160"/>
      <c r="DD247" s="190" t="s">
        <v>134</v>
      </c>
      <c r="DE247" s="62" t="s">
        <v>102</v>
      </c>
      <c r="DF247" s="62" t="s">
        <v>102</v>
      </c>
      <c r="DG247" s="62" t="s">
        <v>102</v>
      </c>
      <c r="DH247" s="150" t="s">
        <v>102</v>
      </c>
      <c r="DI247" s="62" t="str">
        <f t="shared" si="2007"/>
        <v>-</v>
      </c>
      <c r="DJ247" s="47">
        <f t="shared" si="2008"/>
        <v>0</v>
      </c>
      <c r="DK247" s="48">
        <f t="shared" si="2009"/>
        <v>0</v>
      </c>
      <c r="DM247" s="107" t="str">
        <f t="shared" si="2027"/>
        <v>-</v>
      </c>
      <c r="DN247" s="141" t="str">
        <f t="shared" si="2156"/>
        <v>-</v>
      </c>
      <c r="DO247" s="107">
        <f t="shared" si="2010"/>
        <v>4.4721422970213194</v>
      </c>
      <c r="DP247" s="133">
        <f t="shared" si="2244"/>
        <v>2.8007205089466289</v>
      </c>
      <c r="DQ247" s="133">
        <f t="shared" si="2245"/>
        <v>0</v>
      </c>
      <c r="DR247" s="133">
        <f t="shared" si="2246"/>
        <v>0</v>
      </c>
      <c r="DS247" s="133">
        <f t="shared" si="2247"/>
        <v>1.67142178807469</v>
      </c>
      <c r="DT247" s="107">
        <f t="shared" si="2248"/>
        <v>1.6657993231786119</v>
      </c>
      <c r="DU247" s="133">
        <f t="shared" si="2249"/>
        <v>1.9943100880436639</v>
      </c>
      <c r="DW247" s="107" t="str">
        <f t="shared" si="417"/>
        <v>-</v>
      </c>
      <c r="DX247" s="107" t="str">
        <f t="shared" si="2011"/>
        <v>-</v>
      </c>
      <c r="DZ247" s="107" t="str">
        <f t="shared" si="2012"/>
        <v>-</v>
      </c>
      <c r="EA247" s="122" t="str">
        <f t="shared" si="2157"/>
        <v>-</v>
      </c>
      <c r="EB247" s="107" t="str">
        <f t="shared" si="2013"/>
        <v>-</v>
      </c>
      <c r="EC247" s="122" t="str">
        <f t="shared" si="2158"/>
        <v>-</v>
      </c>
      <c r="ED247" s="107">
        <f t="shared" si="67"/>
        <v>2.8005570152049462</v>
      </c>
      <c r="EE247" s="107">
        <f t="shared" si="68"/>
        <v>1.9745464681619453</v>
      </c>
      <c r="EF247" s="107">
        <f t="shared" si="2250"/>
        <v>1.51284121476291</v>
      </c>
      <c r="EH247" s="107" t="str">
        <f t="shared" si="2014"/>
        <v>-</v>
      </c>
      <c r="EJ247" s="107">
        <f t="shared" si="69"/>
        <v>2.8005570152049462</v>
      </c>
      <c r="EK247" s="107">
        <f t="shared" si="2251"/>
        <v>1.9746673863959516</v>
      </c>
      <c r="EL247" s="107">
        <f t="shared" si="2252"/>
        <v>1.7366027764452827</v>
      </c>
      <c r="EM247" s="107" t="str">
        <f t="shared" si="2015"/>
        <v>-</v>
      </c>
      <c r="EO247" s="107">
        <f t="shared" si="2253"/>
        <v>4.2367980768954405</v>
      </c>
      <c r="EP247" s="107">
        <f t="shared" si="70"/>
        <v>2.8005570152049462</v>
      </c>
      <c r="EQ247" s="107">
        <f t="shared" si="2254"/>
        <v>1.51284121476291</v>
      </c>
      <c r="ER247" s="107">
        <f t="shared" si="2255"/>
        <v>1.6657993231786119</v>
      </c>
      <c r="ES247" s="107" t="str">
        <f t="shared" si="2028"/>
        <v>-</v>
      </c>
      <c r="EU247" s="107">
        <f>IF(SeilBeregnet=0,EU246,(EV:EV*EW:EW)^EU$3)</f>
        <v>1.6453184844631783</v>
      </c>
      <c r="EV247" s="107">
        <f t="shared" si="71"/>
        <v>2.8005570152049462</v>
      </c>
      <c r="EW247" s="107">
        <f t="shared" si="2256"/>
        <v>0.96661946199231552</v>
      </c>
      <c r="EX247" s="107">
        <f t="shared" si="2257"/>
        <v>1.6833672989163568</v>
      </c>
      <c r="EY247" s="107" t="str">
        <f t="shared" si="2029"/>
        <v>-</v>
      </c>
      <c r="FA247" s="107">
        <f t="shared" si="2030"/>
        <v>1.6453665097931325</v>
      </c>
      <c r="FB247" s="107">
        <f t="shared" si="72"/>
        <v>2.8007205089466289</v>
      </c>
      <c r="FC247" s="107">
        <f t="shared" si="2258"/>
        <v>0.96661946199231552</v>
      </c>
      <c r="FD247" s="107">
        <f t="shared" si="2259"/>
        <v>1.6833672989163568</v>
      </c>
      <c r="FE247" s="107" t="str">
        <f t="shared" si="2031"/>
        <v>-</v>
      </c>
      <c r="FF247" s="141" t="str">
        <f t="shared" si="1794"/>
        <v>-</v>
      </c>
      <c r="FG247" s="107">
        <f t="shared" si="2032"/>
        <v>2.616862125875079</v>
      </c>
      <c r="FH247" s="133">
        <f t="shared" si="2260"/>
        <v>2.8007205089466289</v>
      </c>
      <c r="FI247" s="133">
        <f t="shared" si="2261"/>
        <v>0.93435318430231351</v>
      </c>
      <c r="FJ247" s="107">
        <f t="shared" si="2262"/>
        <v>0.94662699765472258</v>
      </c>
      <c r="FK247" s="107" t="str">
        <f t="shared" si="2033"/>
        <v>-</v>
      </c>
      <c r="FL247" s="141" t="str">
        <f t="shared" si="1795"/>
        <v>-</v>
      </c>
      <c r="FM247" s="107">
        <f t="shared" si="2034"/>
        <v>4.6678875040851562</v>
      </c>
      <c r="FN247" s="133">
        <f t="shared" si="2263"/>
        <v>2.8007205089466289</v>
      </c>
      <c r="FO247" s="133">
        <f t="shared" si="2264"/>
        <v>0.69574520706383758</v>
      </c>
      <c r="FP247" s="133">
        <f t="shared" si="2265"/>
        <v>1.67142178807469</v>
      </c>
      <c r="FQ247" s="107">
        <f t="shared" si="2266"/>
        <v>1.6657993231786119</v>
      </c>
      <c r="FR247" s="107" t="str">
        <f t="shared" si="2035"/>
        <v>-</v>
      </c>
      <c r="FS247" s="141" t="str">
        <f t="shared" si="1796"/>
        <v>-</v>
      </c>
      <c r="FT247" s="107">
        <f t="shared" si="2036"/>
        <v>4.6811852809610306</v>
      </c>
      <c r="FU247" s="133">
        <f t="shared" si="2267"/>
        <v>2.8007205089466289</v>
      </c>
      <c r="FV247" s="133">
        <f t="shared" si="2268"/>
        <v>1.67142178807469</v>
      </c>
      <c r="FW247" s="107">
        <f t="shared" si="2269"/>
        <v>1.6657993231786119</v>
      </c>
      <c r="FY247">
        <v>0.95</v>
      </c>
      <c r="FZ247" s="62" t="str">
        <f t="shared" si="2074"/>
        <v>-</v>
      </c>
      <c r="GA247" s="62">
        <f t="shared" si="2075"/>
        <v>2</v>
      </c>
      <c r="GB247" s="107" t="str">
        <f t="shared" si="1270"/>
        <v>-</v>
      </c>
      <c r="GC247" s="440"/>
      <c r="GD247" s="17"/>
      <c r="GE247" s="442"/>
      <c r="GF247" s="462"/>
      <c r="GG247" s="17"/>
      <c r="GH247" s="17"/>
      <c r="GI247" s="17"/>
      <c r="GJ247" s="17"/>
      <c r="GL247" s="17"/>
      <c r="GM247" s="442"/>
      <c r="GN247" s="8"/>
      <c r="GO247" s="8"/>
      <c r="GP247" s="8"/>
      <c r="GQ247" s="8"/>
      <c r="GS247" s="17"/>
      <c r="GT247" s="17"/>
      <c r="GU247" s="17"/>
      <c r="GV247" s="629"/>
      <c r="GW247" s="17"/>
      <c r="GX247" s="17"/>
      <c r="GY247" s="17"/>
      <c r="GZ247" s="17"/>
    </row>
    <row r="248" spans="1:208" ht="15.6" x14ac:dyDescent="0.3">
      <c r="A248" s="60"/>
      <c r="B248" s="218"/>
      <c r="G248" s="39"/>
      <c r="H248" s="204"/>
      <c r="I248" s="109"/>
      <c r="J248" s="223"/>
      <c r="K248" s="116"/>
      <c r="L248" s="116"/>
      <c r="M248" s="92"/>
      <c r="N248" s="242"/>
      <c r="O248" s="146"/>
      <c r="P248" s="146"/>
      <c r="Q248" s="146"/>
      <c r="R248" s="146"/>
      <c r="S248" s="147"/>
      <c r="T248" s="146"/>
      <c r="U248" s="147"/>
      <c r="V248" s="147"/>
      <c r="W248" s="147"/>
      <c r="X248" s="145"/>
      <c r="Y248" s="85"/>
      <c r="Z248" s="85"/>
      <c r="AA248" s="146"/>
      <c r="AB248" s="146"/>
      <c r="AC248" s="85"/>
      <c r="AD248" s="146"/>
      <c r="AE248" s="146"/>
      <c r="AF248" s="146"/>
      <c r="AG248" s="85"/>
      <c r="AH248" s="555"/>
      <c r="AI248" s="555"/>
      <c r="AJ248" s="265"/>
      <c r="AK248" s="340"/>
      <c r="AL248" s="265"/>
      <c r="AM248" s="340"/>
      <c r="AN248" s="265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66"/>
      <c r="BE248" s="66"/>
      <c r="BF248" s="261"/>
      <c r="BG248" s="66"/>
      <c r="BH248" s="175"/>
      <c r="BI248" s="66"/>
      <c r="BJ248" s="66"/>
      <c r="BK248" s="42"/>
      <c r="BL248" s="265"/>
      <c r="BM248" s="265"/>
      <c r="BN248" s="50"/>
      <c r="BO248" s="10"/>
      <c r="BP248" s="10"/>
      <c r="BR248" s="111"/>
      <c r="BS248" s="111"/>
      <c r="BT248" s="111"/>
      <c r="BU248" s="111"/>
      <c r="BV248" s="111"/>
      <c r="BW248" s="111"/>
      <c r="BX248" s="111"/>
      <c r="BY248" s="549"/>
      <c r="BZ248" s="110"/>
      <c r="CA248" s="110"/>
      <c r="CB248" s="110"/>
      <c r="CC248" s="110"/>
      <c r="CD248" s="110"/>
      <c r="CE248" s="110"/>
      <c r="CF248" s="110"/>
      <c r="CG248" s="110"/>
      <c r="CH248" s="110"/>
      <c r="CI248" s="110"/>
      <c r="CJ248" s="110"/>
      <c r="CK248" s="110"/>
      <c r="CL248" s="100"/>
      <c r="CM248" s="50"/>
      <c r="CN248" s="112"/>
      <c r="CO248" s="113"/>
      <c r="CP248" s="114"/>
      <c r="CQ248" s="116"/>
      <c r="CR248" s="114"/>
      <c r="CS248" s="204"/>
      <c r="CT248" s="204"/>
      <c r="CU248" s="107" t="str">
        <f t="shared" si="1041"/>
        <v>-</v>
      </c>
      <c r="CV248" s="62" t="str">
        <f t="shared" si="2119"/>
        <v>-</v>
      </c>
      <c r="CW248" s="62" t="str">
        <f t="shared" si="998"/>
        <v>-</v>
      </c>
      <c r="CX248" s="62" t="str">
        <f t="shared" si="2120"/>
        <v>-</v>
      </c>
      <c r="CY248" s="107" t="str">
        <f t="shared" si="999"/>
        <v>-</v>
      </c>
      <c r="CZ248" s="168" t="str">
        <f t="shared" si="2209"/>
        <v>-</v>
      </c>
      <c r="DA248" s="159"/>
      <c r="DB248" s="168" t="str">
        <f t="shared" si="2289"/>
        <v>-</v>
      </c>
      <c r="DC248" s="161"/>
      <c r="DD248" s="190" t="s">
        <v>134</v>
      </c>
      <c r="DE248" s="179"/>
      <c r="DF248" s="179"/>
      <c r="DG248" s="179"/>
      <c r="DH248" s="151"/>
      <c r="DI248" s="62" t="str">
        <f t="shared" si="2007"/>
        <v>-</v>
      </c>
      <c r="DJ248" s="47"/>
      <c r="DK248" s="48"/>
      <c r="DM248" s="107" t="str">
        <f t="shared" si="2027"/>
        <v>-</v>
      </c>
      <c r="DN248" s="141" t="str">
        <f t="shared" si="58"/>
        <v>-</v>
      </c>
      <c r="DO248" s="107">
        <f t="shared" si="2010"/>
        <v>4.4721422970213194</v>
      </c>
      <c r="DP248" s="133">
        <f t="shared" si="2244"/>
        <v>2.8007205089466289</v>
      </c>
      <c r="DQ248" s="133">
        <f t="shared" si="2245"/>
        <v>0</v>
      </c>
      <c r="DR248" s="133">
        <f t="shared" si="2246"/>
        <v>0</v>
      </c>
      <c r="DS248" s="133">
        <f t="shared" si="2247"/>
        <v>1.67142178807469</v>
      </c>
      <c r="DT248" s="107">
        <f t="shared" si="2248"/>
        <v>1.6657993231786119</v>
      </c>
      <c r="DU248" s="133">
        <f t="shared" si="2249"/>
        <v>1.9943100880436639</v>
      </c>
      <c r="DW248" s="107"/>
      <c r="DX248" s="107" t="str">
        <f t="shared" si="2011"/>
        <v>-</v>
      </c>
      <c r="DZ248" s="107" t="str">
        <f t="shared" si="2012"/>
        <v>-</v>
      </c>
      <c r="EA248" s="122" t="str">
        <f t="shared" si="65"/>
        <v>-</v>
      </c>
      <c r="EB248" s="107" t="str">
        <f t="shared" si="2013"/>
        <v>-</v>
      </c>
      <c r="EC248" s="122" t="str">
        <f t="shared" si="66"/>
        <v>-</v>
      </c>
      <c r="ED248" s="107">
        <f t="shared" si="67"/>
        <v>2.8005570152049462</v>
      </c>
      <c r="EE248" s="107">
        <f t="shared" si="68"/>
        <v>1.9745464681619453</v>
      </c>
      <c r="EF248" s="107">
        <f t="shared" si="2250"/>
        <v>1.51284121476291</v>
      </c>
      <c r="EH248" s="107" t="str">
        <f t="shared" si="2014"/>
        <v>-</v>
      </c>
      <c r="EJ248" s="107">
        <f t="shared" si="69"/>
        <v>2.8005570152049462</v>
      </c>
      <c r="EK248" s="107">
        <f t="shared" si="2251"/>
        <v>1.9746673863959516</v>
      </c>
      <c r="EL248" s="107">
        <f t="shared" si="2252"/>
        <v>1.7366027764452827</v>
      </c>
      <c r="EM248" s="107" t="str">
        <f t="shared" si="2015"/>
        <v>-</v>
      </c>
      <c r="EO248" s="107">
        <f t="shared" si="2253"/>
        <v>4.2367980768954405</v>
      </c>
      <c r="EP248" s="107">
        <f t="shared" si="70"/>
        <v>2.8005570152049462</v>
      </c>
      <c r="EQ248" s="107">
        <f t="shared" si="2254"/>
        <v>1.51284121476291</v>
      </c>
      <c r="ER248" s="107">
        <f t="shared" si="2255"/>
        <v>1.6657993231786119</v>
      </c>
      <c r="ES248" s="107" t="str">
        <f t="shared" si="2028"/>
        <v>-</v>
      </c>
      <c r="EU248" s="107">
        <f>IF(SeilBeregnet=0,EU247,(EV:EV*EW:EW)^EU$3)</f>
        <v>1.6453184844631783</v>
      </c>
      <c r="EV248" s="107">
        <f t="shared" si="71"/>
        <v>2.8005570152049462</v>
      </c>
      <c r="EW248" s="107">
        <f t="shared" si="2256"/>
        <v>0.96661946199231552</v>
      </c>
      <c r="EX248" s="107">
        <f t="shared" si="2257"/>
        <v>1.6833672989163568</v>
      </c>
      <c r="EY248" s="107" t="str">
        <f t="shared" si="2029"/>
        <v>-</v>
      </c>
      <c r="FA248" s="107">
        <f t="shared" si="2030"/>
        <v>1.6453665097931325</v>
      </c>
      <c r="FB248" s="107">
        <f t="shared" si="72"/>
        <v>2.8007205089466289</v>
      </c>
      <c r="FC248" s="107">
        <f t="shared" si="2258"/>
        <v>0.96661946199231552</v>
      </c>
      <c r="FD248" s="107">
        <f t="shared" si="2259"/>
        <v>1.6833672989163568</v>
      </c>
      <c r="FE248" s="107" t="str">
        <f t="shared" si="2031"/>
        <v>-</v>
      </c>
      <c r="FF248" s="141" t="str">
        <f t="shared" si="1794"/>
        <v>-</v>
      </c>
      <c r="FG248" s="107">
        <f t="shared" si="2032"/>
        <v>2.616862125875079</v>
      </c>
      <c r="FH248" s="133">
        <f t="shared" si="2260"/>
        <v>2.8007205089466289</v>
      </c>
      <c r="FI248" s="133">
        <f t="shared" si="2261"/>
        <v>0.93435318430231351</v>
      </c>
      <c r="FJ248" s="107">
        <f t="shared" si="2262"/>
        <v>0.94662699765472258</v>
      </c>
      <c r="FK248" s="107" t="str">
        <f t="shared" si="2033"/>
        <v>-</v>
      </c>
      <c r="FL248" s="141" t="str">
        <f t="shared" si="1795"/>
        <v>-</v>
      </c>
      <c r="FM248" s="107">
        <f t="shared" si="2034"/>
        <v>4.6678875040851562</v>
      </c>
      <c r="FN248" s="133">
        <f t="shared" si="2263"/>
        <v>2.8007205089466289</v>
      </c>
      <c r="FO248" s="133">
        <f t="shared" si="2264"/>
        <v>0.69574520706383758</v>
      </c>
      <c r="FP248" s="133">
        <f t="shared" si="2265"/>
        <v>1.67142178807469</v>
      </c>
      <c r="FQ248" s="107">
        <f t="shared" si="2266"/>
        <v>1.6657993231786119</v>
      </c>
      <c r="FR248" s="107" t="str">
        <f t="shared" si="2035"/>
        <v>-</v>
      </c>
      <c r="FS248" s="141" t="str">
        <f t="shared" si="1796"/>
        <v>-</v>
      </c>
      <c r="FT248" s="107">
        <f t="shared" si="2036"/>
        <v>4.6811852809610306</v>
      </c>
      <c r="FU248" s="133">
        <f t="shared" si="2267"/>
        <v>2.8007205089466289</v>
      </c>
      <c r="FV248" s="133">
        <f t="shared" si="2268"/>
        <v>1.67142178807469</v>
      </c>
      <c r="FW248" s="107">
        <f t="shared" si="2269"/>
        <v>1.6657993231786119</v>
      </c>
      <c r="FY248">
        <v>0.95</v>
      </c>
      <c r="FZ248" s="62" t="str">
        <f t="shared" si="2074"/>
        <v>-</v>
      </c>
      <c r="GA248" s="62">
        <f t="shared" si="2075"/>
        <v>2</v>
      </c>
      <c r="GB248" s="107" t="str">
        <f t="shared" si="1270"/>
        <v>-</v>
      </c>
    </row>
    <row r="249" spans="1:208" ht="17.399999999999999" x14ac:dyDescent="0.3">
      <c r="A249" s="115" t="s">
        <v>550</v>
      </c>
      <c r="B249" s="97"/>
      <c r="C249" s="97"/>
      <c r="D249" s="97"/>
      <c r="E249" s="97"/>
      <c r="F249" s="97"/>
      <c r="G249" s="97"/>
      <c r="H249" s="205"/>
      <c r="I249" s="97"/>
      <c r="J249" s="224"/>
      <c r="K249" s="224"/>
      <c r="L249" s="224"/>
      <c r="M249" s="224"/>
      <c r="N249" s="243"/>
      <c r="O249" s="224"/>
      <c r="P249" s="224"/>
      <c r="Q249" s="224"/>
      <c r="R249" s="224"/>
      <c r="S249" s="224"/>
      <c r="T249" s="245" t="s">
        <v>129</v>
      </c>
      <c r="U249" s="246"/>
      <c r="V249" s="246"/>
      <c r="W249" s="246"/>
      <c r="X249" s="245"/>
      <c r="Y249" s="177">
        <f>BmStor-BmStor/6</f>
        <v>0</v>
      </c>
      <c r="Z249" s="177">
        <f>BmStor-BmStor/6*1.9</f>
        <v>0</v>
      </c>
      <c r="AA249" s="224"/>
      <c r="AB249" s="224"/>
      <c r="AC249" s="224"/>
      <c r="AD249" s="224"/>
      <c r="AE249" s="224"/>
      <c r="AF249" s="224"/>
      <c r="AG249" s="224"/>
      <c r="AH249" s="556"/>
      <c r="AI249" s="556"/>
      <c r="AJ249" s="269"/>
      <c r="AK249" s="341"/>
      <c r="AL249" s="269"/>
      <c r="AM249" s="341"/>
      <c r="AN249" s="269"/>
      <c r="AO249" s="97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69"/>
      <c r="BM249" s="269"/>
      <c r="BN249" s="97"/>
      <c r="BO249" s="97"/>
      <c r="BP249" s="97"/>
      <c r="BQ249" s="60"/>
      <c r="BR249" s="97"/>
      <c r="BS249" s="97"/>
      <c r="BT249" s="97"/>
      <c r="BU249" s="97"/>
      <c r="BV249" s="97"/>
      <c r="BW249" s="97"/>
      <c r="BX249" s="97"/>
      <c r="BY249" s="549"/>
      <c r="BZ249" s="97"/>
      <c r="CA249" s="97"/>
      <c r="CB249" s="97"/>
      <c r="CC249" s="97"/>
      <c r="CD249" s="97"/>
      <c r="CE249" s="97"/>
      <c r="CF249" s="97"/>
      <c r="CG249" s="97"/>
      <c r="CH249" s="97"/>
      <c r="CI249" s="97"/>
      <c r="CJ249" s="97"/>
      <c r="CK249" s="97"/>
      <c r="CL249" s="102"/>
      <c r="CM249" s="97"/>
      <c r="CN249" s="105"/>
      <c r="CO249" s="103"/>
      <c r="CP249" s="97"/>
      <c r="CQ249" s="224"/>
      <c r="CR249" s="97"/>
      <c r="CS249" s="205"/>
      <c r="CT249" s="205"/>
      <c r="CU249" s="107" t="str">
        <f t="shared" si="1041"/>
        <v>-</v>
      </c>
      <c r="CV249" s="62" t="str">
        <f t="shared" si="2119"/>
        <v>-</v>
      </c>
      <c r="CW249" s="62" t="str">
        <f t="shared" si="998"/>
        <v>-</v>
      </c>
      <c r="CX249" s="62" t="str">
        <f t="shared" si="2120"/>
        <v>-</v>
      </c>
      <c r="CY249" s="107" t="str">
        <f t="shared" si="999"/>
        <v>-</v>
      </c>
      <c r="CZ249" s="168" t="str">
        <f t="shared" si="2209"/>
        <v>-</v>
      </c>
      <c r="DA249" s="162"/>
      <c r="DB249" s="168" t="str">
        <f t="shared" si="2289"/>
        <v>-</v>
      </c>
      <c r="DC249" s="162"/>
      <c r="DD249" s="162"/>
      <c r="DE249" s="162"/>
      <c r="DF249" s="162"/>
      <c r="DG249" s="162"/>
      <c r="DH249" s="162"/>
      <c r="DI249" s="162"/>
      <c r="DJ249" s="162"/>
      <c r="DK249" s="162"/>
      <c r="DL249" s="162"/>
      <c r="DM249" s="162"/>
      <c r="DN249" s="162"/>
      <c r="DO249" s="162"/>
      <c r="DP249" s="162"/>
      <c r="DQ249" s="162"/>
      <c r="DR249" s="162"/>
      <c r="DS249" s="162"/>
      <c r="DT249" s="162"/>
      <c r="DU249" s="162"/>
      <c r="DV249" s="162"/>
      <c r="DW249" s="162"/>
      <c r="DX249" s="162"/>
      <c r="DY249" s="162"/>
      <c r="DZ249" s="162"/>
      <c r="EA249" s="162"/>
      <c r="EB249" s="162"/>
      <c r="EC249" s="162"/>
      <c r="ED249" s="162"/>
      <c r="EE249" s="162"/>
      <c r="EF249" s="162"/>
      <c r="EG249" s="162"/>
      <c r="EH249" s="162"/>
      <c r="EI249" s="162"/>
      <c r="EJ249" s="162"/>
      <c r="EK249" s="162"/>
      <c r="EL249" s="162"/>
      <c r="EM249" s="162"/>
      <c r="EN249" s="162"/>
      <c r="EO249" s="162"/>
      <c r="EP249" s="162"/>
      <c r="EQ249" s="162"/>
      <c r="ER249" s="162"/>
      <c r="ES249" s="162"/>
      <c r="ET249" s="162"/>
      <c r="EU249" s="162"/>
      <c r="EV249" s="162"/>
      <c r="EW249" s="162"/>
      <c r="EX249" s="162"/>
      <c r="EY249" s="162"/>
      <c r="EZ249" s="162"/>
      <c r="FA249" s="162"/>
      <c r="FB249" s="162"/>
      <c r="FC249" s="162"/>
      <c r="FD249" s="162"/>
      <c r="FE249" s="162"/>
      <c r="FF249" s="162"/>
      <c r="FG249" s="162"/>
      <c r="FH249" s="162"/>
      <c r="FI249" s="162"/>
      <c r="FJ249" s="162"/>
      <c r="FK249" s="162"/>
      <c r="FL249" s="162"/>
      <c r="FM249" s="162"/>
      <c r="FN249" s="162"/>
      <c r="FO249" s="162"/>
      <c r="FP249" s="162"/>
      <c r="FQ249" s="162"/>
      <c r="FR249" s="162"/>
      <c r="FS249" s="162"/>
      <c r="FT249" s="162"/>
      <c r="FU249" s="162"/>
      <c r="FV249" s="162"/>
      <c r="FW249" s="162"/>
      <c r="FX249" s="521"/>
      <c r="FY249" s="162"/>
      <c r="FZ249" s="62" t="str">
        <f t="shared" si="2074"/>
        <v>-</v>
      </c>
      <c r="GA249" s="62">
        <f t="shared" si="2075"/>
        <v>2</v>
      </c>
      <c r="GB249" s="107" t="str">
        <f t="shared" si="1270"/>
        <v>-</v>
      </c>
      <c r="GC249" s="97"/>
      <c r="GD249" s="97"/>
      <c r="GE249" s="444"/>
      <c r="GF249" s="97"/>
      <c r="GG249" s="438"/>
      <c r="GH249" s="438"/>
      <c r="GI249" s="438"/>
      <c r="GJ249" s="438"/>
      <c r="GL249" s="97"/>
      <c r="GM249" s="444"/>
      <c r="GN249" s="97"/>
      <c r="GO249" s="97"/>
      <c r="GP249" s="97"/>
      <c r="GQ249" s="97"/>
      <c r="GS249" s="438"/>
      <c r="GT249" s="438"/>
      <c r="GU249" s="438"/>
      <c r="GV249" s="205"/>
      <c r="GW249" s="438"/>
      <c r="GX249" s="438"/>
      <c r="GY249" s="438"/>
      <c r="GZ249" s="438"/>
    </row>
    <row r="250" spans="1:208" ht="15.6" x14ac:dyDescent="0.3">
      <c r="A250" s="52" t="s">
        <v>73</v>
      </c>
      <c r="B250" s="218">
        <f t="shared" ref="B250" si="2290">Loa/0.3048</f>
        <v>39.763779527559052</v>
      </c>
      <c r="C250" s="53" t="s">
        <v>38</v>
      </c>
      <c r="D250" s="53"/>
      <c r="E250" s="53"/>
      <c r="F250" s="53"/>
      <c r="G250" s="54"/>
      <c r="H250" s="112">
        <f>J251</f>
        <v>111.3</v>
      </c>
      <c r="I250" s="601">
        <f>H251/100</f>
        <v>1.2749999999999999</v>
      </c>
      <c r="J250" s="651" t="str">
        <f>IF(DC251=0,"-",DC251)</f>
        <v>-</v>
      </c>
      <c r="K250" s="123" t="str">
        <f>A250</f>
        <v>Vanadis</v>
      </c>
      <c r="L250" s="116"/>
      <c r="M250" s="116"/>
      <c r="N250" s="92"/>
      <c r="O250" s="165"/>
      <c r="P250" s="165"/>
      <c r="Q250" s="165">
        <v>63.8</v>
      </c>
      <c r="R250" s="165">
        <v>25.7</v>
      </c>
      <c r="S250" s="165"/>
      <c r="T250" s="165"/>
      <c r="U250" s="165">
        <v>18</v>
      </c>
      <c r="V250" s="560"/>
      <c r="W250" s="560"/>
      <c r="X250" s="165"/>
      <c r="Y250" s="165"/>
      <c r="Z250" s="165"/>
      <c r="AA250" s="165"/>
      <c r="AB250" s="165"/>
      <c r="AC250" s="165"/>
      <c r="AD250" s="165"/>
      <c r="AE250" s="165">
        <v>32.799999999999997</v>
      </c>
      <c r="AF250" s="165"/>
      <c r="AG250" s="552">
        <v>14.7</v>
      </c>
      <c r="AH250" s="244">
        <v>13.4</v>
      </c>
      <c r="AI250" s="244">
        <v>13.4</v>
      </c>
      <c r="AJ250" s="554"/>
      <c r="AK250" s="339"/>
      <c r="AL250" s="268"/>
      <c r="AM250" s="339"/>
      <c r="AN250" s="268" t="s">
        <v>203</v>
      </c>
      <c r="AO250" s="45">
        <f>VLOOKUP(AN250,Skrogform!$1:$1048576,3,FALSE)</f>
        <v>0.97</v>
      </c>
      <c r="AP250" s="55">
        <v>12.12</v>
      </c>
      <c r="AQ250" s="55">
        <v>10.4</v>
      </c>
      <c r="AR250" s="55">
        <v>3.91</v>
      </c>
      <c r="AS250" s="55">
        <v>2.15</v>
      </c>
      <c r="AT250" s="637">
        <f>AU250</f>
        <v>19</v>
      </c>
      <c r="AU250" s="55">
        <v>19</v>
      </c>
      <c r="AV250" s="55">
        <v>5.5</v>
      </c>
      <c r="AW250" s="55">
        <v>2</v>
      </c>
      <c r="AX250" s="253"/>
      <c r="AY250" s="253">
        <v>50</v>
      </c>
      <c r="AZ250" s="253">
        <v>400</v>
      </c>
      <c r="BA250" s="253"/>
      <c r="BB250" s="253"/>
      <c r="BC250" s="244">
        <f>Depl+Diesel/1000*0.84+Vann/1000</f>
        <v>19</v>
      </c>
      <c r="BD250" s="95">
        <f>Bredde/(Loa+Lwl)*2</f>
        <v>0.34724689165186501</v>
      </c>
      <c r="BE250" s="95">
        <f>(Kjøl+Ballast)/Depl</f>
        <v>0.39473684210526316</v>
      </c>
      <c r="BF250" s="260">
        <f>BF$7*((Depl-Kjøl-Ballast-VektMotor/1000-VektAnnet/1000)/Lwl/Lwl/Bredde)</f>
        <v>0.99051068898300043</v>
      </c>
      <c r="BG250" s="95">
        <f>BG$7*(Depl/Loa/Lwl/Lwl)</f>
        <v>1.0665925297688794</v>
      </c>
      <c r="BH250" s="174">
        <f>BH$7*(Depl/Loa/Lwl/Bredde)</f>
        <v>1.048642442630551</v>
      </c>
      <c r="BI250" s="95">
        <f>BI$7*Bredde/(Loa+Lwl)*2</f>
        <v>0.99058710059397626</v>
      </c>
      <c r="BJ250" s="95">
        <f>BJ$7*(Dypg/Lwl)</f>
        <v>1.1307274247491639</v>
      </c>
      <c r="BK250" s="56" t="s">
        <v>39</v>
      </c>
      <c r="BL250" s="268">
        <v>2</v>
      </c>
      <c r="BM250" s="268">
        <v>60</v>
      </c>
      <c r="BN250" s="45">
        <f t="shared" ref="BN250:BN280" si="2291">IF((BK250="Fast"),(1.006248-(0.06415*((BM250/100*SQRT(BL250))/POWER(AU250,(1/3))))),1)</f>
        <v>0.98584886704270647</v>
      </c>
      <c r="BO250" s="59"/>
      <c r="BP250" s="59"/>
      <c r="BR250" s="209"/>
      <c r="BS250" s="209"/>
      <c r="BT250" s="209" t="str">
        <f>$A250</f>
        <v>Vanadis</v>
      </c>
      <c r="BU250" s="10"/>
      <c r="BV250" s="10"/>
      <c r="BW250" s="10"/>
      <c r="BX250" s="10"/>
      <c r="BY250" s="549"/>
      <c r="BZ250" s="10"/>
      <c r="CA250" s="10"/>
      <c r="CB250" s="209" t="str">
        <f>$A250</f>
        <v>Vanadis</v>
      </c>
      <c r="CC250" s="10"/>
      <c r="CD250" s="10"/>
      <c r="CE250" s="10"/>
      <c r="CF250" s="10"/>
      <c r="CG250" s="10"/>
      <c r="CH250" s="10"/>
      <c r="CI250" s="10"/>
      <c r="CJ250" s="10"/>
      <c r="CK250" s="10"/>
      <c r="CL250" s="209"/>
      <c r="CM250" s="10"/>
      <c r="CN250" s="209" t="str">
        <f>$A250</f>
        <v>Vanadis</v>
      </c>
      <c r="CO250" s="207"/>
      <c r="CP250" s="207"/>
      <c r="CQ250" s="116"/>
      <c r="CR250" s="207"/>
      <c r="CS250" s="203"/>
      <c r="CT250" s="203" t="s">
        <v>23</v>
      </c>
      <c r="CU250" s="107" t="str">
        <f t="shared" si="1041"/>
        <v>-</v>
      </c>
      <c r="CV250" s="62" t="str">
        <f t="shared" si="2119"/>
        <v>-</v>
      </c>
      <c r="CW250" s="62" t="str">
        <f t="shared" si="998"/>
        <v>-</v>
      </c>
      <c r="CX250" s="62" t="str">
        <f t="shared" si="2120"/>
        <v>-</v>
      </c>
      <c r="CY250" s="107" t="str">
        <f t="shared" si="999"/>
        <v>-</v>
      </c>
      <c r="CZ250" s="168">
        <f t="shared" si="2209"/>
        <v>1.1847058823529411</v>
      </c>
      <c r="DA250" s="160">
        <v>0.95</v>
      </c>
      <c r="DB250" s="168" t="str">
        <f t="shared" si="2289"/>
        <v>-</v>
      </c>
      <c r="DC250" s="160"/>
      <c r="DD250" s="190" t="s">
        <v>134</v>
      </c>
      <c r="DE250" s="29" t="s">
        <v>23</v>
      </c>
      <c r="DF250" s="29" t="s">
        <v>23</v>
      </c>
      <c r="DG250" s="29" t="s">
        <v>23</v>
      </c>
      <c r="DH250" s="149">
        <v>2022</v>
      </c>
      <c r="DI250" s="62" t="str">
        <f t="shared" ref="DI250:DI283" si="2292">IF(SeilBeregnet=0,"-",((Dypg/(Lwl+DI$6-Bredde*DI$5))^(1/DI$4)*5)*DI$3*DI$7)</f>
        <v>-</v>
      </c>
      <c r="DJ250" s="47">
        <f t="shared" ref="DJ250:DJ280" si="2293">(Dypg/(Lwl+Bredde+DJ$8)*100)</f>
        <v>14.043109079033311</v>
      </c>
      <c r="DK250" s="48">
        <f t="shared" ref="DK250:DK280" si="2294">DJ$7*IF(DJ250&lt;DJ$5,-0.04,IF(DJ250&lt;DJ$5*1.1,-0.03,IF(DJ250&lt;DJ$5*1.2,-0.02,IF(DJ250&lt;DJ$5*1.3,-0.01,0))))</f>
        <v>0</v>
      </c>
      <c r="DM250" s="107" t="str">
        <f t="shared" ref="DM250:DM281" si="2295">IF(SeilBeregnet=0,"-",DM$7*(DO:DO+DM$6)*DT:DT*PropF+ErfaringsF+Dyp_F)</f>
        <v>-</v>
      </c>
      <c r="DN250" s="141" t="str">
        <f t="shared" ref="DN250:DN261" si="2296">IF($DY250=0,"-",(DM250-$DW250)*100)</f>
        <v>-</v>
      </c>
      <c r="DO250" s="107" t="e">
        <f t="shared" ref="DO250:DO286" si="2297">SUM(DP250:DS250)^DO$3+DO$7</f>
        <v>#REF!</v>
      </c>
      <c r="DP250" s="133" t="e">
        <f>IF(SeilBeregnet=0,#REF!,(SeilBeregnet^0.5/(Depl^0.3333))^DP$3*DP$7)</f>
        <v>#REF!</v>
      </c>
      <c r="DQ250" s="133" t="e">
        <f>IF(SeilBeregnet=0,#REF!,(SeilBeregnet^0.5/Lwl)^DQ$3*DQ$7)</f>
        <v>#REF!</v>
      </c>
      <c r="DR250" s="133" t="e">
        <f>IF(SeilBeregnet=0,#REF!,(0.1*Loa/Depl^0.3333)^DR$3*DR$7)</f>
        <v>#REF!</v>
      </c>
      <c r="DS250" s="133" t="e">
        <f>IF(SeilBeregnet=0,#REF!,((Loa)/Bredde)^DS$3*DS$7)</f>
        <v>#REF!</v>
      </c>
      <c r="DT250" s="107" t="e">
        <f>IF(SeilBeregnet=0,#REF!,(Lwl)^DT$3)</f>
        <v>#REF!</v>
      </c>
      <c r="DU250" s="133" t="e">
        <f>IF(SeilBeregnet=0,#REF!,(Dypg/Loa)^DU$3*5*DU$7)</f>
        <v>#REF!</v>
      </c>
      <c r="DW250" s="107" t="str">
        <f t="shared" si="1241"/>
        <v>-</v>
      </c>
      <c r="DX250" s="107" t="str">
        <f t="shared" ref="DX250:DX283" si="2298">IF(SeilBeregnet=0,"-",DX$7*(DX$4*SeilBeregnet^0.5/(Depl^0.33333*Bredde*Lwl)^0.3333*((Loa*0.03+Lwl*0.07)^0.33)*PropF+DX$6)+ErfaringsF+Dyp_F)</f>
        <v>-</v>
      </c>
      <c r="DZ250" s="107" t="str">
        <f t="shared" ref="DZ250:DZ283" si="2299">IF(SeilBeregnet=0,"-",DZ$7*(DZ$4*SeilBeregnet^0.5/(Depl^0.33333*Bredde*Lwl)^0.3333*Lwl^0.3333*((Loa+Lwl)/Bredde/6)^0.25*PropF+DZ$6)+ErfaringsF+Dyp_F)</f>
        <v>-</v>
      </c>
      <c r="EA250" s="122" t="str">
        <f t="shared" ref="EA250:EA261" si="2300">IF($DY250=0,"-",DZ250-$DW250)</f>
        <v>-</v>
      </c>
      <c r="EB250" s="107" t="str">
        <f t="shared" ref="EB250:EB288" si="2301">IF(SeilBeregnet=0,"-",EB$7*(EB$4*ED250*EE250*EF250*PropF+EB$6)+ErfaringsF+Dyp_F)</f>
        <v>-</v>
      </c>
      <c r="EC250" s="122" t="str">
        <f t="shared" ref="EC250:EC261" si="2302">IF($DY250=0,"-",EB250-$DW250)</f>
        <v>-</v>
      </c>
      <c r="ED250" s="107">
        <f>IF(SeilBeregnet=0,ED280,SeilBeregnet^0.5/Depl^0.33333)</f>
        <v>0</v>
      </c>
      <c r="EE250" s="107">
        <f>IF(SeilBeregnet=0,EE280,Lwl^0.3333)</f>
        <v>0</v>
      </c>
      <c r="EF250" s="107">
        <f>IF(SeilBeregnet=0,EF280,((Loa+Lwl)/Bredde)^EF$3)</f>
        <v>0</v>
      </c>
      <c r="EH250" s="107" t="str">
        <f t="shared" ref="EH250:EH288" si="2303">IF(SeilBeregnet=0,"-",EH$7*(EH$4*EJ250*EK250*EL250*PropF+EH$6)+ErfaringsF+Dyp_F)</f>
        <v>-</v>
      </c>
      <c r="EJ250" s="107">
        <f>IF(SeilBeregnet=0,EJ280,SeilBeregnet^0.5/Depl^0.33333)</f>
        <v>0</v>
      </c>
      <c r="EK250" s="107">
        <f>IF(SeilBeregnet=0,EK280,Lwl^EK$3)</f>
        <v>0</v>
      </c>
      <c r="EL250" s="107">
        <f>IF(SeilBeregnet=0,EL280,((Loa+Lwl)/Bredde)^EL$3)</f>
        <v>0</v>
      </c>
      <c r="EM250" s="107" t="str">
        <f t="shared" ref="EM250:EM288" si="2304">IF(SeilBeregnet=0,"-",EM$7*(EM$4*EO250+EM$6)*ER250*PropF+ErfaringsF+Dyp_F)</f>
        <v>-</v>
      </c>
      <c r="EO250" s="107">
        <f>IF(SeilBeregnet=0,EO280,(EP250*EQ250)^EO$3)</f>
        <v>0</v>
      </c>
      <c r="EP250" s="107">
        <f>IF(SeilBeregnet=0,EP280,SeilBeregnet^0.5/Depl^0.33333)</f>
        <v>0</v>
      </c>
      <c r="EQ250" s="107">
        <f>IF(SeilBeregnet=0,EQ280,((Loa+Lwl)/Bredde)^EQ$3)</f>
        <v>0</v>
      </c>
      <c r="ER250" s="107">
        <f>IF(SeilBeregnet=0,ER280,Lwl^ER$3)</f>
        <v>0</v>
      </c>
      <c r="ES250" s="107" t="str">
        <f t="shared" ref="ES250:ES281" si="2305">IF(SeilBeregnet=0,"-",ES$7*(ES$4*EU:EU+ES$6)*EX:EX*PropF+ErfaringsF+Dyp_F)</f>
        <v>-</v>
      </c>
      <c r="EU250" s="107">
        <f>IF(SeilBeregnet=0,EU280,(EV:EV*EW:EW)^EU$3)</f>
        <v>0</v>
      </c>
      <c r="EV250" s="107">
        <f>IF(SeilBeregnet=0,EV280,SeilBeregnet^0.5/Depl^0.33333)</f>
        <v>0</v>
      </c>
      <c r="EW250" s="107">
        <f>IF(SeilBeregnet=0,EW280,((Loa+Lwl)/Bredde/6)^EW$3)</f>
        <v>0</v>
      </c>
      <c r="EX250" s="107">
        <f>IF(SeilBeregnet=0,EX280,(Lwl*0.7+Loa*0.3)^EX$3)</f>
        <v>0</v>
      </c>
      <c r="EY250" s="107" t="str">
        <f t="shared" ref="EY250:EY281" si="2306">IF(SeilBeregnet=0,"-",EY$7*(FA:FA+EY$6)*FD:FD*PropF+ErfaringsF+Dyp_F)</f>
        <v>-</v>
      </c>
      <c r="FA250" s="107">
        <f t="shared" ref="FA250:FA281" si="2307">(FB:FB*FC:FC)^FA$3</f>
        <v>0</v>
      </c>
      <c r="FB250" s="107">
        <f>IF(SeilBeregnet=0,FB280,SeilBeregnet^0.5/Depl^0.3333)</f>
        <v>0</v>
      </c>
      <c r="FC250" s="107">
        <f>IF(SeilBeregnet=0,FC280,((Loa+Lwl)/Bredde/6)^FC$3)</f>
        <v>0</v>
      </c>
      <c r="FD250" s="107">
        <f>IF(SeilBeregnet=0,FD280,(Lwl*0.7+Loa*0.3)^FD$3)</f>
        <v>0</v>
      </c>
      <c r="FE250" s="107" t="str">
        <f t="shared" ref="FE250:FE281" si="2308">IF(SeilBeregnet=0,"-",FE$7*(FG:FG+FE$6)*FJ:FJ*PropF+ErfaringsF+Dyp_F)</f>
        <v>-</v>
      </c>
      <c r="FF250" s="141" t="str">
        <f t="shared" ref="FF250:FF260" si="2309">IF($DY250=0,"-",(FE250-$DW250)*100)</f>
        <v>-</v>
      </c>
      <c r="FG250" s="107">
        <f t="shared" ref="FG250:FG281" si="2310">(FH:FH*FI:FI)^FG$3</f>
        <v>0</v>
      </c>
      <c r="FH250" s="133">
        <f>IF(SeilBeregnet=0,FH280,(SeilBeregnet^0.5/(Depl^0.3333))^FH$3)</f>
        <v>0</v>
      </c>
      <c r="FI250" s="133">
        <f>IF(SeilBeregnet=0,FI280,((Loa+Lwl)/Bredde/6)^FI$3)</f>
        <v>0</v>
      </c>
      <c r="FJ250" s="107">
        <f>IF(SeilBeregnet=0,FJ280,(Lwl*0.07+Loa*0.03)^FJ$3)</f>
        <v>0</v>
      </c>
      <c r="FK250" s="107" t="str">
        <f t="shared" ref="FK250:FK281" si="2311">IF(SeilBeregnet=0,"-",FK$7*(FM:FM+FK$6)*FQ:FQ*PropF+ErfaringsF+Dyp_F)</f>
        <v>-</v>
      </c>
      <c r="FL250" s="141" t="str">
        <f t="shared" ref="FL250:FL260" si="2312">IF($DY250=0,"-",(FK250-$DW250)*100)</f>
        <v>-</v>
      </c>
      <c r="FM250" s="107">
        <f t="shared" ref="FM250:FM281" si="2313">(FN:FN+FO:FO+FP:FP)^FM$3+FM$7</f>
        <v>-0.5</v>
      </c>
      <c r="FN250" s="133">
        <f>IF(SeilBeregnet=0,FN280,(SeilBeregnet^0.5/(Depl^0.3333))^FN$3)</f>
        <v>0</v>
      </c>
      <c r="FO250" s="133">
        <f>IF(SeilBeregnet=0,FO280,(SeilBeregnet^0.5/Lwl*FO$7)^FO$3)</f>
        <v>0</v>
      </c>
      <c r="FP250" s="133">
        <f>IF(SeilBeregnet=0,FP280,((Loa)/Bredde)^FP$3*FP$7)</f>
        <v>0</v>
      </c>
      <c r="FQ250" s="107">
        <f>IF(SeilBeregnet=0,FQ280,(Lwl)^FQ$3)</f>
        <v>0</v>
      </c>
      <c r="FR250" s="107" t="str">
        <f t="shared" ref="FR250:FR281" si="2314">IF(SeilBeregnet=0,"-",FR$7*(FT:FT+FR$6)*FW:FW*PropF+ErfaringsF+Dyp_F)</f>
        <v>-</v>
      </c>
      <c r="FS250" s="141" t="str">
        <f t="shared" ref="FS250:FS260" si="2315">IF($DY250=0,"-",(FR250-$DW250)*100)</f>
        <v>-</v>
      </c>
      <c r="FT250" s="107">
        <f t="shared" ref="FT250:FT281" si="2316">(FU:FU*FV:FV)^FT$3</f>
        <v>0</v>
      </c>
      <c r="FU250" s="133">
        <f>IF(SeilBeregnet=0,FU280,(SeilBeregnet^0.5/(Depl^0.3333))^FU$3)</f>
        <v>0</v>
      </c>
      <c r="FV250" s="133">
        <f>IF(SeilBeregnet=0,FV280,(Loa/Bredde)^FV$3)</f>
        <v>0</v>
      </c>
      <c r="FW250" s="107">
        <f>IF(SeilBeregnet=0,FW280,Lwl^FW$3)</f>
        <v>0</v>
      </c>
      <c r="FY250" s="336">
        <v>1</v>
      </c>
      <c r="FZ250" s="62" t="str">
        <f t="shared" si="2074"/>
        <v>-</v>
      </c>
      <c r="GA250" s="62">
        <f t="shared" si="2075"/>
        <v>2.1059008718000438</v>
      </c>
      <c r="GB250" s="107" t="str">
        <f t="shared" si="1270"/>
        <v>-</v>
      </c>
      <c r="GC250" s="441"/>
      <c r="GD250" s="57"/>
      <c r="GE250" s="436"/>
      <c r="GF250" s="75"/>
      <c r="GG250" s="57"/>
      <c r="GH250" s="57"/>
      <c r="GI250" s="57"/>
      <c r="GJ250" s="57"/>
      <c r="GL250" s="57" t="s">
        <v>478</v>
      </c>
      <c r="GM250" s="436" t="s">
        <v>478</v>
      </c>
      <c r="GN250" s="58" t="s">
        <v>478</v>
      </c>
      <c r="GO250" s="58" t="s">
        <v>478</v>
      </c>
      <c r="GP250" s="58" t="s">
        <v>478</v>
      </c>
      <c r="GQ250" s="58" t="s">
        <v>478</v>
      </c>
      <c r="GS250" s="57"/>
      <c r="GT250" s="57"/>
      <c r="GU250" s="57"/>
      <c r="GV250" s="632"/>
      <c r="GW250" s="57"/>
      <c r="GX250" s="57"/>
      <c r="GY250" s="57"/>
      <c r="GZ250" s="57"/>
    </row>
    <row r="251" spans="1:208" ht="15.6" x14ac:dyDescent="0.3">
      <c r="A251" s="60" t="s">
        <v>46</v>
      </c>
      <c r="B251" s="218"/>
      <c r="C251" s="61" t="str">
        <f>C250</f>
        <v>Bermuda</v>
      </c>
      <c r="D251" s="61"/>
      <c r="E251" s="61"/>
      <c r="F251" s="61"/>
      <c r="G251" s="54"/>
      <c r="H251" s="204">
        <f>IF(StH=0,0,TBFavrundet)</f>
        <v>127.49999999999999</v>
      </c>
      <c r="I251" s="63">
        <f>COUNTA(O251:AG251)</f>
        <v>3</v>
      </c>
      <c r="J251" s="222">
        <f>SUM(O251:AG251)</f>
        <v>111.3</v>
      </c>
      <c r="K251" s="116">
        <f>Seilareal/Depl^0.667/K$7</f>
        <v>1.4471784305716218</v>
      </c>
      <c r="L251" s="116">
        <f>Seilareal/Lwl/Lwl/L$7</f>
        <v>1.5613686658591792</v>
      </c>
      <c r="M251" s="92">
        <f>RiggF</f>
        <v>0.94729335130278525</v>
      </c>
      <c r="N251" s="242">
        <f>StHfaktor</f>
        <v>1.032188300975974</v>
      </c>
      <c r="O251" s="143"/>
      <c r="P251" s="143"/>
      <c r="Q251" s="165">
        <v>63.8</v>
      </c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65">
        <v>32.799999999999997</v>
      </c>
      <c r="AF251" s="165"/>
      <c r="AG251" s="552">
        <v>14.7</v>
      </c>
      <c r="AH251" s="557">
        <f t="shared" ref="AH251:AI251" si="2317">AH250</f>
        <v>13.4</v>
      </c>
      <c r="AI251" s="557">
        <f t="shared" si="2317"/>
        <v>13.4</v>
      </c>
      <c r="AJ251" s="337">
        <f t="shared" ref="AJ251:AL263" si="2318" xml:space="preserve"> AJ250</f>
        <v>0</v>
      </c>
      <c r="AK251" s="339"/>
      <c r="AL251" s="337">
        <f t="shared" si="2318"/>
        <v>0</v>
      </c>
      <c r="AM251" s="339"/>
      <c r="AN251" s="267" t="str">
        <f t="shared" ref="AN251" si="2319" xml:space="preserve"> AN250</f>
        <v>Los</v>
      </c>
      <c r="AO251" s="45">
        <f>VLOOKUP(AN251,Skrogform!$1:$1048576,3,FALSE)</f>
        <v>0.97</v>
      </c>
      <c r="AP251" s="64">
        <f t="shared" ref="AP251:AZ253" si="2320">AP250</f>
        <v>12.12</v>
      </c>
      <c r="AQ251" s="64">
        <f t="shared" si="2320"/>
        <v>10.4</v>
      </c>
      <c r="AR251" s="64">
        <f t="shared" si="2320"/>
        <v>3.91</v>
      </c>
      <c r="AS251" s="64">
        <f t="shared" si="2320"/>
        <v>2.15</v>
      </c>
      <c r="AT251" s="64">
        <f t="shared" ref="AT251" si="2321">AT250</f>
        <v>19</v>
      </c>
      <c r="AU251" s="64">
        <f t="shared" si="2320"/>
        <v>19</v>
      </c>
      <c r="AV251" s="64">
        <f t="shared" si="2320"/>
        <v>5.5</v>
      </c>
      <c r="AW251" s="64">
        <f t="shared" si="2320"/>
        <v>2</v>
      </c>
      <c r="AX251" s="256">
        <f>AX250</f>
        <v>0</v>
      </c>
      <c r="AY251" s="256">
        <f t="shared" si="2320"/>
        <v>50</v>
      </c>
      <c r="AZ251" s="256">
        <f t="shared" si="2320"/>
        <v>400</v>
      </c>
      <c r="BA251" s="256">
        <f t="shared" ref="BA251:BB251" si="2322">BA250</f>
        <v>0</v>
      </c>
      <c r="BB251" s="256">
        <f t="shared" si="2322"/>
        <v>0</v>
      </c>
      <c r="BC251" s="256"/>
      <c r="BD251" s="66"/>
      <c r="BE251" s="66"/>
      <c r="BF251" s="261"/>
      <c r="BG251" s="66"/>
      <c r="BH251" s="175"/>
      <c r="BI251" s="66"/>
      <c r="BJ251" s="66"/>
      <c r="BK251" s="65" t="str">
        <f t="shared" ref="BK251:BM251" si="2323" xml:space="preserve"> BK250</f>
        <v>Fast</v>
      </c>
      <c r="BL251" s="267">
        <f t="shared" si="2323"/>
        <v>2</v>
      </c>
      <c r="BM251" s="267">
        <f t="shared" si="2323"/>
        <v>60</v>
      </c>
      <c r="BN251" s="45">
        <f t="shared" si="2291"/>
        <v>0.98584886704270647</v>
      </c>
      <c r="BO251" s="59"/>
      <c r="BP251" s="59"/>
      <c r="BR251" s="49">
        <f t="shared" ref="BR251:BX253" si="2324">IF(O251=0,0,O251*BR$9)</f>
        <v>0</v>
      </c>
      <c r="BS251" s="49">
        <f t="shared" si="2324"/>
        <v>0</v>
      </c>
      <c r="BT251" s="49">
        <f t="shared" si="2324"/>
        <v>63.8</v>
      </c>
      <c r="BU251" s="49">
        <f t="shared" si="2324"/>
        <v>0</v>
      </c>
      <c r="BV251" s="49">
        <f t="shared" si="2324"/>
        <v>0</v>
      </c>
      <c r="BW251" s="49">
        <f t="shared" si="2324"/>
        <v>0</v>
      </c>
      <c r="BX251" s="49">
        <f t="shared" si="2324"/>
        <v>0</v>
      </c>
      <c r="BY251" s="549">
        <f>IF(COUNT(Q251:U251)&gt;1,MINA(Q251:U251)*BY$9,0)</f>
        <v>0</v>
      </c>
      <c r="BZ251" s="85">
        <f t="shared" ref="BZ251:CD253" si="2325">IF(V251=0,0,V251*BZ$9)</f>
        <v>0</v>
      </c>
      <c r="CA251" s="85">
        <f t="shared" si="2325"/>
        <v>0</v>
      </c>
      <c r="CB251" s="85">
        <f t="shared" si="2325"/>
        <v>0</v>
      </c>
      <c r="CC251" s="85">
        <f t="shared" si="2325"/>
        <v>0</v>
      </c>
      <c r="CD251" s="85">
        <f t="shared" si="2325"/>
        <v>0</v>
      </c>
      <c r="CE251" s="85">
        <f>IF(AC251=0,0,AC251*CE$9)</f>
        <v>0</v>
      </c>
      <c r="CF251" s="85">
        <f t="shared" ref="CF251:CG253" si="2326">IF(AA251=0,0,AA251*CF$9)</f>
        <v>0</v>
      </c>
      <c r="CG251" s="85">
        <f t="shared" si="2326"/>
        <v>0</v>
      </c>
      <c r="CH251" s="85">
        <f t="shared" ref="CH251:CK253" si="2327">IF(AD251=0,0,AD251*CH$9)</f>
        <v>0</v>
      </c>
      <c r="CI251" s="85">
        <f t="shared" si="2327"/>
        <v>31.159999999999997</v>
      </c>
      <c r="CJ251" s="85">
        <f t="shared" si="2327"/>
        <v>0</v>
      </c>
      <c r="CK251" s="85">
        <f t="shared" si="2327"/>
        <v>10.473749999999999</v>
      </c>
      <c r="CL251" s="100">
        <f>SUM(BR251:CK251)</f>
        <v>105.43374999999999</v>
      </c>
      <c r="CM251" s="50"/>
      <c r="CN251" s="106">
        <f>J251</f>
        <v>111.3</v>
      </c>
      <c r="CO251" s="101">
        <f>CL251/CN251</f>
        <v>0.94729335130278525</v>
      </c>
      <c r="CP251" s="51">
        <f>Seilareal/Lwl/Lwl</f>
        <v>1.0290310650887573</v>
      </c>
      <c r="CQ251" s="116">
        <f>Seilareal/Depl^0.667/K$7</f>
        <v>1.4471784305716218</v>
      </c>
      <c r="CR251" s="51">
        <f>Seilareal/Lwl/Lwl/SApRS1</f>
        <v>1.5613686658591792</v>
      </c>
      <c r="CS251" s="204"/>
      <c r="CT251" s="204">
        <f>(ROUND(TBF/CT$6,3)*CT$6)*CT$4</f>
        <v>127.49999999999999</v>
      </c>
      <c r="CU251" s="107">
        <f t="shared" si="1041"/>
        <v>1.2770343807577655</v>
      </c>
      <c r="CV251" s="62">
        <f t="shared" si="2119"/>
        <v>3.9580537072563726</v>
      </c>
      <c r="CW251" s="62">
        <f t="shared" si="998"/>
        <v>1.6969959918689959</v>
      </c>
      <c r="CX251" s="62">
        <f t="shared" si="2120"/>
        <v>1.7958015200236968</v>
      </c>
      <c r="CY251" s="107">
        <f t="shared" si="999"/>
        <v>1.032188300975974</v>
      </c>
      <c r="CZ251" s="168">
        <f t="shared" si="2209"/>
        <v>1.1847058823529411</v>
      </c>
      <c r="DA251" s="159">
        <f>DA250</f>
        <v>0.95</v>
      </c>
      <c r="DB251" s="168" t="str">
        <f t="shared" si="2289"/>
        <v>-</v>
      </c>
      <c r="DC251" s="159">
        <f>DC250</f>
        <v>0</v>
      </c>
      <c r="DD251" s="190" t="s">
        <v>134</v>
      </c>
      <c r="DE251" s="62">
        <v>1.01</v>
      </c>
      <c r="DF251" s="62">
        <v>0.95</v>
      </c>
      <c r="DG251" s="62">
        <v>1.03</v>
      </c>
      <c r="DH251" s="150">
        <v>1.05</v>
      </c>
      <c r="DI251" s="62">
        <f t="shared" si="2292"/>
        <v>2.1825047202710279</v>
      </c>
      <c r="DJ251" s="47">
        <f t="shared" si="2293"/>
        <v>14.043109079033311</v>
      </c>
      <c r="DK251" s="48">
        <f t="shared" si="2294"/>
        <v>0</v>
      </c>
      <c r="DM251" s="107">
        <f t="shared" si="2295"/>
        <v>1.2313378238135855</v>
      </c>
      <c r="DN251" s="141">
        <f t="shared" si="2296"/>
        <v>-8.5192465627409675</v>
      </c>
      <c r="DO251" s="107">
        <f t="shared" si="2297"/>
        <v>5.6090183204225319</v>
      </c>
      <c r="DP251" s="133">
        <f>IF(SeilBeregnet=0,DP250,(SeilBeregnet^0.5/(Depl^0.3333))^DP$3*DP$7)</f>
        <v>3.8484092651452695</v>
      </c>
      <c r="DQ251" s="133">
        <f>IF(SeilBeregnet=0,DQ250,(SeilBeregnet^0.5/Lwl)^DQ$3*DQ$7)</f>
        <v>0</v>
      </c>
      <c r="DR251" s="133">
        <f>IF(SeilBeregnet=0,DR250,(0.1*Loa/Depl^0.3333)^DR$3*DR$7)</f>
        <v>0</v>
      </c>
      <c r="DS251" s="133">
        <f>IF(SeilBeregnet=0,DS250,((Loa)/Bredde)^DS$3*DS$7)</f>
        <v>1.7606090552772629</v>
      </c>
      <c r="DT251" s="107">
        <f>IF(SeilBeregnet=0,DT250,(Lwl)^DT$3)</f>
        <v>1.7958015200236968</v>
      </c>
      <c r="DU251" s="133">
        <f>IF(SeilBeregnet=0,DU250,(Dypg/Loa)^DU$3*5*DU$7)</f>
        <v>2.1059008718000438</v>
      </c>
      <c r="DW251" s="107">
        <f t="shared" si="1241"/>
        <v>1.3165302894409951</v>
      </c>
      <c r="DX251" s="107">
        <f t="shared" si="2298"/>
        <v>1.3116707535934662</v>
      </c>
      <c r="DY251" s="122">
        <f>DX251-DW251</f>
        <v>-4.8595358475289618E-3</v>
      </c>
      <c r="DZ251" s="107">
        <f t="shared" si="2299"/>
        <v>1.2563785915223362</v>
      </c>
      <c r="EA251" s="122">
        <f t="shared" si="2300"/>
        <v>-6.0151697918658931E-2</v>
      </c>
      <c r="EB251" s="107">
        <f t="shared" si="2301"/>
        <v>1.2771435795694408</v>
      </c>
      <c r="EC251" s="122">
        <f t="shared" si="2302"/>
        <v>-3.9386709871554348E-2</v>
      </c>
      <c r="ED251" s="107">
        <f t="shared" ref="ED251:ED295" si="2328">IF(SeilBeregnet=0,ED250,SeilBeregnet^0.5/Depl^0.33333)</f>
        <v>3.8480693379714705</v>
      </c>
      <c r="EE251" s="107">
        <f t="shared" ref="EE251:EE295" si="2329">IF(SeilBeregnet=0,EE250,Lwl^0.3333)</f>
        <v>2.1826153840929692</v>
      </c>
      <c r="EF251" s="107">
        <f t="shared" ref="EF251:EF272" si="2330">IF(SeilBeregnet=0,EF250,((Loa+Lwl)/Bredde)^EF$3)</f>
        <v>1.5491658229492145</v>
      </c>
      <c r="EH251" s="107">
        <f t="shared" si="2303"/>
        <v>1.2551712554341345</v>
      </c>
      <c r="EJ251" s="107">
        <f t="shared" ref="EJ251:EJ295" si="2331">IF(SeilBeregnet=0,EJ250,SeilBeregnet^0.5/Depl^0.33333)</f>
        <v>3.8480693379714705</v>
      </c>
      <c r="EK251" s="107">
        <f t="shared" ref="EK251:EK272" si="2332">IF(SeilBeregnet=0,EK250,Lwl^EK$3)</f>
        <v>2.182768727320779</v>
      </c>
      <c r="EL251" s="107">
        <f t="shared" ref="EL251:EL272" si="2333">IF(SeilBeregnet=0,EL250,((Loa+Lwl)/Bredde)^EL$3)</f>
        <v>1.7924148356616389</v>
      </c>
      <c r="EM251" s="107">
        <f t="shared" si="2304"/>
        <v>1.2562676255227452</v>
      </c>
      <c r="EO251" s="107">
        <f t="shared" ref="EO251:EO272" si="2334">IF(SeilBeregnet=0,EO250,(EP251*EQ251)^EO$3)</f>
        <v>5.9612975027242117</v>
      </c>
      <c r="EP251" s="107">
        <f t="shared" ref="EP251:EP295" si="2335">IF(SeilBeregnet=0,EP250,SeilBeregnet^0.5/Depl^0.33333)</f>
        <v>3.8480693379714705</v>
      </c>
      <c r="EQ251" s="107">
        <f t="shared" ref="EQ251:EQ272" si="2336">IF(SeilBeregnet=0,EQ250,((Loa+Lwl)/Bredde)^EQ$3)</f>
        <v>1.5491658229492145</v>
      </c>
      <c r="ER251" s="107">
        <f t="shared" ref="ER251:ER272" si="2337">IF(SeilBeregnet=0,ER250,Lwl^ER$3)</f>
        <v>1.7958015200236968</v>
      </c>
      <c r="ES251" s="107">
        <f t="shared" si="2305"/>
        <v>1.251643356294031</v>
      </c>
      <c r="EU251" s="107">
        <f t="shared" ref="EU251:EU272" si="2338">IF(SeilBeregnet=0,EU250,(EV:EV*EW:EW)^EU$3)</f>
        <v>1.9516480040535382</v>
      </c>
      <c r="EV251" s="107">
        <f t="shared" ref="EV251:EV295" si="2339">IF(SeilBeregnet=0,EV250,SeilBeregnet^0.5/Depl^0.33333)</f>
        <v>3.8480693379714705</v>
      </c>
      <c r="EW251" s="107">
        <f t="shared" ref="EW251:EW272" si="2340">IF(SeilBeregnet=0,EW250,((Loa+Lwl)/Bredde/6)^EW$3)</f>
        <v>0.98982881990740235</v>
      </c>
      <c r="EX251" s="107">
        <f t="shared" ref="EX251:EX272" si="2341">IF(SeilBeregnet=0,EX250,(Lwl*0.7+Loa*0.3)^EX$3)</f>
        <v>1.8176735255279128</v>
      </c>
      <c r="EY251" s="107">
        <f t="shared" si="2306"/>
        <v>1.1760102750162649</v>
      </c>
      <c r="FA251" s="107">
        <f t="shared" si="2307"/>
        <v>1.9517342035839449</v>
      </c>
      <c r="FB251" s="107">
        <f t="shared" ref="FB251:FB295" si="2342">IF(SeilBeregnet=0,FB250,SeilBeregnet^0.5/Depl^0.3333)</f>
        <v>3.8484092651452695</v>
      </c>
      <c r="FC251" s="107">
        <f t="shared" ref="FC251:FC272" si="2343">IF(SeilBeregnet=0,FC250,((Loa+Lwl)/Bredde/6)^FC$3)</f>
        <v>0.98982881990740235</v>
      </c>
      <c r="FD251" s="107">
        <f t="shared" ref="FD251:FD272" si="2344">IF(SeilBeregnet=0,FD250,(Lwl*0.7+Loa*0.3)^FD$3)</f>
        <v>1.8176735255279128</v>
      </c>
      <c r="FE251" s="107">
        <f t="shared" si="2308"/>
        <v>1.2211263259600673</v>
      </c>
      <c r="FF251" s="141">
        <f t="shared" si="2309"/>
        <v>-9.5403963480927843</v>
      </c>
      <c r="FG251" s="107">
        <f t="shared" si="2310"/>
        <v>3.7705216668497337</v>
      </c>
      <c r="FH251" s="133">
        <f t="shared" ref="FH251:FH272" si="2345">IF(SeilBeregnet=0,FH250,(SeilBeregnet^0.5/(Depl^0.3333))^FH$3)</f>
        <v>3.8484092651452695</v>
      </c>
      <c r="FI251" s="133">
        <f t="shared" ref="FI251:FI272" si="2346">IF(SeilBeregnet=0,FI250,((Loa+Lwl)/Bredde/6)^FI$3)</f>
        <v>0.9797610927192808</v>
      </c>
      <c r="FJ251" s="107">
        <f t="shared" ref="FJ251:FJ272" si="2347">IF(SeilBeregnet=0,FJ250,(Lwl*0.07+Loa*0.03)^FJ$3)</f>
        <v>1.0221529391087805</v>
      </c>
      <c r="FK251" s="107">
        <f t="shared" si="2311"/>
        <v>1.2843531760089697</v>
      </c>
      <c r="FL251" s="141">
        <f t="shared" si="2312"/>
        <v>-3.217711343202545</v>
      </c>
      <c r="FM251" s="107">
        <f t="shared" si="2313"/>
        <v>6.0963350306237736</v>
      </c>
      <c r="FN251" s="133">
        <f t="shared" ref="FN251:FN272" si="2348">IF(SeilBeregnet=0,FN250,(SeilBeregnet^0.5/(Depl^0.3333))^FN$3)</f>
        <v>3.8484092651452695</v>
      </c>
      <c r="FO251" s="133">
        <f t="shared" ref="FO251:FO272" si="2349">IF(SeilBeregnet=0,FO250,(SeilBeregnet^0.5/Lwl*FO$7)^FO$3)</f>
        <v>0.98731671020124201</v>
      </c>
      <c r="FP251" s="133">
        <f t="shared" ref="FP251:FP272" si="2350">IF(SeilBeregnet=0,FP250,((Loa)/Bredde)^FP$3*FP$7)</f>
        <v>1.7606090552772629</v>
      </c>
      <c r="FQ251" s="107">
        <f t="shared" ref="FQ251:FQ272" si="2351">IF(SeilBeregnet=0,FQ250,(Lwl)^FQ$3)</f>
        <v>1.7958015200236968</v>
      </c>
      <c r="FR251" s="107">
        <f t="shared" si="2314"/>
        <v>1.2209218418590118</v>
      </c>
      <c r="FS251" s="141">
        <f t="shared" si="2315"/>
        <v>-9.5608447581983391</v>
      </c>
      <c r="FT251" s="107">
        <f t="shared" si="2316"/>
        <v>6.775544200627678</v>
      </c>
      <c r="FU251" s="133">
        <f t="shared" ref="FU251:FU272" si="2352">IF(SeilBeregnet=0,FU250,(SeilBeregnet^0.5/(Depl^0.3333))^FU$3)</f>
        <v>3.8484092651452695</v>
      </c>
      <c r="FV251" s="133">
        <f t="shared" ref="FV251:FV272" si="2353">IF(SeilBeregnet=0,FV250,(Loa/Bredde)^FV$3)</f>
        <v>1.7606090552772629</v>
      </c>
      <c r="FW251" s="107">
        <f t="shared" ref="FW251:FW272" si="2354">IF(SeilBeregnet=0,FW250,Lwl^FW$3)</f>
        <v>1.7958015200236968</v>
      </c>
      <c r="FY251" s="336">
        <v>1</v>
      </c>
      <c r="FZ251" s="62">
        <f t="shared" si="2074"/>
        <v>1.2957548452992624</v>
      </c>
      <c r="GA251" s="62">
        <f t="shared" si="2075"/>
        <v>2.1059008718000438</v>
      </c>
      <c r="GB251" s="107">
        <f t="shared" si="1270"/>
        <v>1.2507927085763582</v>
      </c>
      <c r="GC251" s="440"/>
      <c r="GD251" s="17"/>
      <c r="GE251" s="442"/>
      <c r="GF251" s="462"/>
      <c r="GG251" s="17"/>
      <c r="GH251" s="17"/>
      <c r="GI251" s="17"/>
      <c r="GJ251" s="17"/>
      <c r="GL251" s="17"/>
      <c r="GM251" s="442"/>
      <c r="GN251" s="8"/>
      <c r="GO251" s="8"/>
      <c r="GP251" s="8"/>
      <c r="GQ251" s="8"/>
      <c r="GS251" s="17"/>
      <c r="GT251" s="17"/>
      <c r="GU251" s="17"/>
      <c r="GV251" s="629"/>
      <c r="GW251" s="17"/>
      <c r="GX251" s="17"/>
      <c r="GY251" s="17"/>
      <c r="GZ251" s="17"/>
    </row>
    <row r="252" spans="1:208" ht="15.6" x14ac:dyDescent="0.3">
      <c r="A252" s="60" t="s">
        <v>64</v>
      </c>
      <c r="B252" s="218"/>
      <c r="C252" s="61" t="str">
        <f t="shared" ref="C252:C253" si="2355">C251</f>
        <v>Bermuda</v>
      </c>
      <c r="D252" s="61"/>
      <c r="E252" s="61"/>
      <c r="F252" s="61"/>
      <c r="G252" s="54"/>
      <c r="H252" s="204">
        <f>IF(StH=0,0,TBFavrundet)</f>
        <v>114.5</v>
      </c>
      <c r="I252" s="63">
        <f>COUNTA(O252:AG252)</f>
        <v>4</v>
      </c>
      <c r="J252" s="222">
        <f>SUM(O252:AG252)</f>
        <v>91.2</v>
      </c>
      <c r="K252" s="116">
        <f>Seilareal/Depl^0.667/K$7</f>
        <v>1.1858281479616526</v>
      </c>
      <c r="L252" s="116">
        <f>Seilareal/Lwl/Lwl/L$7</f>
        <v>1.2793964270112954</v>
      </c>
      <c r="M252" s="92">
        <f>RiggF</f>
        <v>0.83699287280701751</v>
      </c>
      <c r="N252" s="242">
        <f>StHfaktor</f>
        <v>1.032188300975974</v>
      </c>
      <c r="O252" s="143"/>
      <c r="P252" s="143"/>
      <c r="Q252" s="143"/>
      <c r="R252" s="165">
        <v>25.7</v>
      </c>
      <c r="S252" s="143"/>
      <c r="T252" s="143"/>
      <c r="U252" s="165">
        <v>18</v>
      </c>
      <c r="V252" s="560"/>
      <c r="W252" s="560"/>
      <c r="X252" s="143"/>
      <c r="Y252" s="143"/>
      <c r="Z252" s="143"/>
      <c r="AA252" s="143"/>
      <c r="AB252" s="143"/>
      <c r="AC252" s="143"/>
      <c r="AD252" s="143"/>
      <c r="AE252" s="165">
        <v>32.799999999999997</v>
      </c>
      <c r="AF252" s="165"/>
      <c r="AG252" s="552">
        <v>14.7</v>
      </c>
      <c r="AH252" s="557">
        <f t="shared" ref="AH252:AI252" si="2356">AH251</f>
        <v>13.4</v>
      </c>
      <c r="AI252" s="557">
        <f t="shared" si="2356"/>
        <v>13.4</v>
      </c>
      <c r="AJ252" s="337">
        <f t="shared" si="2318"/>
        <v>0</v>
      </c>
      <c r="AK252" s="339"/>
      <c r="AL252" s="337">
        <f t="shared" si="2318"/>
        <v>0</v>
      </c>
      <c r="AM252" s="339"/>
      <c r="AN252" s="267" t="str">
        <f t="shared" ref="AN252" si="2357" xml:space="preserve"> AN251</f>
        <v>Los</v>
      </c>
      <c r="AO252" s="45">
        <f>VLOOKUP(AN252,Skrogform!$1:$1048576,3,FALSE)</f>
        <v>0.97</v>
      </c>
      <c r="AP252" s="64">
        <f t="shared" ref="AP252:AW252" si="2358">AP251</f>
        <v>12.12</v>
      </c>
      <c r="AQ252" s="64">
        <f t="shared" si="2358"/>
        <v>10.4</v>
      </c>
      <c r="AR252" s="64">
        <f t="shared" si="2358"/>
        <v>3.91</v>
      </c>
      <c r="AS252" s="64">
        <f t="shared" si="2358"/>
        <v>2.15</v>
      </c>
      <c r="AT252" s="64">
        <f t="shared" ref="AT252" si="2359">AT251</f>
        <v>19</v>
      </c>
      <c r="AU252" s="64">
        <f t="shared" si="2358"/>
        <v>19</v>
      </c>
      <c r="AV252" s="64">
        <f t="shared" si="2358"/>
        <v>5.5</v>
      </c>
      <c r="AW252" s="64">
        <f t="shared" si="2358"/>
        <v>2</v>
      </c>
      <c r="AX252" s="256">
        <f>AX251</f>
        <v>0</v>
      </c>
      <c r="AY252" s="256">
        <f t="shared" si="2320"/>
        <v>50</v>
      </c>
      <c r="AZ252" s="256">
        <f t="shared" si="2320"/>
        <v>400</v>
      </c>
      <c r="BA252" s="256">
        <f t="shared" ref="BA252:BB252" si="2360">BA251</f>
        <v>0</v>
      </c>
      <c r="BB252" s="256">
        <f t="shared" si="2360"/>
        <v>0</v>
      </c>
      <c r="BC252" s="256"/>
      <c r="BD252" s="66"/>
      <c r="BE252" s="66"/>
      <c r="BF252" s="261"/>
      <c r="BG252" s="66"/>
      <c r="BH252" s="175"/>
      <c r="BI252" s="66"/>
      <c r="BJ252" s="66"/>
      <c r="BK252" s="65" t="str">
        <f t="shared" ref="BK252:BM252" si="2361" xml:space="preserve"> BK251</f>
        <v>Fast</v>
      </c>
      <c r="BL252" s="267">
        <f t="shared" si="2361"/>
        <v>2</v>
      </c>
      <c r="BM252" s="267">
        <f t="shared" si="2361"/>
        <v>60</v>
      </c>
      <c r="BN252" s="45">
        <f t="shared" si="2291"/>
        <v>0.98584886704270647</v>
      </c>
      <c r="BO252" s="59"/>
      <c r="BP252" s="59"/>
      <c r="BR252" s="49">
        <f t="shared" si="2324"/>
        <v>0</v>
      </c>
      <c r="BS252" s="49">
        <f t="shared" si="2324"/>
        <v>0</v>
      </c>
      <c r="BT252" s="49">
        <f t="shared" si="2324"/>
        <v>0</v>
      </c>
      <c r="BU252" s="49">
        <f t="shared" si="2324"/>
        <v>25.7</v>
      </c>
      <c r="BV252" s="49">
        <f t="shared" si="2324"/>
        <v>0</v>
      </c>
      <c r="BW252" s="49">
        <f t="shared" si="2324"/>
        <v>0</v>
      </c>
      <c r="BX252" s="49">
        <f t="shared" si="2324"/>
        <v>18</v>
      </c>
      <c r="BY252" s="549">
        <f>IF(COUNT(Q252:U252)&gt;1,MINA(Q252:U252)*BY$9,0)</f>
        <v>-9</v>
      </c>
      <c r="BZ252" s="85">
        <f t="shared" si="2325"/>
        <v>0</v>
      </c>
      <c r="CA252" s="85">
        <f t="shared" si="2325"/>
        <v>0</v>
      </c>
      <c r="CB252" s="85">
        <f t="shared" si="2325"/>
        <v>0</v>
      </c>
      <c r="CC252" s="85">
        <f t="shared" si="2325"/>
        <v>0</v>
      </c>
      <c r="CD252" s="85">
        <f t="shared" si="2325"/>
        <v>0</v>
      </c>
      <c r="CE252" s="85">
        <f>IF(AC252=0,0,AC252*CE$9)</f>
        <v>0</v>
      </c>
      <c r="CF252" s="85">
        <f t="shared" si="2326"/>
        <v>0</v>
      </c>
      <c r="CG252" s="85">
        <f t="shared" si="2326"/>
        <v>0</v>
      </c>
      <c r="CH252" s="85">
        <f t="shared" si="2327"/>
        <v>0</v>
      </c>
      <c r="CI252" s="85">
        <f t="shared" si="2327"/>
        <v>31.159999999999997</v>
      </c>
      <c r="CJ252" s="85">
        <f t="shared" si="2327"/>
        <v>0</v>
      </c>
      <c r="CK252" s="85">
        <f t="shared" si="2327"/>
        <v>10.473749999999999</v>
      </c>
      <c r="CL252" s="100">
        <f>SUM(BR252:CK252)</f>
        <v>76.333749999999995</v>
      </c>
      <c r="CM252" s="50"/>
      <c r="CN252" s="106">
        <f>J252</f>
        <v>91.2</v>
      </c>
      <c r="CO252" s="101">
        <f>CL252/CN252</f>
        <v>0.83699287280701751</v>
      </c>
      <c r="CP252" s="51">
        <f>Seilareal/Lwl/Lwl</f>
        <v>0.84319526627218944</v>
      </c>
      <c r="CQ252" s="116">
        <f>Seilareal/Depl^0.667/K$7</f>
        <v>1.1858281479616526</v>
      </c>
      <c r="CR252" s="51">
        <f>Seilareal/Lwl/Lwl/SApRS1</f>
        <v>1.2793964270112954</v>
      </c>
      <c r="CS252" s="204"/>
      <c r="CT252" s="204">
        <f>(ROUND(TBF/CT$6,3)*CT$6)*CT$4</f>
        <v>114.5</v>
      </c>
      <c r="CU252" s="107">
        <f t="shared" si="1041"/>
        <v>1.1437488986131663</v>
      </c>
      <c r="CV252" s="62">
        <f t="shared" si="2119"/>
        <v>3.3678299536465883</v>
      </c>
      <c r="CW252" s="62">
        <f t="shared" si="998"/>
        <v>1.6969959918689959</v>
      </c>
      <c r="CX252" s="62">
        <f t="shared" si="2120"/>
        <v>1.7958015200236968</v>
      </c>
      <c r="CY252" s="107">
        <f t="shared" si="999"/>
        <v>1.032188300975974</v>
      </c>
      <c r="CZ252" s="168" t="str">
        <f t="shared" si="2209"/>
        <v>-</v>
      </c>
      <c r="DA252" s="158"/>
      <c r="DB252" s="168" t="str">
        <f t="shared" si="2289"/>
        <v>-</v>
      </c>
      <c r="DC252" s="160"/>
      <c r="DD252" s="190" t="s">
        <v>134</v>
      </c>
      <c r="DE252" s="62">
        <v>0.89</v>
      </c>
      <c r="DF252" s="62">
        <v>0.88</v>
      </c>
      <c r="DG252" s="62">
        <v>0.92</v>
      </c>
      <c r="DH252" s="150">
        <v>0.95</v>
      </c>
      <c r="DI252" s="62">
        <f t="shared" si="2292"/>
        <v>2.1825047202710279</v>
      </c>
      <c r="DJ252" s="47">
        <f t="shared" si="2293"/>
        <v>14.043109079033311</v>
      </c>
      <c r="DK252" s="48">
        <f t="shared" si="2294"/>
        <v>0</v>
      </c>
      <c r="DM252" s="107">
        <f t="shared" si="2295"/>
        <v>1.1053563704946137</v>
      </c>
      <c r="DN252" s="141">
        <f t="shared" si="2296"/>
        <v>-7.3766205395248585</v>
      </c>
      <c r="DO252" s="107">
        <f t="shared" si="2297"/>
        <v>5.0351447123569137</v>
      </c>
      <c r="DP252" s="133">
        <f>IF(SeilBeregnet=0,DP251,(SeilBeregnet^0.5/(Depl^0.3333))^DP$3*DP$7)</f>
        <v>3.2745356570796513</v>
      </c>
      <c r="DQ252" s="133">
        <f>IF(SeilBeregnet=0,DQ251,(SeilBeregnet^0.5/Lwl)^DQ$3*DQ$7)</f>
        <v>0</v>
      </c>
      <c r="DR252" s="133">
        <f>IF(SeilBeregnet=0,DR251,(0.1*Loa/Depl^0.3333)^DR$3*DR$7)</f>
        <v>0</v>
      </c>
      <c r="DS252" s="133">
        <f>IF(SeilBeregnet=0,DS251,((Loa)/Bredde)^DS$3*DS$7)</f>
        <v>1.7606090552772629</v>
      </c>
      <c r="DT252" s="107">
        <f>IF(SeilBeregnet=0,DT251,(Lwl)^DT$3)</f>
        <v>1.7958015200236968</v>
      </c>
      <c r="DU252" s="133">
        <f>IF(SeilBeregnet=0,DU251,(Dypg/Loa)^DU$3*5*DU$7)</f>
        <v>2.1059008718000438</v>
      </c>
      <c r="DW252" s="107">
        <f t="shared" si="1241"/>
        <v>1.1791225758898622</v>
      </c>
      <c r="DX252" s="107">
        <f t="shared" si="2298"/>
        <v>1.1524991939646259</v>
      </c>
      <c r="DY252" s="122">
        <f>DX252-DW252</f>
        <v>-2.6623381925236389E-2</v>
      </c>
      <c r="DZ252" s="107">
        <f t="shared" si="2299"/>
        <v>1.1306937842954612</v>
      </c>
      <c r="EA252" s="122">
        <f t="shared" si="2300"/>
        <v>-4.8428791594401055E-2</v>
      </c>
      <c r="EB252" s="107">
        <f t="shared" si="2301"/>
        <v>1.1284328595990643</v>
      </c>
      <c r="EC252" s="122">
        <f t="shared" si="2302"/>
        <v>-5.0689716290797993E-2</v>
      </c>
      <c r="ED252" s="107">
        <f t="shared" si="2328"/>
        <v>3.2742464197416434</v>
      </c>
      <c r="EE252" s="107">
        <f t="shared" si="2329"/>
        <v>2.1826153840929692</v>
      </c>
      <c r="EF252" s="107">
        <f t="shared" si="2330"/>
        <v>1.5491658229492145</v>
      </c>
      <c r="EH252" s="107">
        <f t="shared" si="2303"/>
        <v>1.121882641175435</v>
      </c>
      <c r="EJ252" s="107">
        <f t="shared" si="2331"/>
        <v>3.2742464197416434</v>
      </c>
      <c r="EK252" s="107">
        <f t="shared" si="2332"/>
        <v>2.182768727320779</v>
      </c>
      <c r="EL252" s="107">
        <f t="shared" si="2333"/>
        <v>1.7924148356616389</v>
      </c>
      <c r="EM252" s="107">
        <f t="shared" si="2304"/>
        <v>1.1159946169726245</v>
      </c>
      <c r="EO252" s="107">
        <f t="shared" si="2334"/>
        <v>5.0723506493775821</v>
      </c>
      <c r="EP252" s="107">
        <f t="shared" si="2335"/>
        <v>3.2742464197416434</v>
      </c>
      <c r="EQ252" s="107">
        <f t="shared" si="2336"/>
        <v>1.5491658229492145</v>
      </c>
      <c r="ER252" s="107">
        <f t="shared" si="2337"/>
        <v>1.7958015200236968</v>
      </c>
      <c r="ES252" s="107">
        <f t="shared" si="2305"/>
        <v>1.1211150079794472</v>
      </c>
      <c r="EU252" s="107">
        <f t="shared" si="2338"/>
        <v>1.8002620558515663</v>
      </c>
      <c r="EV252" s="107">
        <f t="shared" si="2339"/>
        <v>3.2742464197416434</v>
      </c>
      <c r="EW252" s="107">
        <f t="shared" si="2340"/>
        <v>0.98982881990740235</v>
      </c>
      <c r="EX252" s="107">
        <f t="shared" si="2341"/>
        <v>1.8176735255279128</v>
      </c>
      <c r="EY252" s="107">
        <f t="shared" si="2306"/>
        <v>1.0847891991824923</v>
      </c>
      <c r="FA252" s="107">
        <f t="shared" si="2307"/>
        <v>1.8003415690340157</v>
      </c>
      <c r="FB252" s="107">
        <f t="shared" si="2342"/>
        <v>3.2745356570796513</v>
      </c>
      <c r="FC252" s="107">
        <f t="shared" si="2343"/>
        <v>0.98982881990740235</v>
      </c>
      <c r="FD252" s="107">
        <f t="shared" si="2344"/>
        <v>1.8176735255279128</v>
      </c>
      <c r="FE252" s="107">
        <f t="shared" si="2308"/>
        <v>1.1021441355730908</v>
      </c>
      <c r="FF252" s="141">
        <f t="shared" si="2309"/>
        <v>-7.6978440316771479</v>
      </c>
      <c r="FG252" s="107">
        <f t="shared" si="2310"/>
        <v>3.2082626335286073</v>
      </c>
      <c r="FH252" s="133">
        <f t="shared" si="2345"/>
        <v>3.2745356570796513</v>
      </c>
      <c r="FI252" s="133">
        <f t="shared" si="2346"/>
        <v>0.9797610927192808</v>
      </c>
      <c r="FJ252" s="107">
        <f t="shared" si="2347"/>
        <v>1.0221529391087805</v>
      </c>
      <c r="FK252" s="107">
        <f t="shared" si="2311"/>
        <v>1.1324340960552197</v>
      </c>
      <c r="FL252" s="141">
        <f t="shared" si="2312"/>
        <v>-4.6688479834642527</v>
      </c>
      <c r="FM252" s="107">
        <f t="shared" si="2313"/>
        <v>5.3752330578625749</v>
      </c>
      <c r="FN252" s="133">
        <f t="shared" si="2348"/>
        <v>3.2745356570796513</v>
      </c>
      <c r="FO252" s="133">
        <f t="shared" si="2349"/>
        <v>0.84008834550566036</v>
      </c>
      <c r="FP252" s="133">
        <f t="shared" si="2350"/>
        <v>1.7606090552772629</v>
      </c>
      <c r="FQ252" s="107">
        <f t="shared" si="2351"/>
        <v>1.7958015200236968</v>
      </c>
      <c r="FR252" s="107">
        <f t="shared" si="2314"/>
        <v>1.1064423128214007</v>
      </c>
      <c r="FS252" s="141">
        <f t="shared" si="2315"/>
        <v>-7.2680263068461537</v>
      </c>
      <c r="FT252" s="107">
        <f t="shared" si="2316"/>
        <v>5.7651771296827157</v>
      </c>
      <c r="FU252" s="133">
        <f t="shared" si="2352"/>
        <v>3.2745356570796513</v>
      </c>
      <c r="FV252" s="133">
        <f t="shared" si="2353"/>
        <v>1.7606090552772629</v>
      </c>
      <c r="FW252" s="107">
        <f t="shared" si="2354"/>
        <v>1.7958015200236968</v>
      </c>
      <c r="FY252" s="336">
        <v>1</v>
      </c>
      <c r="FZ252" s="62">
        <f t="shared" si="2074"/>
        <v>1.1993749723915987</v>
      </c>
      <c r="GA252" s="62">
        <f t="shared" si="2075"/>
        <v>2.1059008718000438</v>
      </c>
      <c r="GB252" s="107">
        <f t="shared" si="1270"/>
        <v>1.1852450903223715</v>
      </c>
      <c r="GC252" s="440"/>
      <c r="GD252" s="17"/>
      <c r="GE252" s="442"/>
      <c r="GF252" s="462"/>
      <c r="GG252" s="17"/>
      <c r="GH252" s="17"/>
      <c r="GI252" s="17"/>
      <c r="GJ252" s="17"/>
      <c r="GL252" s="17"/>
      <c r="GM252" s="442"/>
      <c r="GN252" s="8"/>
      <c r="GO252" s="8"/>
      <c r="GP252" s="8"/>
      <c r="GQ252" s="8"/>
      <c r="GS252" s="17"/>
      <c r="GT252" s="17"/>
      <c r="GU252" s="17"/>
      <c r="GV252" s="629"/>
      <c r="GW252" s="17"/>
      <c r="GX252" s="17"/>
      <c r="GY252" s="17"/>
      <c r="GZ252" s="17"/>
    </row>
    <row r="253" spans="1:208" ht="15.6" x14ac:dyDescent="0.3">
      <c r="A253" s="60" t="s">
        <v>33</v>
      </c>
      <c r="B253" s="218"/>
      <c r="C253" s="61" t="str">
        <f t="shared" si="2355"/>
        <v>Bermuda</v>
      </c>
      <c r="D253" s="61"/>
      <c r="E253" s="61"/>
      <c r="F253" s="61"/>
      <c r="G253" s="54"/>
      <c r="H253" s="204">
        <f>TBFavrundet</f>
        <v>99.500000000000014</v>
      </c>
      <c r="I253" s="63">
        <f>COUNTA(O253:AG253)</f>
        <v>2</v>
      </c>
      <c r="J253" s="222">
        <f>SUM(O253:AG253)</f>
        <v>50.8</v>
      </c>
      <c r="K253" s="116">
        <f>Seilareal/Depl^0.667/K$7</f>
        <v>0.66052708241723623</v>
      </c>
      <c r="L253" s="116">
        <f>Seilareal/Lwl/Lwl/L$7</f>
        <v>0.71264625539664239</v>
      </c>
      <c r="M253" s="92">
        <f>RiggF</f>
        <v>0.9677165354330709</v>
      </c>
      <c r="N253" s="242">
        <f>StHfaktor</f>
        <v>1.032188300975974</v>
      </c>
      <c r="O253" s="143"/>
      <c r="P253" s="143"/>
      <c r="Q253" s="143"/>
      <c r="R253" s="143"/>
      <c r="S253" s="143"/>
      <c r="T253" s="143"/>
      <c r="U253" s="165">
        <v>18</v>
      </c>
      <c r="V253" s="560"/>
      <c r="W253" s="560"/>
      <c r="X253" s="143"/>
      <c r="Y253" s="143"/>
      <c r="Z253" s="143"/>
      <c r="AA253" s="143"/>
      <c r="AB253" s="143"/>
      <c r="AC253" s="143"/>
      <c r="AD253" s="143"/>
      <c r="AE253" s="165">
        <v>32.799999999999997</v>
      </c>
      <c r="AF253" s="143"/>
      <c r="AG253" s="551"/>
      <c r="AH253" s="557">
        <f t="shared" ref="AH253:AI253" si="2362">AH252</f>
        <v>13.4</v>
      </c>
      <c r="AI253" s="557">
        <f t="shared" si="2362"/>
        <v>13.4</v>
      </c>
      <c r="AJ253" s="337">
        <f t="shared" si="2318"/>
        <v>0</v>
      </c>
      <c r="AK253" s="339"/>
      <c r="AL253" s="337">
        <f t="shared" si="2318"/>
        <v>0</v>
      </c>
      <c r="AM253" s="339"/>
      <c r="AN253" s="267" t="str">
        <f t="shared" ref="AN253" si="2363" xml:space="preserve"> AN252</f>
        <v>Los</v>
      </c>
      <c r="AO253" s="45">
        <f>VLOOKUP(AN253,Skrogform!$1:$1048576,3,FALSE)</f>
        <v>0.97</v>
      </c>
      <c r="AP253" s="64">
        <f t="shared" ref="AP253:AW253" si="2364">AP252</f>
        <v>12.12</v>
      </c>
      <c r="AQ253" s="64">
        <f t="shared" si="2364"/>
        <v>10.4</v>
      </c>
      <c r="AR253" s="64">
        <f t="shared" si="2364"/>
        <v>3.91</v>
      </c>
      <c r="AS253" s="64">
        <f t="shared" si="2364"/>
        <v>2.15</v>
      </c>
      <c r="AT253" s="64">
        <f t="shared" ref="AT253" si="2365">AT252</f>
        <v>19</v>
      </c>
      <c r="AU253" s="64">
        <f t="shared" si="2364"/>
        <v>19</v>
      </c>
      <c r="AV253" s="64">
        <f t="shared" si="2364"/>
        <v>5.5</v>
      </c>
      <c r="AW253" s="64">
        <f t="shared" si="2364"/>
        <v>2</v>
      </c>
      <c r="AX253" s="256">
        <f>AX252</f>
        <v>0</v>
      </c>
      <c r="AY253" s="256">
        <f t="shared" si="2320"/>
        <v>50</v>
      </c>
      <c r="AZ253" s="256">
        <f t="shared" si="2320"/>
        <v>400</v>
      </c>
      <c r="BA253" s="256">
        <f t="shared" ref="BA253:BB253" si="2366">BA252</f>
        <v>0</v>
      </c>
      <c r="BB253" s="256">
        <f t="shared" si="2366"/>
        <v>0</v>
      </c>
      <c r="BC253" s="256"/>
      <c r="BD253" s="66"/>
      <c r="BE253" s="66"/>
      <c r="BF253" s="261"/>
      <c r="BG253" s="66"/>
      <c r="BH253" s="175"/>
      <c r="BI253" s="66"/>
      <c r="BJ253" s="66"/>
      <c r="BK253" s="65" t="str">
        <f t="shared" ref="BK253:BM253" si="2367" xml:space="preserve"> BK252</f>
        <v>Fast</v>
      </c>
      <c r="BL253" s="267">
        <f t="shared" si="2367"/>
        <v>2</v>
      </c>
      <c r="BM253" s="267">
        <f t="shared" si="2367"/>
        <v>60</v>
      </c>
      <c r="BN253" s="45">
        <f t="shared" si="2291"/>
        <v>0.98584886704270647</v>
      </c>
      <c r="BO253" s="59"/>
      <c r="BP253" s="59"/>
      <c r="BR253" s="49">
        <f t="shared" si="2324"/>
        <v>0</v>
      </c>
      <c r="BS253" s="49">
        <f t="shared" si="2324"/>
        <v>0</v>
      </c>
      <c r="BT253" s="49">
        <f t="shared" si="2324"/>
        <v>0</v>
      </c>
      <c r="BU253" s="49">
        <f t="shared" si="2324"/>
        <v>0</v>
      </c>
      <c r="BV253" s="49">
        <f t="shared" si="2324"/>
        <v>0</v>
      </c>
      <c r="BW253" s="49">
        <f t="shared" si="2324"/>
        <v>0</v>
      </c>
      <c r="BX253" s="49">
        <f t="shared" si="2324"/>
        <v>18</v>
      </c>
      <c r="BY253" s="549">
        <f>IF(COUNT(Q253:U253)&gt;1,MINA(Q253:U253)*BY$9,0)</f>
        <v>0</v>
      </c>
      <c r="BZ253" s="85">
        <f t="shared" si="2325"/>
        <v>0</v>
      </c>
      <c r="CA253" s="85">
        <f t="shared" si="2325"/>
        <v>0</v>
      </c>
      <c r="CB253" s="85">
        <f t="shared" si="2325"/>
        <v>0</v>
      </c>
      <c r="CC253" s="85">
        <f t="shared" si="2325"/>
        <v>0</v>
      </c>
      <c r="CD253" s="85">
        <f t="shared" si="2325"/>
        <v>0</v>
      </c>
      <c r="CE253" s="85">
        <f>IF(AC253=0,0,AC253*CE$9)</f>
        <v>0</v>
      </c>
      <c r="CF253" s="85">
        <f t="shared" si="2326"/>
        <v>0</v>
      </c>
      <c r="CG253" s="85">
        <f t="shared" si="2326"/>
        <v>0</v>
      </c>
      <c r="CH253" s="85">
        <f t="shared" si="2327"/>
        <v>0</v>
      </c>
      <c r="CI253" s="85">
        <f t="shared" si="2327"/>
        <v>31.159999999999997</v>
      </c>
      <c r="CJ253" s="85">
        <f t="shared" si="2327"/>
        <v>0</v>
      </c>
      <c r="CK253" s="85">
        <f t="shared" si="2327"/>
        <v>0</v>
      </c>
      <c r="CL253" s="100">
        <f>SUM(BR253:CK253)</f>
        <v>49.16</v>
      </c>
      <c r="CM253" s="50"/>
      <c r="CN253" s="106">
        <f>J253</f>
        <v>50.8</v>
      </c>
      <c r="CO253" s="101">
        <f>CL253/CN253</f>
        <v>0.9677165354330709</v>
      </c>
      <c r="CP253" s="51">
        <f>Seilareal/Lwl/Lwl</f>
        <v>0.46967455621301768</v>
      </c>
      <c r="CQ253" s="116">
        <f>Seilareal/Depl^0.667/K$7</f>
        <v>0.66052708241723623</v>
      </c>
      <c r="CR253" s="51">
        <f>Seilareal/Lwl/Lwl/SApRS1</f>
        <v>0.71264625539664239</v>
      </c>
      <c r="CS253" s="204"/>
      <c r="CT253" s="204">
        <f>(ROUND(TBF/CT$6,3)*CT$6)*CT$4</f>
        <v>99.500000000000014</v>
      </c>
      <c r="CU253" s="107">
        <f t="shared" si="1041"/>
        <v>0.99354788391370041</v>
      </c>
      <c r="CV253" s="62">
        <f t="shared" si="2119"/>
        <v>2.7026996989070668</v>
      </c>
      <c r="CW253" s="62">
        <f t="shared" si="998"/>
        <v>1.6969959918689959</v>
      </c>
      <c r="CX253" s="62">
        <f t="shared" si="2120"/>
        <v>1.7958015200236968</v>
      </c>
      <c r="CY253" s="107">
        <f t="shared" si="999"/>
        <v>1.032188300975974</v>
      </c>
      <c r="CZ253" s="168" t="str">
        <f t="shared" si="2209"/>
        <v>-</v>
      </c>
      <c r="DA253" s="158"/>
      <c r="DB253" s="168" t="str">
        <f t="shared" si="2289"/>
        <v>-</v>
      </c>
      <c r="DC253" s="160"/>
      <c r="DD253" s="190" t="s">
        <v>134</v>
      </c>
      <c r="DE253" s="62">
        <v>0.75</v>
      </c>
      <c r="DF253" s="62">
        <v>0.79</v>
      </c>
      <c r="DG253" s="62">
        <v>0.78</v>
      </c>
      <c r="DH253" s="150">
        <v>0.81</v>
      </c>
      <c r="DI253" s="62">
        <f t="shared" si="2292"/>
        <v>2.1825047202710279</v>
      </c>
      <c r="DJ253" s="47">
        <f t="shared" si="2293"/>
        <v>14.043109079033311</v>
      </c>
      <c r="DK253" s="48">
        <f t="shared" si="2294"/>
        <v>0</v>
      </c>
      <c r="DM253" s="107">
        <f t="shared" si="2295"/>
        <v>0.96338635382547466</v>
      </c>
      <c r="DN253" s="141" t="str">
        <f t="shared" si="2296"/>
        <v>-</v>
      </c>
      <c r="DO253" s="107">
        <f t="shared" si="2297"/>
        <v>4.3884396335007896</v>
      </c>
      <c r="DP253" s="133">
        <f>IF(SeilBeregnet=0,DP252,(SeilBeregnet^0.5/(Depl^0.3333))^DP$3*DP$7)</f>
        <v>2.6278305782235263</v>
      </c>
      <c r="DQ253" s="133">
        <f>IF(SeilBeregnet=0,DQ252,(SeilBeregnet^0.5/Lwl)^DQ$3*DQ$7)</f>
        <v>0</v>
      </c>
      <c r="DR253" s="133">
        <f>IF(SeilBeregnet=0,DR252,(0.1*Loa/Depl^0.3333)^DR$3*DR$7)</f>
        <v>0</v>
      </c>
      <c r="DS253" s="133">
        <f>IF(SeilBeregnet=0,DS252,((Loa)/Bredde)^DS$3*DS$7)</f>
        <v>1.7606090552772629</v>
      </c>
      <c r="DT253" s="107">
        <f>IF(SeilBeregnet=0,DT252,(Lwl)^DT$3)</f>
        <v>1.7958015200236968</v>
      </c>
      <c r="DU253" s="133">
        <f>IF(SeilBeregnet=0,DU252,(Dypg/Loa)^DU$3*5*DU$7)</f>
        <v>2.1059008718000438</v>
      </c>
      <c r="DW253" s="107">
        <f t="shared" si="1241"/>
        <v>1.0242761689831961</v>
      </c>
      <c r="DX253" s="107">
        <f t="shared" si="2298"/>
        <v>0.97312684685774953</v>
      </c>
      <c r="DZ253" s="107">
        <f t="shared" si="2299"/>
        <v>0.98905806167937749</v>
      </c>
      <c r="EA253" s="122" t="str">
        <f t="shared" si="2300"/>
        <v>-</v>
      </c>
      <c r="EB253" s="107">
        <f t="shared" si="2301"/>
        <v>0.9608489586607295</v>
      </c>
      <c r="EC253" s="122" t="str">
        <f t="shared" si="2302"/>
        <v>-</v>
      </c>
      <c r="ED253" s="107">
        <f t="shared" si="2328"/>
        <v>2.6275984638718204</v>
      </c>
      <c r="EE253" s="107">
        <f t="shared" si="2329"/>
        <v>2.1826153840929692</v>
      </c>
      <c r="EF253" s="107">
        <f t="shared" si="2330"/>
        <v>1.5491658229492145</v>
      </c>
      <c r="EH253" s="107">
        <f t="shared" si="2303"/>
        <v>0.97167809685887585</v>
      </c>
      <c r="EJ253" s="107">
        <f t="shared" si="2331"/>
        <v>2.6275984638718204</v>
      </c>
      <c r="EK253" s="107">
        <f t="shared" si="2332"/>
        <v>2.182768727320779</v>
      </c>
      <c r="EL253" s="107">
        <f t="shared" si="2333"/>
        <v>1.7924148356616389</v>
      </c>
      <c r="EM253" s="107">
        <f t="shared" si="2304"/>
        <v>0.95791927463100734</v>
      </c>
      <c r="EO253" s="107">
        <f t="shared" si="2334"/>
        <v>4.0705857366640803</v>
      </c>
      <c r="EP253" s="107">
        <f t="shared" si="2335"/>
        <v>2.6275984638718204</v>
      </c>
      <c r="EQ253" s="107">
        <f t="shared" si="2336"/>
        <v>1.5491658229492145</v>
      </c>
      <c r="ER253" s="107">
        <f t="shared" si="2337"/>
        <v>1.7958015200236968</v>
      </c>
      <c r="ES253" s="107">
        <f t="shared" si="2305"/>
        <v>0.95941389685920375</v>
      </c>
      <c r="EU253" s="107">
        <f t="shared" si="2338"/>
        <v>1.612722135609463</v>
      </c>
      <c r="EV253" s="107">
        <f t="shared" si="2339"/>
        <v>2.6275984638718204</v>
      </c>
      <c r="EW253" s="107">
        <f t="shared" si="2340"/>
        <v>0.98982881990740235</v>
      </c>
      <c r="EX253" s="107">
        <f t="shared" si="2341"/>
        <v>1.8176735255279128</v>
      </c>
      <c r="EY253" s="107">
        <f t="shared" si="2306"/>
        <v>0.97178271813551642</v>
      </c>
      <c r="FA253" s="107">
        <f t="shared" si="2307"/>
        <v>1.6127933656112241</v>
      </c>
      <c r="FB253" s="107">
        <f t="shared" si="2342"/>
        <v>2.6278305782235263</v>
      </c>
      <c r="FC253" s="107">
        <f t="shared" si="2343"/>
        <v>0.98982881990740235</v>
      </c>
      <c r="FD253" s="107">
        <f t="shared" si="2344"/>
        <v>1.8176735255279128</v>
      </c>
      <c r="FE253" s="107">
        <f t="shared" si="2308"/>
        <v>0.96806167257910447</v>
      </c>
      <c r="FF253" s="141" t="str">
        <f t="shared" si="2309"/>
        <v>-</v>
      </c>
      <c r="FG253" s="107">
        <f t="shared" si="2310"/>
        <v>2.5746461588014218</v>
      </c>
      <c r="FH253" s="133">
        <f t="shared" si="2345"/>
        <v>2.6278305782235263</v>
      </c>
      <c r="FI253" s="133">
        <f t="shared" si="2346"/>
        <v>0.9797610927192808</v>
      </c>
      <c r="FJ253" s="107">
        <f t="shared" si="2347"/>
        <v>1.0221529391087805</v>
      </c>
      <c r="FK253" s="107">
        <f t="shared" si="2311"/>
        <v>0.96123465562023436</v>
      </c>
      <c r="FL253" s="141" t="str">
        <f t="shared" si="2312"/>
        <v>-</v>
      </c>
      <c r="FM253" s="107">
        <f t="shared" si="2313"/>
        <v>4.5626145620761012</v>
      </c>
      <c r="FN253" s="133">
        <f t="shared" si="2348"/>
        <v>2.6278305782235263</v>
      </c>
      <c r="FO253" s="133">
        <f t="shared" si="2349"/>
        <v>0.67417492857531158</v>
      </c>
      <c r="FP253" s="133">
        <f t="shared" si="2350"/>
        <v>1.7606090552772629</v>
      </c>
      <c r="FQ253" s="107">
        <f t="shared" si="2351"/>
        <v>1.7958015200236968</v>
      </c>
      <c r="FR253" s="107">
        <f t="shared" si="2314"/>
        <v>0.97743395311789094</v>
      </c>
      <c r="FS253" s="141" t="str">
        <f t="shared" si="2315"/>
        <v>-</v>
      </c>
      <c r="FT253" s="107">
        <f t="shared" si="2316"/>
        <v>4.6265823117548264</v>
      </c>
      <c r="FU253" s="133">
        <f t="shared" si="2352"/>
        <v>2.6278305782235263</v>
      </c>
      <c r="FV253" s="133">
        <f t="shared" si="2353"/>
        <v>1.7606090552772629</v>
      </c>
      <c r="FW253" s="107">
        <f t="shared" si="2354"/>
        <v>1.7958015200236968</v>
      </c>
      <c r="FY253" s="336">
        <v>1</v>
      </c>
      <c r="FZ253" s="62">
        <f t="shared" si="2074"/>
        <v>1.0907633331162012</v>
      </c>
      <c r="GA253" s="62">
        <f t="shared" si="2075"/>
        <v>2.1059008718000438</v>
      </c>
      <c r="GB253" s="107">
        <f t="shared" si="1270"/>
        <v>1.1014312080786266</v>
      </c>
      <c r="GC253" s="440"/>
      <c r="GD253" s="17"/>
      <c r="GE253" s="442"/>
      <c r="GF253" s="462"/>
      <c r="GG253" s="17"/>
      <c r="GH253" s="17"/>
      <c r="GI253" s="17"/>
      <c r="GJ253" s="17"/>
      <c r="GL253" s="17"/>
      <c r="GM253" s="442"/>
      <c r="GN253" s="8"/>
      <c r="GO253" s="8"/>
      <c r="GP253" s="8"/>
      <c r="GQ253" s="8"/>
      <c r="GS253" s="17"/>
      <c r="GT253" s="17"/>
      <c r="GU253" s="17"/>
      <c r="GV253" s="629"/>
      <c r="GW253" s="17"/>
      <c r="GX253" s="17"/>
      <c r="GY253" s="17"/>
      <c r="GZ253" s="17"/>
    </row>
    <row r="254" spans="1:208" ht="15.6" x14ac:dyDescent="0.3">
      <c r="A254" s="52" t="s">
        <v>37</v>
      </c>
      <c r="B254" s="218">
        <f t="shared" ref="B254:B268" si="2368">Loa/0.3048</f>
        <v>36.318897637795274</v>
      </c>
      <c r="C254" s="53" t="s">
        <v>38</v>
      </c>
      <c r="D254" s="53"/>
      <c r="E254" s="53"/>
      <c r="F254" s="53"/>
      <c r="G254" s="54" t="s">
        <v>32</v>
      </c>
      <c r="H254" s="112">
        <f>J255</f>
        <v>74.2</v>
      </c>
      <c r="I254" s="601">
        <f>H255/100</f>
        <v>1.21</v>
      </c>
      <c r="J254" s="651">
        <f>IF(DC255=0,"-",DC255)</f>
        <v>1.19</v>
      </c>
      <c r="K254" s="123" t="str">
        <f>A254</f>
        <v>Pinta</v>
      </c>
      <c r="L254" s="116"/>
      <c r="M254" s="116"/>
      <c r="N254" s="92"/>
      <c r="O254" s="165"/>
      <c r="P254" s="165"/>
      <c r="Q254" s="165">
        <v>43</v>
      </c>
      <c r="R254" s="165"/>
      <c r="S254" s="165"/>
      <c r="T254" s="165"/>
      <c r="U254" s="165"/>
      <c r="V254" s="560"/>
      <c r="W254" s="560"/>
      <c r="X254" s="165"/>
      <c r="Y254" s="165"/>
      <c r="Z254" s="165"/>
      <c r="AA254" s="165"/>
      <c r="AB254" s="165"/>
      <c r="AC254" s="165"/>
      <c r="AD254" s="165"/>
      <c r="AE254" s="165">
        <v>22</v>
      </c>
      <c r="AF254" s="165"/>
      <c r="AG254" s="552">
        <v>9.1999999999999993</v>
      </c>
      <c r="AH254" s="244">
        <v>10.4</v>
      </c>
      <c r="AI254" s="244">
        <v>10.4</v>
      </c>
      <c r="AJ254" s="554"/>
      <c r="AK254" s="339"/>
      <c r="AL254" s="268"/>
      <c r="AM254" s="339"/>
      <c r="AN254" s="268" t="s">
        <v>211</v>
      </c>
      <c r="AO254" s="45">
        <f>VLOOKUP(AN254,Skrogform!$1:$1048576,3,FALSE)</f>
        <v>0.98</v>
      </c>
      <c r="AP254" s="55">
        <v>11.07</v>
      </c>
      <c r="AQ254" s="55">
        <v>9.0299999999999994</v>
      </c>
      <c r="AR254" s="55">
        <v>3.35</v>
      </c>
      <c r="AS254" s="55">
        <v>1.6</v>
      </c>
      <c r="AT254" s="637">
        <f>AU254</f>
        <v>11.7</v>
      </c>
      <c r="AU254" s="55">
        <v>11.7</v>
      </c>
      <c r="AV254" s="55">
        <v>3</v>
      </c>
      <c r="AW254" s="55">
        <v>0.2</v>
      </c>
      <c r="AX254" s="253"/>
      <c r="AY254" s="253">
        <v>50</v>
      </c>
      <c r="AZ254" s="253">
        <v>250</v>
      </c>
      <c r="BA254" s="253"/>
      <c r="BB254" s="253"/>
      <c r="BC254" s="244">
        <f>Depl+Diesel/1000*0.84+Vann/1000</f>
        <v>11.7</v>
      </c>
      <c r="BD254" s="95">
        <f>Bredde/(Loa+Lwl)*2</f>
        <v>0.33333333333333331</v>
      </c>
      <c r="BE254" s="95">
        <f>(Kjøl+Ballast)/Depl</f>
        <v>0.27350427350427353</v>
      </c>
      <c r="BF254" s="260">
        <f>BF$7*((Depl-Kjøl-Ballast-VektMotor/1000-VektAnnet/1000)/Lwl/Lwl/Bredde)</f>
        <v>1.139759615102133</v>
      </c>
      <c r="BG254" s="95">
        <f>BG$7*(Depl/Loa/Lwl/Lwl)</f>
        <v>0.95384317234304894</v>
      </c>
      <c r="BH254" s="174">
        <f>BH$7*(Depl/Loa/Lwl/Bredde)</f>
        <v>0.95036893161612745</v>
      </c>
      <c r="BI254" s="95">
        <f>BI$7*Bredde/(Loa+Lwl)*2</f>
        <v>0.95089605734767024</v>
      </c>
      <c r="BJ254" s="95">
        <f>BJ$7*(Dypg/Lwl)</f>
        <v>0.96913669411141612</v>
      </c>
      <c r="BK254" s="56" t="s">
        <v>39</v>
      </c>
      <c r="BL254" s="268">
        <v>3</v>
      </c>
      <c r="BM254" s="268">
        <v>35</v>
      </c>
      <c r="BN254" s="45">
        <f t="shared" si="2291"/>
        <v>0.98911776272570606</v>
      </c>
      <c r="BO254" s="59"/>
      <c r="BP254" s="59"/>
      <c r="BR254" s="209"/>
      <c r="BS254" s="209"/>
      <c r="BT254" s="209" t="str">
        <f>$A254</f>
        <v>Pinta</v>
      </c>
      <c r="BU254" s="10"/>
      <c r="BV254" s="10"/>
      <c r="BW254" s="10"/>
      <c r="BX254" s="10"/>
      <c r="BY254" s="549"/>
      <c r="BZ254" s="10"/>
      <c r="CA254" s="10"/>
      <c r="CB254" s="209" t="str">
        <f>$A254</f>
        <v>Pinta</v>
      </c>
      <c r="CC254" s="10"/>
      <c r="CD254" s="10"/>
      <c r="CE254" s="10"/>
      <c r="CF254" s="10"/>
      <c r="CG254" s="10"/>
      <c r="CH254" s="10"/>
      <c r="CI254" s="10"/>
      <c r="CJ254" s="10"/>
      <c r="CK254" s="10"/>
      <c r="CL254" s="209"/>
      <c r="CM254" s="10"/>
      <c r="CN254" s="209" t="str">
        <f>$A254</f>
        <v>Pinta</v>
      </c>
      <c r="CO254" s="207"/>
      <c r="CP254" s="207"/>
      <c r="CQ254" s="116"/>
      <c r="CR254" s="207"/>
      <c r="CS254" s="203"/>
      <c r="CT254" s="203" t="s">
        <v>23</v>
      </c>
      <c r="CU254" s="107" t="str">
        <f t="shared" si="1041"/>
        <v>-</v>
      </c>
      <c r="CV254" s="62" t="str">
        <f t="shared" si="2119"/>
        <v>-</v>
      </c>
      <c r="CW254" s="62" t="str">
        <f t="shared" si="998"/>
        <v>-</v>
      </c>
      <c r="CX254" s="62" t="str">
        <f t="shared" si="2120"/>
        <v>-</v>
      </c>
      <c r="CY254" s="107" t="str">
        <f t="shared" si="999"/>
        <v>-</v>
      </c>
      <c r="CZ254" s="168" t="str">
        <f t="shared" si="2209"/>
        <v>-</v>
      </c>
      <c r="DA254" s="158"/>
      <c r="DB254" s="168" t="str">
        <f t="shared" si="2289"/>
        <v>-</v>
      </c>
      <c r="DC254" s="160">
        <v>1.19</v>
      </c>
      <c r="DD254" s="190" t="s">
        <v>134</v>
      </c>
      <c r="DE254" s="29" t="s">
        <v>23</v>
      </c>
      <c r="DF254" s="29" t="s">
        <v>23</v>
      </c>
      <c r="DG254" s="29" t="s">
        <v>23</v>
      </c>
      <c r="DH254" s="149">
        <v>2022</v>
      </c>
      <c r="DI254" s="62" t="str">
        <f t="shared" si="2292"/>
        <v>-</v>
      </c>
      <c r="DJ254" s="47">
        <f t="shared" si="2293"/>
        <v>11.958146487294471</v>
      </c>
      <c r="DK254" s="48">
        <f t="shared" si="2294"/>
        <v>0</v>
      </c>
      <c r="DM254" s="107" t="str">
        <f t="shared" si="2295"/>
        <v>-</v>
      </c>
      <c r="DN254" s="141" t="str">
        <f t="shared" si="2296"/>
        <v>-</v>
      </c>
      <c r="DO254" s="107" t="e">
        <f t="shared" si="2297"/>
        <v>#REF!</v>
      </c>
      <c r="DP254" s="133" t="e">
        <f>IF(SeilBeregnet=0,#REF!,(SeilBeregnet^0.5/(Depl^0.3333))^DP$3*DP$7)</f>
        <v>#REF!</v>
      </c>
      <c r="DQ254" s="133" t="e">
        <f>IF(SeilBeregnet=0,#REF!,(SeilBeregnet^0.5/Lwl)^DQ$3*DQ$7)</f>
        <v>#REF!</v>
      </c>
      <c r="DR254" s="133" t="e">
        <f>IF(SeilBeregnet=0,#REF!,(0.1*Loa/Depl^0.3333)^DR$3*DR$7)</f>
        <v>#REF!</v>
      </c>
      <c r="DS254" s="133" t="e">
        <f>IF(SeilBeregnet=0,#REF!,((Loa)/Bredde)^DS$3*DS$7)</f>
        <v>#REF!</v>
      </c>
      <c r="DT254" s="107" t="e">
        <f>IF(SeilBeregnet=0,#REF!,(Lwl)^DT$3)</f>
        <v>#REF!</v>
      </c>
      <c r="DU254" s="133" t="e">
        <f>IF(SeilBeregnet=0,#REF!,(Dypg/Loa)^DU$3*5*DU$7)</f>
        <v>#REF!</v>
      </c>
      <c r="DW254" s="107" t="str">
        <f t="shared" si="417"/>
        <v>-</v>
      </c>
      <c r="DX254" s="107" t="str">
        <f t="shared" si="2298"/>
        <v>-</v>
      </c>
      <c r="DZ254" s="107" t="str">
        <f t="shared" si="2299"/>
        <v>-</v>
      </c>
      <c r="EA254" s="122" t="str">
        <f t="shared" si="2300"/>
        <v>-</v>
      </c>
      <c r="EB254" s="107" t="str">
        <f t="shared" si="2301"/>
        <v>-</v>
      </c>
      <c r="EC254" s="122" t="str">
        <f t="shared" si="2302"/>
        <v>-</v>
      </c>
      <c r="ED254" s="107">
        <f t="shared" si="2328"/>
        <v>2.6275984638718204</v>
      </c>
      <c r="EE254" s="107">
        <f t="shared" si="2329"/>
        <v>2.1826153840929692</v>
      </c>
      <c r="EF254" s="107">
        <f t="shared" si="2330"/>
        <v>1.5491658229492145</v>
      </c>
      <c r="EH254" s="107" t="str">
        <f t="shared" si="2303"/>
        <v>-</v>
      </c>
      <c r="EJ254" s="107">
        <f t="shared" si="2331"/>
        <v>2.6275984638718204</v>
      </c>
      <c r="EK254" s="107">
        <f t="shared" si="2332"/>
        <v>2.182768727320779</v>
      </c>
      <c r="EL254" s="107">
        <f t="shared" si="2333"/>
        <v>1.7924148356616389</v>
      </c>
      <c r="EM254" s="107" t="str">
        <f t="shared" si="2304"/>
        <v>-</v>
      </c>
      <c r="EO254" s="107">
        <f t="shared" si="2334"/>
        <v>4.0705857366640803</v>
      </c>
      <c r="EP254" s="107">
        <f t="shared" si="2335"/>
        <v>2.6275984638718204</v>
      </c>
      <c r="EQ254" s="107">
        <f t="shared" si="2336"/>
        <v>1.5491658229492145</v>
      </c>
      <c r="ER254" s="107">
        <f t="shared" si="2337"/>
        <v>1.7958015200236968</v>
      </c>
      <c r="ES254" s="107" t="str">
        <f t="shared" si="2305"/>
        <v>-</v>
      </c>
      <c r="EU254" s="107">
        <f t="shared" si="2338"/>
        <v>1.612722135609463</v>
      </c>
      <c r="EV254" s="107">
        <f t="shared" si="2339"/>
        <v>2.6275984638718204</v>
      </c>
      <c r="EW254" s="107">
        <f t="shared" si="2340"/>
        <v>0.98982881990740235</v>
      </c>
      <c r="EX254" s="107">
        <f t="shared" si="2341"/>
        <v>1.8176735255279128</v>
      </c>
      <c r="EY254" s="107" t="str">
        <f t="shared" si="2306"/>
        <v>-</v>
      </c>
      <c r="FA254" s="107">
        <f t="shared" si="2307"/>
        <v>1.6127933656112241</v>
      </c>
      <c r="FB254" s="107">
        <f t="shared" si="2342"/>
        <v>2.6278305782235263</v>
      </c>
      <c r="FC254" s="107">
        <f t="shared" si="2343"/>
        <v>0.98982881990740235</v>
      </c>
      <c r="FD254" s="107">
        <f t="shared" si="2344"/>
        <v>1.8176735255279128</v>
      </c>
      <c r="FE254" s="107" t="str">
        <f t="shared" si="2308"/>
        <v>-</v>
      </c>
      <c r="FF254" s="141" t="str">
        <f t="shared" si="2309"/>
        <v>-</v>
      </c>
      <c r="FG254" s="107">
        <f t="shared" si="2310"/>
        <v>2.5746461588014218</v>
      </c>
      <c r="FH254" s="133">
        <f t="shared" si="2345"/>
        <v>2.6278305782235263</v>
      </c>
      <c r="FI254" s="133">
        <f t="shared" si="2346"/>
        <v>0.9797610927192808</v>
      </c>
      <c r="FJ254" s="107">
        <f t="shared" si="2347"/>
        <v>1.0221529391087805</v>
      </c>
      <c r="FK254" s="107" t="str">
        <f t="shared" si="2311"/>
        <v>-</v>
      </c>
      <c r="FL254" s="141" t="str">
        <f t="shared" si="2312"/>
        <v>-</v>
      </c>
      <c r="FM254" s="107">
        <f t="shared" si="2313"/>
        <v>4.5626145620761012</v>
      </c>
      <c r="FN254" s="133">
        <f t="shared" si="2348"/>
        <v>2.6278305782235263</v>
      </c>
      <c r="FO254" s="133">
        <f t="shared" si="2349"/>
        <v>0.67417492857531158</v>
      </c>
      <c r="FP254" s="133">
        <f t="shared" si="2350"/>
        <v>1.7606090552772629</v>
      </c>
      <c r="FQ254" s="107">
        <f t="shared" si="2351"/>
        <v>1.7958015200236968</v>
      </c>
      <c r="FR254" s="107" t="str">
        <f t="shared" si="2314"/>
        <v>-</v>
      </c>
      <c r="FS254" s="141" t="str">
        <f t="shared" si="2315"/>
        <v>-</v>
      </c>
      <c r="FT254" s="107">
        <f t="shared" si="2316"/>
        <v>4.6265823117548264</v>
      </c>
      <c r="FU254" s="133">
        <f t="shared" si="2352"/>
        <v>2.6278305782235263</v>
      </c>
      <c r="FV254" s="133">
        <f t="shared" si="2353"/>
        <v>1.7606090552772629</v>
      </c>
      <c r="FW254" s="107">
        <f t="shared" si="2354"/>
        <v>1.7958015200236968</v>
      </c>
      <c r="FY254" s="336">
        <v>1</v>
      </c>
      <c r="FZ254" s="62" t="str">
        <f t="shared" si="2074"/>
        <v>-</v>
      </c>
      <c r="GA254" s="62">
        <f t="shared" si="2075"/>
        <v>1.9008864950406701</v>
      </c>
      <c r="GB254" s="107" t="str">
        <f t="shared" si="1270"/>
        <v>-</v>
      </c>
      <c r="GC254" s="441" t="s">
        <v>40</v>
      </c>
      <c r="GD254" s="57" t="s">
        <v>40</v>
      </c>
      <c r="GE254" s="436"/>
      <c r="GF254" s="75" t="s">
        <v>41</v>
      </c>
      <c r="GG254" s="57"/>
      <c r="GH254" s="57"/>
      <c r="GI254" s="57"/>
      <c r="GJ254" s="57"/>
      <c r="GL254" s="57" t="s">
        <v>478</v>
      </c>
      <c r="GM254" s="436" t="s">
        <v>478</v>
      </c>
      <c r="GN254" s="58" t="s">
        <v>478</v>
      </c>
      <c r="GO254" s="58" t="s">
        <v>478</v>
      </c>
      <c r="GP254" s="58" t="s">
        <v>478</v>
      </c>
      <c r="GQ254" s="58" t="s">
        <v>478</v>
      </c>
      <c r="GS254" s="57"/>
      <c r="GT254" s="57"/>
      <c r="GU254" s="57"/>
      <c r="GV254" s="632"/>
      <c r="GW254" s="57"/>
      <c r="GX254" s="57"/>
      <c r="GY254" s="57"/>
      <c r="GZ254" s="57"/>
    </row>
    <row r="255" spans="1:208" ht="15.6" x14ac:dyDescent="0.3">
      <c r="A255" s="60" t="s">
        <v>46</v>
      </c>
      <c r="B255" s="218"/>
      <c r="C255" s="61" t="str">
        <f>C254</f>
        <v>Bermuda</v>
      </c>
      <c r="D255" s="61"/>
      <c r="E255" s="61"/>
      <c r="F255" s="61"/>
      <c r="G255" s="54"/>
      <c r="H255" s="204">
        <f>IF(StH=0,0,TBFavrundet)</f>
        <v>121</v>
      </c>
      <c r="I255" s="63">
        <f>COUNTA(O255:AG255)</f>
        <v>3</v>
      </c>
      <c r="J255" s="222">
        <f>SUM(O255:AG255)</f>
        <v>74.2</v>
      </c>
      <c r="K255" s="116">
        <f>Seilareal/Depl^0.667/K$7</f>
        <v>1.3331514948011436</v>
      </c>
      <c r="L255" s="116">
        <f>Seilareal/Lwl/Lwl/L$7</f>
        <v>1.3807192455919164</v>
      </c>
      <c r="M255" s="92">
        <f>RiggF</f>
        <v>0.94952830188679238</v>
      </c>
      <c r="N255" s="242">
        <f>StHfaktor</f>
        <v>1.0178134805115575</v>
      </c>
      <c r="O255" s="143"/>
      <c r="P255" s="143"/>
      <c r="Q255" s="165">
        <v>43</v>
      </c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65">
        <v>22</v>
      </c>
      <c r="AF255" s="143"/>
      <c r="AG255" s="552">
        <v>9.1999999999999993</v>
      </c>
      <c r="AH255" s="557">
        <f t="shared" ref="AH255:AI255" si="2369">AH254</f>
        <v>10.4</v>
      </c>
      <c r="AI255" s="557">
        <f t="shared" si="2369"/>
        <v>10.4</v>
      </c>
      <c r="AJ255" s="337">
        <f t="shared" si="2318"/>
        <v>0</v>
      </c>
      <c r="AK255" s="339"/>
      <c r="AL255" s="337">
        <f t="shared" si="2318"/>
        <v>0</v>
      </c>
      <c r="AM255" s="339"/>
      <c r="AN255" s="267" t="str">
        <f t="shared" ref="AN255" si="2370" xml:space="preserve"> AN254</f>
        <v>Lystb</v>
      </c>
      <c r="AO255" s="45">
        <f>VLOOKUP(AN255,Skrogform!$1:$1048576,3,FALSE)</f>
        <v>0.98</v>
      </c>
      <c r="AP255" s="64">
        <f t="shared" ref="AP255:AZ256" si="2371">AP254</f>
        <v>11.07</v>
      </c>
      <c r="AQ255" s="64">
        <f t="shared" si="2371"/>
        <v>9.0299999999999994</v>
      </c>
      <c r="AR255" s="64">
        <f t="shared" si="2371"/>
        <v>3.35</v>
      </c>
      <c r="AS255" s="64">
        <f t="shared" si="2371"/>
        <v>1.6</v>
      </c>
      <c r="AT255" s="64">
        <f t="shared" ref="AT255" si="2372">AT254</f>
        <v>11.7</v>
      </c>
      <c r="AU255" s="64">
        <f t="shared" si="2371"/>
        <v>11.7</v>
      </c>
      <c r="AV255" s="64">
        <f t="shared" si="2371"/>
        <v>3</v>
      </c>
      <c r="AW255" s="64">
        <f t="shared" si="2371"/>
        <v>0.2</v>
      </c>
      <c r="AX255" s="256">
        <f>AX254</f>
        <v>0</v>
      </c>
      <c r="AY255" s="256">
        <f t="shared" si="2371"/>
        <v>50</v>
      </c>
      <c r="AZ255" s="256">
        <f t="shared" si="2371"/>
        <v>250</v>
      </c>
      <c r="BA255" s="256">
        <f t="shared" ref="BA255:BB255" si="2373">BA254</f>
        <v>0</v>
      </c>
      <c r="BB255" s="256">
        <f t="shared" si="2373"/>
        <v>0</v>
      </c>
      <c r="BC255" s="256"/>
      <c r="BD255" s="66"/>
      <c r="BE255" s="66"/>
      <c r="BF255" s="261"/>
      <c r="BG255" s="66"/>
      <c r="BH255" s="175"/>
      <c r="BI255" s="66"/>
      <c r="BJ255" s="66"/>
      <c r="BK255" s="65" t="str">
        <f t="shared" ref="BK255:BM256" si="2374" xml:space="preserve"> BK254</f>
        <v>Fast</v>
      </c>
      <c r="BL255" s="267">
        <f t="shared" si="2374"/>
        <v>3</v>
      </c>
      <c r="BM255" s="267">
        <f t="shared" si="2374"/>
        <v>35</v>
      </c>
      <c r="BN255" s="45">
        <f t="shared" si="2291"/>
        <v>0.98911776272570606</v>
      </c>
      <c r="BO255" s="59"/>
      <c r="BP255" s="59"/>
      <c r="BR255" s="49">
        <f t="shared" ref="BR255:BX256" si="2375">IF(O255=0,0,O255*BR$9)</f>
        <v>0</v>
      </c>
      <c r="BS255" s="49">
        <f t="shared" si="2375"/>
        <v>0</v>
      </c>
      <c r="BT255" s="49">
        <f t="shared" si="2375"/>
        <v>43</v>
      </c>
      <c r="BU255" s="49">
        <f t="shared" si="2375"/>
        <v>0</v>
      </c>
      <c r="BV255" s="49">
        <f t="shared" si="2375"/>
        <v>0</v>
      </c>
      <c r="BW255" s="49">
        <f t="shared" si="2375"/>
        <v>0</v>
      </c>
      <c r="BX255" s="49">
        <f t="shared" si="2375"/>
        <v>0</v>
      </c>
      <c r="BY255" s="549">
        <f>IF(COUNT(Q255:U255)&gt;1,MINA(Q255:U255)*BY$9,0)</f>
        <v>0</v>
      </c>
      <c r="BZ255" s="85">
        <f t="shared" ref="BZ255:CD256" si="2376">IF(V255=0,0,V255*BZ$9)</f>
        <v>0</v>
      </c>
      <c r="CA255" s="85">
        <f t="shared" si="2376"/>
        <v>0</v>
      </c>
      <c r="CB255" s="85">
        <f t="shared" si="2376"/>
        <v>0</v>
      </c>
      <c r="CC255" s="85">
        <f t="shared" si="2376"/>
        <v>0</v>
      </c>
      <c r="CD255" s="85">
        <f t="shared" si="2376"/>
        <v>0</v>
      </c>
      <c r="CE255" s="85">
        <f>IF(AC255=0,0,AC255*CE$9)</f>
        <v>0</v>
      </c>
      <c r="CF255" s="85">
        <f>IF(AA255=0,0,AA255*CF$9)</f>
        <v>0</v>
      </c>
      <c r="CG255" s="85">
        <f>IF(AB255=0,0,AB255*CG$9)</f>
        <v>0</v>
      </c>
      <c r="CH255" s="85">
        <f t="shared" ref="CH255:CK256" si="2377">IF(AD255=0,0,AD255*CH$9)</f>
        <v>0</v>
      </c>
      <c r="CI255" s="85">
        <f t="shared" si="2377"/>
        <v>20.9</v>
      </c>
      <c r="CJ255" s="85">
        <f t="shared" si="2377"/>
        <v>0</v>
      </c>
      <c r="CK255" s="85">
        <f t="shared" si="2377"/>
        <v>6.5549999999999988</v>
      </c>
      <c r="CL255" s="100">
        <f>SUM(BR255:CK255)</f>
        <v>70.454999999999998</v>
      </c>
      <c r="CM255" s="50"/>
      <c r="CN255" s="106">
        <f>J255</f>
        <v>74.2</v>
      </c>
      <c r="CO255" s="101">
        <f>CL255/CN255</f>
        <v>0.94952830188679238</v>
      </c>
      <c r="CP255" s="51">
        <f>Seilareal/Lwl/Lwl</f>
        <v>0.9099727866628895</v>
      </c>
      <c r="CQ255" s="116">
        <f>Seilareal/Depl^0.667/K$7</f>
        <v>1.3331514948011436</v>
      </c>
      <c r="CR255" s="51">
        <f>Seilareal/Lwl/Lwl/SApRS1</f>
        <v>1.3807192455919164</v>
      </c>
      <c r="CS255" s="204"/>
      <c r="CT255" s="204">
        <f>(ROUND(TBF/CT$6,3)*CT$6)*CT$4</f>
        <v>121</v>
      </c>
      <c r="CU255" s="107">
        <f t="shared" si="1041"/>
        <v>1.2095777359551714</v>
      </c>
      <c r="CV255" s="62">
        <f t="shared" si="2119"/>
        <v>3.7420402492518288</v>
      </c>
      <c r="CW255" s="62">
        <f t="shared" si="998"/>
        <v>1.7320508075688772</v>
      </c>
      <c r="CX255" s="62">
        <f t="shared" si="2120"/>
        <v>1.7334923825224453</v>
      </c>
      <c r="CY255" s="107">
        <f t="shared" si="999"/>
        <v>1.0178134805115575</v>
      </c>
      <c r="CZ255" s="168" t="str">
        <f t="shared" si="2209"/>
        <v>-</v>
      </c>
      <c r="DA255" s="159"/>
      <c r="DB255" s="168">
        <f t="shared" si="2289"/>
        <v>1.1064912280701755</v>
      </c>
      <c r="DC255" s="159">
        <f>DC254</f>
        <v>1.19</v>
      </c>
      <c r="DD255" s="190" t="s">
        <v>134</v>
      </c>
      <c r="DE255" s="62">
        <v>0.93</v>
      </c>
      <c r="DF255" s="62">
        <v>0.9</v>
      </c>
      <c r="DG255" s="62">
        <v>0.98</v>
      </c>
      <c r="DH255" s="62">
        <v>1</v>
      </c>
      <c r="DI255" s="62">
        <f t="shared" si="2292"/>
        <v>2.01863515986921</v>
      </c>
      <c r="DJ255" s="47">
        <f t="shared" si="2293"/>
        <v>11.958146487294471</v>
      </c>
      <c r="DK255" s="48">
        <f t="shared" si="2294"/>
        <v>0</v>
      </c>
      <c r="DM255" s="107">
        <f t="shared" si="2295"/>
        <v>1.1726727857414565</v>
      </c>
      <c r="DN255" s="141">
        <f t="shared" si="2296"/>
        <v>-6.1590210131167389</v>
      </c>
      <c r="DO255" s="107">
        <f t="shared" si="2297"/>
        <v>5.5155042399657637</v>
      </c>
      <c r="DP255" s="133">
        <f>IF(SeilBeregnet=0,DP254,(SeilBeregnet^0.5/(Depl^0.3333))^DP$3*DP$7)</f>
        <v>3.6976820231523875</v>
      </c>
      <c r="DQ255" s="133">
        <f>IF(SeilBeregnet=0,DQ254,(SeilBeregnet^0.5/Lwl)^DQ$3*DQ$7)</f>
        <v>0</v>
      </c>
      <c r="DR255" s="133">
        <f>IF(SeilBeregnet=0,DR254,(0.1*Loa/Depl^0.3333)^DR$3*DR$7)</f>
        <v>0</v>
      </c>
      <c r="DS255" s="133">
        <f>IF(SeilBeregnet=0,DS254,((Loa)/Bredde)^DS$3*DS$7)</f>
        <v>1.8178222168133764</v>
      </c>
      <c r="DT255" s="107">
        <f>IF(SeilBeregnet=0,DT254,(Lwl)^DT$3)</f>
        <v>1.7334923825224453</v>
      </c>
      <c r="DU255" s="133">
        <f>IF(SeilBeregnet=0,DU254,(Dypg/Loa)^DU$3*5*DU$7)</f>
        <v>1.9008864950406701</v>
      </c>
      <c r="DW255" s="107">
        <f t="shared" si="417"/>
        <v>1.2342629958726239</v>
      </c>
      <c r="DX255" s="107">
        <f t="shared" si="2298"/>
        <v>1.2229947534350269</v>
      </c>
      <c r="DY255" s="122">
        <f>DX255-DW255</f>
        <v>-1.1268242437596943E-2</v>
      </c>
      <c r="DZ255" s="107">
        <f t="shared" si="2299"/>
        <v>1.1895310119108669</v>
      </c>
      <c r="EA255" s="122">
        <f t="shared" si="2300"/>
        <v>-4.4731983961757038E-2</v>
      </c>
      <c r="EB255" s="107">
        <f t="shared" si="2301"/>
        <v>1.2064876272112</v>
      </c>
      <c r="EC255" s="122">
        <f t="shared" si="2302"/>
        <v>-2.7775368661423938E-2</v>
      </c>
      <c r="ED255" s="107">
        <f t="shared" si="2328"/>
        <v>3.6974091898950352</v>
      </c>
      <c r="EE255" s="107">
        <f t="shared" si="2329"/>
        <v>2.0822397225198168</v>
      </c>
      <c r="EF255" s="107">
        <f t="shared" si="2330"/>
        <v>1.5650845800732873</v>
      </c>
      <c r="EH255" s="107">
        <f t="shared" si="2303"/>
        <v>1.1946730338062774</v>
      </c>
      <c r="EJ255" s="107">
        <f t="shared" si="2331"/>
        <v>3.6974091898950352</v>
      </c>
      <c r="EK255" s="107">
        <f t="shared" si="2332"/>
        <v>2.0823771893838408</v>
      </c>
      <c r="EL255" s="107">
        <f t="shared" si="2333"/>
        <v>1.8170120679720481</v>
      </c>
      <c r="EM255" s="107">
        <f t="shared" si="2304"/>
        <v>1.1900254811989399</v>
      </c>
      <c r="EO255" s="107">
        <f t="shared" si="2334"/>
        <v>5.7867581093259846</v>
      </c>
      <c r="EP255" s="107">
        <f t="shared" si="2335"/>
        <v>3.6974091898950352</v>
      </c>
      <c r="EQ255" s="107">
        <f t="shared" si="2336"/>
        <v>1.5650845800732873</v>
      </c>
      <c r="ER255" s="107">
        <f t="shared" si="2337"/>
        <v>1.7334923825224453</v>
      </c>
      <c r="ES255" s="107">
        <f t="shared" si="2305"/>
        <v>1.1932913270253909</v>
      </c>
      <c r="EU255" s="107">
        <f t="shared" si="2338"/>
        <v>1.922864839216484</v>
      </c>
      <c r="EV255" s="107">
        <f t="shared" si="2339"/>
        <v>3.6974091898950352</v>
      </c>
      <c r="EW255" s="107">
        <f t="shared" si="2340"/>
        <v>1</v>
      </c>
      <c r="EX255" s="107">
        <f t="shared" si="2341"/>
        <v>1.762145567443743</v>
      </c>
      <c r="EY255" s="107">
        <f t="shared" si="2306"/>
        <v>1.1269866812106242</v>
      </c>
      <c r="FA255" s="107">
        <f t="shared" si="2307"/>
        <v>1.9229357823787012</v>
      </c>
      <c r="FB255" s="107">
        <f t="shared" si="2342"/>
        <v>3.6976820231523875</v>
      </c>
      <c r="FC255" s="107">
        <f t="shared" si="2343"/>
        <v>1</v>
      </c>
      <c r="FD255" s="107">
        <f t="shared" si="2344"/>
        <v>1.762145567443743</v>
      </c>
      <c r="FE255" s="107">
        <f t="shared" si="2308"/>
        <v>1.1727549805129616</v>
      </c>
      <c r="FF255" s="141">
        <f t="shared" si="2309"/>
        <v>-6.1508015359662327</v>
      </c>
      <c r="FG255" s="107">
        <f t="shared" si="2310"/>
        <v>3.6976820231523875</v>
      </c>
      <c r="FH255" s="133">
        <f t="shared" si="2345"/>
        <v>3.6976820231523875</v>
      </c>
      <c r="FI255" s="133">
        <f t="shared" si="2346"/>
        <v>1</v>
      </c>
      <c r="FJ255" s="107">
        <f t="shared" si="2347"/>
        <v>0.99092727357461408</v>
      </c>
      <c r="FK255" s="107">
        <f t="shared" si="2311"/>
        <v>1.2130312875522951</v>
      </c>
      <c r="FL255" s="141">
        <f t="shared" si="2312"/>
        <v>-2.1231708320328835</v>
      </c>
      <c r="FM255" s="107">
        <f t="shared" si="2313"/>
        <v>5.9450444031019281</v>
      </c>
      <c r="FN255" s="133">
        <f t="shared" si="2348"/>
        <v>3.6976820231523875</v>
      </c>
      <c r="FO255" s="133">
        <f t="shared" si="2349"/>
        <v>0.92954016313616372</v>
      </c>
      <c r="FP255" s="133">
        <f t="shared" si="2350"/>
        <v>1.8178222168133764</v>
      </c>
      <c r="FQ255" s="107">
        <f t="shared" si="2351"/>
        <v>1.7334923825224453</v>
      </c>
      <c r="FR255" s="107">
        <f t="shared" si="2314"/>
        <v>1.1765617342959258</v>
      </c>
      <c r="FS255" s="141">
        <f t="shared" si="2315"/>
        <v>-5.7701261576698082</v>
      </c>
      <c r="FT255" s="107">
        <f t="shared" si="2316"/>
        <v>6.7217285323978437</v>
      </c>
      <c r="FU255" s="133">
        <f t="shared" si="2352"/>
        <v>3.6976820231523875</v>
      </c>
      <c r="FV255" s="133">
        <f t="shared" si="2353"/>
        <v>1.8178222168133764</v>
      </c>
      <c r="FW255" s="107">
        <f t="shared" si="2354"/>
        <v>1.7334923825224453</v>
      </c>
      <c r="FY255" s="336">
        <v>1</v>
      </c>
      <c r="FZ255" s="62">
        <f t="shared" si="2074"/>
        <v>1.2024061120734988</v>
      </c>
      <c r="GA255" s="62">
        <f t="shared" si="2075"/>
        <v>1.9008864950406701</v>
      </c>
      <c r="GB255" s="107">
        <f t="shared" si="1270"/>
        <v>1.3357941469199406</v>
      </c>
      <c r="GC255" s="440"/>
      <c r="GD255" s="17"/>
      <c r="GE255" s="442"/>
      <c r="GF255" s="462"/>
      <c r="GG255" s="17"/>
      <c r="GH255" s="17"/>
      <c r="GI255" s="17"/>
      <c r="GJ255" s="17"/>
      <c r="GL255" s="17"/>
      <c r="GM255" s="442"/>
      <c r="GN255" s="8"/>
      <c r="GO255" s="8"/>
      <c r="GP255" s="8"/>
      <c r="GQ255" s="8"/>
      <c r="GS255" s="17"/>
      <c r="GT255" s="17"/>
      <c r="GU255" s="17"/>
      <c r="GV255" s="629"/>
      <c r="GW255" s="17"/>
      <c r="GX255" s="17"/>
      <c r="GY255" s="17"/>
      <c r="GZ255" s="17"/>
    </row>
    <row r="256" spans="1:208" ht="15.6" x14ac:dyDescent="0.3">
      <c r="A256" s="60" t="s">
        <v>68</v>
      </c>
      <c r="B256" s="218"/>
      <c r="C256" s="61" t="str">
        <f t="shared" ref="C256" si="2378">C255</f>
        <v>Bermuda</v>
      </c>
      <c r="D256" s="61"/>
      <c r="E256" s="61"/>
      <c r="F256" s="61"/>
      <c r="G256" s="54"/>
      <c r="H256" s="204">
        <f>IF(StH=0,0,TBFavrundet)</f>
        <v>117.00000000000001</v>
      </c>
      <c r="I256" s="63">
        <f>COUNTA(O256:AG256)</f>
        <v>2</v>
      </c>
      <c r="J256" s="222">
        <f>SUM(O256:AG256)</f>
        <v>65</v>
      </c>
      <c r="K256" s="116">
        <f>Seilareal/Depl^0.667/K$7</f>
        <v>1.1678550830468237</v>
      </c>
      <c r="L256" s="116">
        <f>Seilareal/Lwl/Lwl/L$7</f>
        <v>1.2095249455993877</v>
      </c>
      <c r="M256" s="92">
        <f>RiggF</f>
        <v>0.98307692307692307</v>
      </c>
      <c r="N256" s="242">
        <f>StHfaktor</f>
        <v>1.0178134805115575</v>
      </c>
      <c r="O256" s="143"/>
      <c r="P256" s="143"/>
      <c r="Q256" s="165">
        <v>43</v>
      </c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65">
        <v>22</v>
      </c>
      <c r="AF256" s="143"/>
      <c r="AG256" s="551"/>
      <c r="AH256" s="557">
        <f t="shared" ref="AH256:AI256" si="2379">AH255</f>
        <v>10.4</v>
      </c>
      <c r="AI256" s="557">
        <f t="shared" si="2379"/>
        <v>10.4</v>
      </c>
      <c r="AJ256" s="337">
        <f t="shared" si="2318"/>
        <v>0</v>
      </c>
      <c r="AK256" s="339"/>
      <c r="AL256" s="337">
        <f t="shared" si="2318"/>
        <v>0</v>
      </c>
      <c r="AM256" s="339"/>
      <c r="AN256" s="267" t="str">
        <f t="shared" ref="AN256" si="2380" xml:space="preserve"> AN255</f>
        <v>Lystb</v>
      </c>
      <c r="AO256" s="45">
        <f>VLOOKUP(AN256,Skrogform!$1:$1048576,3,FALSE)</f>
        <v>0.98</v>
      </c>
      <c r="AP256" s="64">
        <f t="shared" si="2371"/>
        <v>11.07</v>
      </c>
      <c r="AQ256" s="64">
        <f t="shared" si="2371"/>
        <v>9.0299999999999994</v>
      </c>
      <c r="AR256" s="64">
        <f t="shared" si="2371"/>
        <v>3.35</v>
      </c>
      <c r="AS256" s="64">
        <f t="shared" si="2371"/>
        <v>1.6</v>
      </c>
      <c r="AT256" s="64">
        <f t="shared" ref="AT256" si="2381">AT255</f>
        <v>11.7</v>
      </c>
      <c r="AU256" s="64">
        <f t="shared" si="2371"/>
        <v>11.7</v>
      </c>
      <c r="AV256" s="64">
        <f t="shared" si="2371"/>
        <v>3</v>
      </c>
      <c r="AW256" s="64">
        <f t="shared" si="2371"/>
        <v>0.2</v>
      </c>
      <c r="AX256" s="256">
        <f>AX255</f>
        <v>0</v>
      </c>
      <c r="AY256" s="256">
        <f t="shared" si="2371"/>
        <v>50</v>
      </c>
      <c r="AZ256" s="256">
        <f t="shared" si="2371"/>
        <v>250</v>
      </c>
      <c r="BA256" s="256">
        <f t="shared" ref="BA256:BB256" si="2382">BA255</f>
        <v>0</v>
      </c>
      <c r="BB256" s="256">
        <f t="shared" si="2382"/>
        <v>0</v>
      </c>
      <c r="BC256" s="256"/>
      <c r="BD256" s="66"/>
      <c r="BE256" s="66"/>
      <c r="BF256" s="261"/>
      <c r="BG256" s="66"/>
      <c r="BH256" s="175"/>
      <c r="BI256" s="66"/>
      <c r="BJ256" s="66"/>
      <c r="BK256" s="65" t="str">
        <f t="shared" si="2374"/>
        <v>Fast</v>
      </c>
      <c r="BL256" s="267">
        <f t="shared" si="2374"/>
        <v>3</v>
      </c>
      <c r="BM256" s="267">
        <f t="shared" si="2374"/>
        <v>35</v>
      </c>
      <c r="BN256" s="45">
        <f t="shared" si="2291"/>
        <v>0.98911776272570606</v>
      </c>
      <c r="BO256" s="59"/>
      <c r="BP256" s="59"/>
      <c r="BR256" s="49">
        <f t="shared" si="2375"/>
        <v>0</v>
      </c>
      <c r="BS256" s="49">
        <f t="shared" si="2375"/>
        <v>0</v>
      </c>
      <c r="BT256" s="49">
        <f t="shared" si="2375"/>
        <v>43</v>
      </c>
      <c r="BU256" s="49">
        <f t="shared" si="2375"/>
        <v>0</v>
      </c>
      <c r="BV256" s="49">
        <f t="shared" si="2375"/>
        <v>0</v>
      </c>
      <c r="BW256" s="49">
        <f t="shared" si="2375"/>
        <v>0</v>
      </c>
      <c r="BX256" s="49">
        <f t="shared" si="2375"/>
        <v>0</v>
      </c>
      <c r="BY256" s="549">
        <f>IF(COUNT(Q256:U256)&gt;1,MINA(Q256:U256)*BY$9,0)</f>
        <v>0</v>
      </c>
      <c r="BZ256" s="85">
        <f t="shared" si="2376"/>
        <v>0</v>
      </c>
      <c r="CA256" s="85">
        <f t="shared" si="2376"/>
        <v>0</v>
      </c>
      <c r="CB256" s="85">
        <f t="shared" si="2376"/>
        <v>0</v>
      </c>
      <c r="CC256" s="85">
        <f t="shared" si="2376"/>
        <v>0</v>
      </c>
      <c r="CD256" s="85">
        <f t="shared" si="2376"/>
        <v>0</v>
      </c>
      <c r="CE256" s="85">
        <f>IF(AC256=0,0,AC256*CE$9)</f>
        <v>0</v>
      </c>
      <c r="CF256" s="85">
        <f>IF(AA256=0,0,AA256*CF$9)</f>
        <v>0</v>
      </c>
      <c r="CG256" s="85">
        <f>IF(AB256=0,0,AB256*CG$9)</f>
        <v>0</v>
      </c>
      <c r="CH256" s="85">
        <f t="shared" si="2377"/>
        <v>0</v>
      </c>
      <c r="CI256" s="85">
        <f t="shared" si="2377"/>
        <v>20.9</v>
      </c>
      <c r="CJ256" s="85">
        <f t="shared" si="2377"/>
        <v>0</v>
      </c>
      <c r="CK256" s="85">
        <f t="shared" si="2377"/>
        <v>0</v>
      </c>
      <c r="CL256" s="100">
        <f>SUM(BR256:CK256)</f>
        <v>63.9</v>
      </c>
      <c r="CM256" s="50"/>
      <c r="CN256" s="106">
        <f>J256</f>
        <v>65</v>
      </c>
      <c r="CO256" s="101">
        <f>CL256/CN256</f>
        <v>0.98307692307692307</v>
      </c>
      <c r="CP256" s="51">
        <f>Seilareal/Lwl/Lwl</f>
        <v>0.7971459721440407</v>
      </c>
      <c r="CQ256" s="116">
        <f>Seilareal/Depl^0.667/K$7</f>
        <v>1.1678550830468237</v>
      </c>
      <c r="CR256" s="51">
        <f>Seilareal/Lwl/Lwl/SApRS1</f>
        <v>1.2095249455993877</v>
      </c>
      <c r="CS256" s="204"/>
      <c r="CT256" s="204">
        <f>(ROUND(TBF/CT$6,3)*CT$6)*CT$4</f>
        <v>117.00000000000001</v>
      </c>
      <c r="CU256" s="107">
        <f t="shared" si="1041"/>
        <v>1.1701742695111319</v>
      </c>
      <c r="CV256" s="62">
        <f t="shared" si="2119"/>
        <v>3.5637150727399445</v>
      </c>
      <c r="CW256" s="62">
        <f t="shared" si="998"/>
        <v>1.7320508075688772</v>
      </c>
      <c r="CX256" s="62">
        <f t="shared" si="2120"/>
        <v>1.7334923825224453</v>
      </c>
      <c r="CY256" s="107">
        <f t="shared" si="999"/>
        <v>1.0178134805115575</v>
      </c>
      <c r="CZ256" s="168" t="str">
        <f t="shared" si="2209"/>
        <v>-</v>
      </c>
      <c r="DA256" s="158"/>
      <c r="DB256" s="168" t="str">
        <f t="shared" si="2289"/>
        <v>-</v>
      </c>
      <c r="DC256" s="160"/>
      <c r="DD256" s="190" t="s">
        <v>134</v>
      </c>
      <c r="DE256" s="62">
        <v>0.9</v>
      </c>
      <c r="DF256" s="62">
        <v>0.89</v>
      </c>
      <c r="DG256" s="62">
        <v>0.95</v>
      </c>
      <c r="DH256" s="150">
        <v>0.97</v>
      </c>
      <c r="DI256" s="62">
        <f t="shared" si="2292"/>
        <v>2.01863515986921</v>
      </c>
      <c r="DJ256" s="47">
        <f t="shared" si="2293"/>
        <v>11.958146487294471</v>
      </c>
      <c r="DK256" s="48">
        <f t="shared" si="2294"/>
        <v>0</v>
      </c>
      <c r="DM256" s="107">
        <f t="shared" si="2295"/>
        <v>1.1352078153402323</v>
      </c>
      <c r="DN256" s="141">
        <f t="shared" si="2296"/>
        <v>-5.8847561711943053</v>
      </c>
      <c r="DO256" s="107">
        <f t="shared" si="2297"/>
        <v>5.3392929339555444</v>
      </c>
      <c r="DP256" s="133">
        <f>IF(SeilBeregnet=0,DP255,(SeilBeregnet^0.5/(Depl^0.3333))^DP$3*DP$7)</f>
        <v>3.5214707171421678</v>
      </c>
      <c r="DQ256" s="133">
        <f>IF(SeilBeregnet=0,DQ255,(SeilBeregnet^0.5/Lwl)^DQ$3*DQ$7)</f>
        <v>0</v>
      </c>
      <c r="DR256" s="133">
        <f>IF(SeilBeregnet=0,DR255,(0.1*Loa/Depl^0.3333)^DR$3*DR$7)</f>
        <v>0</v>
      </c>
      <c r="DS256" s="133">
        <f>IF(SeilBeregnet=0,DS255,((Loa)/Bredde)^DS$3*DS$7)</f>
        <v>1.8178222168133764</v>
      </c>
      <c r="DT256" s="107">
        <f>IF(SeilBeregnet=0,DT255,(Lwl)^DT$3)</f>
        <v>1.7334923825224453</v>
      </c>
      <c r="DU256" s="133">
        <f>IF(SeilBeregnet=0,DU255,(Dypg/Loa)^DU$3*5*DU$7)</f>
        <v>1.9008864950406701</v>
      </c>
      <c r="DW256" s="107">
        <f t="shared" si="417"/>
        <v>1.1940553770521753</v>
      </c>
      <c r="DX256" s="107">
        <f t="shared" si="2298"/>
        <v>1.1763537360638088</v>
      </c>
      <c r="DY256" s="122">
        <f>DX256-DW256</f>
        <v>-1.7701640988366574E-2</v>
      </c>
      <c r="DZ256" s="107">
        <f t="shared" si="2299"/>
        <v>1.1525512118057648</v>
      </c>
      <c r="EA256" s="122">
        <f t="shared" si="2300"/>
        <v>-4.150416524641054E-2</v>
      </c>
      <c r="EB256" s="107">
        <f t="shared" si="2301"/>
        <v>1.1623308680941087</v>
      </c>
      <c r="EC256" s="122">
        <f t="shared" si="2302"/>
        <v>-3.1724508958066666E-2</v>
      </c>
      <c r="ED256" s="107">
        <f t="shared" si="2328"/>
        <v>3.5212108856259876</v>
      </c>
      <c r="EE256" s="107">
        <f t="shared" si="2329"/>
        <v>2.0822397225198168</v>
      </c>
      <c r="EF256" s="107">
        <f t="shared" si="2330"/>
        <v>1.5650845800732873</v>
      </c>
      <c r="EH256" s="107">
        <f t="shared" si="2303"/>
        <v>1.1549606914748365</v>
      </c>
      <c r="EJ256" s="107">
        <f t="shared" si="2331"/>
        <v>3.5212108856259876</v>
      </c>
      <c r="EK256" s="107">
        <f t="shared" si="2332"/>
        <v>2.0823771893838408</v>
      </c>
      <c r="EL256" s="107">
        <f t="shared" si="2333"/>
        <v>1.8170120679720481</v>
      </c>
      <c r="EM256" s="107">
        <f t="shared" si="2304"/>
        <v>1.147881155076683</v>
      </c>
      <c r="EO256" s="107">
        <f t="shared" si="2334"/>
        <v>5.5109928602794369</v>
      </c>
      <c r="EP256" s="107">
        <f t="shared" si="2335"/>
        <v>3.5212108856259876</v>
      </c>
      <c r="EQ256" s="107">
        <f t="shared" si="2336"/>
        <v>1.5650845800732873</v>
      </c>
      <c r="ER256" s="107">
        <f t="shared" si="2337"/>
        <v>1.7334923825224453</v>
      </c>
      <c r="ES256" s="107">
        <f t="shared" si="2305"/>
        <v>1.1543980245082934</v>
      </c>
      <c r="EU256" s="107">
        <f t="shared" si="2338"/>
        <v>1.876488978285241</v>
      </c>
      <c r="EV256" s="107">
        <f t="shared" si="2339"/>
        <v>3.5212108856259876</v>
      </c>
      <c r="EW256" s="107">
        <f t="shared" si="2340"/>
        <v>1</v>
      </c>
      <c r="EX256" s="107">
        <f t="shared" si="2341"/>
        <v>1.762145567443743</v>
      </c>
      <c r="EY256" s="107">
        <f t="shared" si="2306"/>
        <v>1.09980589526392</v>
      </c>
      <c r="FA256" s="107">
        <f t="shared" si="2307"/>
        <v>1.8765582104326441</v>
      </c>
      <c r="FB256" s="107">
        <f t="shared" si="2342"/>
        <v>3.5214707171421678</v>
      </c>
      <c r="FC256" s="107">
        <f t="shared" si="2343"/>
        <v>1</v>
      </c>
      <c r="FD256" s="107">
        <f t="shared" si="2344"/>
        <v>1.762145567443743</v>
      </c>
      <c r="FE256" s="107">
        <f t="shared" si="2308"/>
        <v>1.1364853736962857</v>
      </c>
      <c r="FF256" s="141">
        <f t="shared" si="2309"/>
        <v>-5.7570003355889687</v>
      </c>
      <c r="FG256" s="107">
        <f t="shared" si="2310"/>
        <v>3.5214707171421678</v>
      </c>
      <c r="FH256" s="133">
        <f t="shared" si="2345"/>
        <v>3.5214707171421678</v>
      </c>
      <c r="FI256" s="133">
        <f t="shared" si="2346"/>
        <v>1</v>
      </c>
      <c r="FJ256" s="107">
        <f t="shared" si="2347"/>
        <v>0.99092727357461408</v>
      </c>
      <c r="FK256" s="107">
        <f t="shared" si="2311"/>
        <v>1.1680386490986325</v>
      </c>
      <c r="FL256" s="141">
        <f t="shared" si="2312"/>
        <v>-2.6016727953542818</v>
      </c>
      <c r="FM256" s="107">
        <f t="shared" si="2313"/>
        <v>5.7245362957146293</v>
      </c>
      <c r="FN256" s="133">
        <f t="shared" si="2348"/>
        <v>3.5214707171421678</v>
      </c>
      <c r="FO256" s="133">
        <f t="shared" si="2349"/>
        <v>0.88524336175908491</v>
      </c>
      <c r="FP256" s="133">
        <f t="shared" si="2350"/>
        <v>1.8178222168133764</v>
      </c>
      <c r="FQ256" s="107">
        <f t="shared" si="2351"/>
        <v>1.7334923825224453</v>
      </c>
      <c r="FR256" s="107">
        <f t="shared" si="2314"/>
        <v>1.1414109443358735</v>
      </c>
      <c r="FS256" s="141">
        <f t="shared" si="2315"/>
        <v>-5.2644432716301814</v>
      </c>
      <c r="FT256" s="107">
        <f t="shared" si="2316"/>
        <v>6.4014077054787659</v>
      </c>
      <c r="FU256" s="133">
        <f t="shared" si="2352"/>
        <v>3.5214707171421678</v>
      </c>
      <c r="FV256" s="133">
        <f t="shared" si="2353"/>
        <v>1.8178222168133764</v>
      </c>
      <c r="FW256" s="107">
        <f t="shared" si="2354"/>
        <v>1.7334923825224453</v>
      </c>
      <c r="FY256" s="336">
        <v>1</v>
      </c>
      <c r="FZ256" s="62">
        <f t="shared" si="2074"/>
        <v>1.1738384639031403</v>
      </c>
      <c r="GA256" s="62">
        <f t="shared" si="2075"/>
        <v>1.9008864950406701</v>
      </c>
      <c r="GB256" s="107">
        <f t="shared" si="1270"/>
        <v>1.3142289893643262</v>
      </c>
      <c r="GC256" s="440"/>
      <c r="GD256" s="17"/>
      <c r="GE256" s="442"/>
      <c r="GF256" s="462"/>
      <c r="GG256" s="17"/>
      <c r="GH256" s="17"/>
      <c r="GI256" s="17"/>
      <c r="GJ256" s="17"/>
      <c r="GL256" s="17"/>
      <c r="GM256" s="442"/>
      <c r="GN256" s="8"/>
      <c r="GO256" s="8"/>
      <c r="GP256" s="8"/>
      <c r="GQ256" s="8"/>
      <c r="GS256" s="17"/>
      <c r="GT256" s="17"/>
      <c r="GU256" s="17"/>
      <c r="GV256" s="629"/>
      <c r="GW256" s="17"/>
      <c r="GX256" s="17"/>
      <c r="GY256" s="17"/>
      <c r="GZ256" s="17"/>
    </row>
    <row r="257" spans="1:208" ht="15.6" customHeight="1" x14ac:dyDescent="0.3">
      <c r="A257" s="52" t="s">
        <v>42</v>
      </c>
      <c r="B257" s="218">
        <f t="shared" si="2368"/>
        <v>36.450131233595798</v>
      </c>
      <c r="C257" s="53" t="s">
        <v>38</v>
      </c>
      <c r="D257" s="53"/>
      <c r="E257" s="53"/>
      <c r="F257" s="53"/>
      <c r="G257" s="54" t="s">
        <v>27</v>
      </c>
      <c r="H257" s="112">
        <f>J258</f>
        <v>73.099999999999994</v>
      </c>
      <c r="I257" s="601">
        <f>H258/100</f>
        <v>1.27</v>
      </c>
      <c r="J257" s="651">
        <f>IF(DC258=0,"-",DC258)</f>
        <v>1.28</v>
      </c>
      <c r="K257" s="123" t="str">
        <f>A257</f>
        <v>Lavinia</v>
      </c>
      <c r="L257" s="116"/>
      <c r="M257" s="116"/>
      <c r="N257" s="92"/>
      <c r="O257" s="165"/>
      <c r="P257" s="165"/>
      <c r="Q257" s="165">
        <v>37.200000000000003</v>
      </c>
      <c r="R257" s="165">
        <v>28.5</v>
      </c>
      <c r="S257" s="165"/>
      <c r="T257" s="165"/>
      <c r="U257" s="165">
        <v>6.4</v>
      </c>
      <c r="V257" s="560"/>
      <c r="W257" s="560"/>
      <c r="X257" s="165"/>
      <c r="Y257" s="165"/>
      <c r="Z257" s="165"/>
      <c r="AA257" s="165"/>
      <c r="AB257" s="165"/>
      <c r="AC257" s="166"/>
      <c r="AD257" s="165"/>
      <c r="AE257" s="165">
        <v>22.2</v>
      </c>
      <c r="AF257" s="165"/>
      <c r="AG257" s="552">
        <v>7.3</v>
      </c>
      <c r="AH257" s="244">
        <v>10</v>
      </c>
      <c r="AI257" s="244">
        <v>10</v>
      </c>
      <c r="AJ257" s="554"/>
      <c r="AK257" s="339"/>
      <c r="AL257" s="268"/>
      <c r="AM257" s="339"/>
      <c r="AN257" s="270" t="s">
        <v>211</v>
      </c>
      <c r="AO257" s="45">
        <f>VLOOKUP(AN257,Skrogform!$1:$1048576,3,FALSE)</f>
        <v>0.98</v>
      </c>
      <c r="AP257" s="55">
        <v>11.11</v>
      </c>
      <c r="AQ257" s="55">
        <v>9.39</v>
      </c>
      <c r="AR257" s="55">
        <v>2.92</v>
      </c>
      <c r="AS257" s="55">
        <v>1.85</v>
      </c>
      <c r="AT257" s="637">
        <f>AU257</f>
        <v>9.6</v>
      </c>
      <c r="AU257" s="55">
        <v>9.6</v>
      </c>
      <c r="AV257" s="55">
        <v>3.4</v>
      </c>
      <c r="AW257" s="55"/>
      <c r="AX257" s="253"/>
      <c r="AY257" s="253">
        <v>16</v>
      </c>
      <c r="AZ257" s="253">
        <v>390</v>
      </c>
      <c r="BA257" s="253"/>
      <c r="BB257" s="253"/>
      <c r="BC257" s="244">
        <f>Depl+Diesel/1000*0.84+Vann/1000</f>
        <v>9.6</v>
      </c>
      <c r="BD257" s="95">
        <f>Bredde/(Loa+Lwl)*2</f>
        <v>0.28487804878048778</v>
      </c>
      <c r="BE257" s="95">
        <f>(Kjøl+Ballast)/Depl</f>
        <v>0.35416666666666669</v>
      </c>
      <c r="BF257" s="260">
        <f>BF$7*((Depl-Kjøl-Ballast-VektMotor/1000-VektAnnet/1000)/Lwl/Lwl/Bredde)</f>
        <v>0.85161189751441035</v>
      </c>
      <c r="BG257" s="95">
        <f>BG$7*(Depl/Loa/Lwl/Lwl)</f>
        <v>0.72117427178212712</v>
      </c>
      <c r="BH257" s="174">
        <f>BH$7*(Depl/Loa/Lwl/Bredde)</f>
        <v>0.85722588627193952</v>
      </c>
      <c r="BI257" s="95">
        <f>BI$7*Bredde/(Loa+Lwl)*2</f>
        <v>0.81266824023078932</v>
      </c>
      <c r="BJ257" s="95">
        <f>BJ$7*(Dypg/Lwl)</f>
        <v>1.0776033708385424</v>
      </c>
      <c r="BK257" s="69" t="s">
        <v>39</v>
      </c>
      <c r="BL257" s="270">
        <v>2</v>
      </c>
      <c r="BM257" s="270">
        <v>50</v>
      </c>
      <c r="BN257" s="45">
        <f t="shared" si="2291"/>
        <v>0.98490487939259352</v>
      </c>
      <c r="BO257" s="59"/>
      <c r="BP257" s="59"/>
      <c r="BR257" s="209"/>
      <c r="BS257" s="209"/>
      <c r="BT257" s="209" t="str">
        <f>$A257</f>
        <v>Lavinia</v>
      </c>
      <c r="BU257" s="10"/>
      <c r="BV257" s="10"/>
      <c r="BW257" s="10"/>
      <c r="BX257" s="10"/>
      <c r="BY257" s="549"/>
      <c r="BZ257" s="10"/>
      <c r="CA257" s="10"/>
      <c r="CB257" s="209" t="str">
        <f>$A257</f>
        <v>Lavinia</v>
      </c>
      <c r="CC257" s="10"/>
      <c r="CD257" s="10"/>
      <c r="CE257" s="10"/>
      <c r="CF257" s="10"/>
      <c r="CG257" s="10"/>
      <c r="CH257" s="10"/>
      <c r="CI257" s="10"/>
      <c r="CJ257" s="10"/>
      <c r="CK257" s="10"/>
      <c r="CL257" s="209"/>
      <c r="CM257" s="10"/>
      <c r="CN257" s="209" t="str">
        <f>$A257</f>
        <v>Lavinia</v>
      </c>
      <c r="CO257" s="207"/>
      <c r="CP257" s="207"/>
      <c r="CQ257" s="116"/>
      <c r="CR257" s="207"/>
      <c r="CS257" s="203"/>
      <c r="CT257" s="203" t="s">
        <v>23</v>
      </c>
      <c r="CU257" s="107" t="str">
        <f t="shared" si="1041"/>
        <v>-</v>
      </c>
      <c r="CV257" s="62" t="str">
        <f t="shared" si="2119"/>
        <v>-</v>
      </c>
      <c r="CW257" s="62" t="str">
        <f t="shared" si="998"/>
        <v>-</v>
      </c>
      <c r="CX257" s="62" t="str">
        <f t="shared" si="2120"/>
        <v>-</v>
      </c>
      <c r="CY257" s="107" t="str">
        <f t="shared" si="999"/>
        <v>-</v>
      </c>
      <c r="CZ257" s="168">
        <f t="shared" si="2209"/>
        <v>1.2844705882352943</v>
      </c>
      <c r="DA257" s="158">
        <v>1.03</v>
      </c>
      <c r="DB257" s="168" t="str">
        <f t="shared" si="2289"/>
        <v>-</v>
      </c>
      <c r="DC257" s="160">
        <v>1.28</v>
      </c>
      <c r="DD257" s="190" t="s">
        <v>134</v>
      </c>
      <c r="DE257" s="29" t="s">
        <v>23</v>
      </c>
      <c r="DF257" s="29" t="s">
        <v>23</v>
      </c>
      <c r="DG257" s="29" t="s">
        <v>23</v>
      </c>
      <c r="DH257" s="149">
        <v>2022</v>
      </c>
      <c r="DI257" s="62" t="str">
        <f t="shared" si="2292"/>
        <v>-</v>
      </c>
      <c r="DJ257" s="47">
        <f t="shared" si="2293"/>
        <v>13.899323816679187</v>
      </c>
      <c r="DK257" s="48">
        <f t="shared" si="2294"/>
        <v>0</v>
      </c>
      <c r="DM257" s="107" t="str">
        <f t="shared" si="2295"/>
        <v>-</v>
      </c>
      <c r="DN257" s="141" t="str">
        <f t="shared" si="2296"/>
        <v>-</v>
      </c>
      <c r="DO257" s="107" t="e">
        <f t="shared" si="2297"/>
        <v>#REF!</v>
      </c>
      <c r="DP257" s="133" t="e">
        <f>IF(SeilBeregnet=0,#REF!,(SeilBeregnet^0.5/(Depl^0.3333))^DP$3*DP$7)</f>
        <v>#REF!</v>
      </c>
      <c r="DQ257" s="133" t="e">
        <f>IF(SeilBeregnet=0,#REF!,(SeilBeregnet^0.5/Lwl)^DQ$3*DQ$7)</f>
        <v>#REF!</v>
      </c>
      <c r="DR257" s="133" t="e">
        <f>IF(SeilBeregnet=0,#REF!,(0.1*Loa/Depl^0.3333)^DR$3*DR$7)</f>
        <v>#REF!</v>
      </c>
      <c r="DS257" s="133" t="e">
        <f>IF(SeilBeregnet=0,#REF!,((Loa)/Bredde)^DS$3*DS$7)</f>
        <v>#REF!</v>
      </c>
      <c r="DT257" s="107" t="e">
        <f>IF(SeilBeregnet=0,#REF!,(Lwl)^DT$3)</f>
        <v>#REF!</v>
      </c>
      <c r="DU257" s="133" t="e">
        <f>IF(SeilBeregnet=0,#REF!,(Dypg/Loa)^DU$3*5*DU$7)</f>
        <v>#REF!</v>
      </c>
      <c r="DW257" s="107" t="str">
        <f t="shared" si="417"/>
        <v>-</v>
      </c>
      <c r="DX257" s="107" t="str">
        <f t="shared" si="2298"/>
        <v>-</v>
      </c>
      <c r="DZ257" s="107" t="str">
        <f t="shared" si="2299"/>
        <v>-</v>
      </c>
      <c r="EA257" s="122" t="str">
        <f t="shared" si="2300"/>
        <v>-</v>
      </c>
      <c r="EB257" s="107" t="str">
        <f t="shared" si="2301"/>
        <v>-</v>
      </c>
      <c r="EC257" s="122" t="str">
        <f t="shared" si="2302"/>
        <v>-</v>
      </c>
      <c r="ED257" s="107">
        <f t="shared" si="2328"/>
        <v>3.5212108856259876</v>
      </c>
      <c r="EE257" s="107">
        <f t="shared" si="2329"/>
        <v>2.0822397225198168</v>
      </c>
      <c r="EF257" s="107">
        <f t="shared" si="2330"/>
        <v>1.5650845800732873</v>
      </c>
      <c r="EH257" s="107" t="str">
        <f t="shared" si="2303"/>
        <v>-</v>
      </c>
      <c r="EJ257" s="107">
        <f t="shared" si="2331"/>
        <v>3.5212108856259876</v>
      </c>
      <c r="EK257" s="107">
        <f t="shared" si="2332"/>
        <v>2.0823771893838408</v>
      </c>
      <c r="EL257" s="107">
        <f t="shared" si="2333"/>
        <v>1.8170120679720481</v>
      </c>
      <c r="EM257" s="107" t="str">
        <f t="shared" si="2304"/>
        <v>-</v>
      </c>
      <c r="EO257" s="107">
        <f t="shared" si="2334"/>
        <v>5.5109928602794369</v>
      </c>
      <c r="EP257" s="107">
        <f t="shared" si="2335"/>
        <v>3.5212108856259876</v>
      </c>
      <c r="EQ257" s="107">
        <f t="shared" si="2336"/>
        <v>1.5650845800732873</v>
      </c>
      <c r="ER257" s="107">
        <f t="shared" si="2337"/>
        <v>1.7334923825224453</v>
      </c>
      <c r="ES257" s="107" t="str">
        <f t="shared" si="2305"/>
        <v>-</v>
      </c>
      <c r="EU257" s="107">
        <f t="shared" si="2338"/>
        <v>1.876488978285241</v>
      </c>
      <c r="EV257" s="107">
        <f t="shared" si="2339"/>
        <v>3.5212108856259876</v>
      </c>
      <c r="EW257" s="107">
        <f t="shared" si="2340"/>
        <v>1</v>
      </c>
      <c r="EX257" s="107">
        <f t="shared" si="2341"/>
        <v>1.762145567443743</v>
      </c>
      <c r="EY257" s="107" t="str">
        <f t="shared" si="2306"/>
        <v>-</v>
      </c>
      <c r="FA257" s="107">
        <f t="shared" si="2307"/>
        <v>1.8765582104326441</v>
      </c>
      <c r="FB257" s="107">
        <f t="shared" si="2342"/>
        <v>3.5214707171421678</v>
      </c>
      <c r="FC257" s="107">
        <f t="shared" si="2343"/>
        <v>1</v>
      </c>
      <c r="FD257" s="107">
        <f t="shared" si="2344"/>
        <v>1.762145567443743</v>
      </c>
      <c r="FE257" s="107" t="str">
        <f t="shared" si="2308"/>
        <v>-</v>
      </c>
      <c r="FF257" s="141" t="str">
        <f t="shared" si="2309"/>
        <v>-</v>
      </c>
      <c r="FG257" s="107">
        <f t="shared" si="2310"/>
        <v>3.5214707171421678</v>
      </c>
      <c r="FH257" s="133">
        <f t="shared" si="2345"/>
        <v>3.5214707171421678</v>
      </c>
      <c r="FI257" s="133">
        <f t="shared" si="2346"/>
        <v>1</v>
      </c>
      <c r="FJ257" s="107">
        <f t="shared" si="2347"/>
        <v>0.99092727357461408</v>
      </c>
      <c r="FK257" s="107" t="str">
        <f t="shared" si="2311"/>
        <v>-</v>
      </c>
      <c r="FL257" s="141" t="str">
        <f t="shared" si="2312"/>
        <v>-</v>
      </c>
      <c r="FM257" s="107">
        <f t="shared" si="2313"/>
        <v>5.7245362957146293</v>
      </c>
      <c r="FN257" s="133">
        <f t="shared" si="2348"/>
        <v>3.5214707171421678</v>
      </c>
      <c r="FO257" s="133">
        <f t="shared" si="2349"/>
        <v>0.88524336175908491</v>
      </c>
      <c r="FP257" s="133">
        <f t="shared" si="2350"/>
        <v>1.8178222168133764</v>
      </c>
      <c r="FQ257" s="107">
        <f t="shared" si="2351"/>
        <v>1.7334923825224453</v>
      </c>
      <c r="FR257" s="107" t="str">
        <f t="shared" si="2314"/>
        <v>-</v>
      </c>
      <c r="FS257" s="141" t="str">
        <f t="shared" si="2315"/>
        <v>-</v>
      </c>
      <c r="FT257" s="107">
        <f t="shared" si="2316"/>
        <v>6.4014077054787659</v>
      </c>
      <c r="FU257" s="133">
        <f t="shared" si="2352"/>
        <v>3.5214707171421678</v>
      </c>
      <c r="FV257" s="133">
        <f t="shared" si="2353"/>
        <v>1.8178222168133764</v>
      </c>
      <c r="FW257" s="107">
        <f t="shared" si="2354"/>
        <v>1.7334923825224453</v>
      </c>
      <c r="FY257" s="336">
        <v>1</v>
      </c>
      <c r="FZ257" s="62" t="str">
        <f t="shared" si="2074"/>
        <v>-</v>
      </c>
      <c r="GA257" s="62">
        <f t="shared" si="2075"/>
        <v>2.040322594990597</v>
      </c>
      <c r="GB257" s="107" t="str">
        <f t="shared" si="1270"/>
        <v>-</v>
      </c>
      <c r="GC257" s="441" t="s">
        <v>43</v>
      </c>
      <c r="GD257" s="57" t="s">
        <v>43</v>
      </c>
      <c r="GE257" s="436"/>
      <c r="GF257" s="75" t="s">
        <v>44</v>
      </c>
      <c r="GG257" s="57"/>
      <c r="GH257" s="57"/>
      <c r="GI257" s="57"/>
      <c r="GJ257" s="57"/>
      <c r="GL257" s="57" t="s">
        <v>478</v>
      </c>
      <c r="GM257" s="436" t="s">
        <v>478</v>
      </c>
      <c r="GN257" s="58" t="s">
        <v>478</v>
      </c>
      <c r="GO257" s="58" t="s">
        <v>478</v>
      </c>
      <c r="GP257" s="58" t="s">
        <v>478</v>
      </c>
      <c r="GQ257" s="58" t="s">
        <v>478</v>
      </c>
      <c r="GS257" s="57"/>
      <c r="GT257" s="57"/>
      <c r="GU257" s="57"/>
      <c r="GV257" s="632"/>
      <c r="GW257" s="57"/>
      <c r="GX257" s="57"/>
      <c r="GY257" s="57"/>
      <c r="GZ257" s="57"/>
    </row>
    <row r="258" spans="1:208" ht="15.6" x14ac:dyDescent="0.3">
      <c r="A258" s="60" t="s">
        <v>45</v>
      </c>
      <c r="B258" s="218"/>
      <c r="C258" s="61" t="str">
        <f>C257</f>
        <v>Bermuda</v>
      </c>
      <c r="D258" s="61"/>
      <c r="E258" s="61"/>
      <c r="F258" s="61"/>
      <c r="G258" s="54"/>
      <c r="H258" s="204">
        <f>IF(StH=0,0,TBFavrundet)</f>
        <v>127</v>
      </c>
      <c r="I258" s="63">
        <f>COUNTA(O258:AG258)</f>
        <v>4</v>
      </c>
      <c r="J258" s="222">
        <f>SUM(O258:AG258)</f>
        <v>73.099999999999994</v>
      </c>
      <c r="K258" s="116">
        <f>Seilareal/Depl^0.667/K$7</f>
        <v>1.4986424599670951</v>
      </c>
      <c r="L258" s="116">
        <f t="shared" ref="L258:L263" si="2383">Seilareal/Lwl/Lwl/L$7</f>
        <v>1.2579493823377226</v>
      </c>
      <c r="M258" s="92">
        <f t="shared" ref="M258:M263" si="2384">RiggF</f>
        <v>0.91232900136798911</v>
      </c>
      <c r="N258" s="242">
        <f t="shared" ref="N258:N263" si="2385">StHfaktor</f>
        <v>1.0078985048752331</v>
      </c>
      <c r="O258" s="143"/>
      <c r="P258" s="143"/>
      <c r="Q258" s="165">
        <v>37.200000000000003</v>
      </c>
      <c r="R258" s="143"/>
      <c r="S258" s="143"/>
      <c r="T258" s="143"/>
      <c r="U258" s="165">
        <v>6.4</v>
      </c>
      <c r="V258" s="560"/>
      <c r="W258" s="560"/>
      <c r="X258" s="143"/>
      <c r="Y258" s="143"/>
      <c r="Z258" s="143"/>
      <c r="AA258" s="143"/>
      <c r="AB258" s="143"/>
      <c r="AC258" s="143"/>
      <c r="AD258" s="143"/>
      <c r="AE258" s="165">
        <v>22.2</v>
      </c>
      <c r="AF258" s="143"/>
      <c r="AG258" s="552">
        <v>7.3</v>
      </c>
      <c r="AH258" s="557">
        <f t="shared" ref="AH258:AI258" si="2386">AH257</f>
        <v>10</v>
      </c>
      <c r="AI258" s="557">
        <f t="shared" si="2386"/>
        <v>10</v>
      </c>
      <c r="AJ258" s="337">
        <f t="shared" si="2318"/>
        <v>0</v>
      </c>
      <c r="AK258" s="339"/>
      <c r="AL258" s="337">
        <f t="shared" si="2318"/>
        <v>0</v>
      </c>
      <c r="AM258" s="339"/>
      <c r="AN258" s="267" t="str">
        <f t="shared" ref="AN258" si="2387" xml:space="preserve"> AN257</f>
        <v>Lystb</v>
      </c>
      <c r="AO258" s="45">
        <f>VLOOKUP(AN258,Skrogform!$1:$1048576,3,FALSE)</f>
        <v>0.98</v>
      </c>
      <c r="AP258" s="64">
        <f t="shared" ref="AP258:AZ259" si="2388">AP257</f>
        <v>11.11</v>
      </c>
      <c r="AQ258" s="64">
        <f t="shared" si="2388"/>
        <v>9.39</v>
      </c>
      <c r="AR258" s="64">
        <f t="shared" si="2388"/>
        <v>2.92</v>
      </c>
      <c r="AS258" s="64">
        <f t="shared" si="2388"/>
        <v>1.85</v>
      </c>
      <c r="AT258" s="64">
        <f t="shared" ref="AT258" si="2389">AT257</f>
        <v>9.6</v>
      </c>
      <c r="AU258" s="64">
        <f t="shared" si="2388"/>
        <v>9.6</v>
      </c>
      <c r="AV258" s="64">
        <f t="shared" si="2388"/>
        <v>3.4</v>
      </c>
      <c r="AW258" s="64">
        <f t="shared" si="2388"/>
        <v>0</v>
      </c>
      <c r="AX258" s="256">
        <f t="shared" ref="AX258:AX263" si="2390">AX257</f>
        <v>0</v>
      </c>
      <c r="AY258" s="256">
        <f t="shared" si="2388"/>
        <v>16</v>
      </c>
      <c r="AZ258" s="256">
        <f t="shared" si="2388"/>
        <v>390</v>
      </c>
      <c r="BA258" s="256">
        <f t="shared" ref="BA258:BB258" si="2391">BA257</f>
        <v>0</v>
      </c>
      <c r="BB258" s="256">
        <f t="shared" si="2391"/>
        <v>0</v>
      </c>
      <c r="BC258" s="256"/>
      <c r="BD258" s="66"/>
      <c r="BE258" s="66"/>
      <c r="BF258" s="261"/>
      <c r="BG258" s="66"/>
      <c r="BH258" s="175"/>
      <c r="BI258" s="66"/>
      <c r="BJ258" s="66"/>
      <c r="BK258" s="65" t="str">
        <f t="shared" ref="BK258:BM259" si="2392" xml:space="preserve"> BK257</f>
        <v>Fast</v>
      </c>
      <c r="BL258" s="267">
        <f t="shared" si="2392"/>
        <v>2</v>
      </c>
      <c r="BM258" s="267">
        <f t="shared" si="2392"/>
        <v>50</v>
      </c>
      <c r="BN258" s="45">
        <f t="shared" si="2291"/>
        <v>0.98490487939259352</v>
      </c>
      <c r="BO258" s="59"/>
      <c r="BP258" s="59"/>
      <c r="BR258" s="49">
        <f t="shared" ref="BR258:BX263" si="2393">IF(O258=0,0,O258*BR$9)</f>
        <v>0</v>
      </c>
      <c r="BS258" s="49">
        <f t="shared" si="2393"/>
        <v>0</v>
      </c>
      <c r="BT258" s="49">
        <f t="shared" si="2393"/>
        <v>37.200000000000003</v>
      </c>
      <c r="BU258" s="49">
        <f t="shared" si="2393"/>
        <v>0</v>
      </c>
      <c r="BV258" s="49">
        <f t="shared" si="2393"/>
        <v>0</v>
      </c>
      <c r="BW258" s="49">
        <f t="shared" si="2393"/>
        <v>0</v>
      </c>
      <c r="BX258" s="49">
        <f t="shared" si="2393"/>
        <v>6.4</v>
      </c>
      <c r="BY258" s="549">
        <f t="shared" ref="BY258:BY263" si="2394">IF(COUNT(Q258:U258)&gt;1,MINA(Q258:U258)*BY$9,0)</f>
        <v>-3.2</v>
      </c>
      <c r="BZ258" s="85">
        <f t="shared" ref="BZ258:CD263" si="2395">IF(V258=0,0,V258*BZ$9)</f>
        <v>0</v>
      </c>
      <c r="CA258" s="85">
        <f t="shared" si="2395"/>
        <v>0</v>
      </c>
      <c r="CB258" s="85">
        <f t="shared" si="2395"/>
        <v>0</v>
      </c>
      <c r="CC258" s="85">
        <f t="shared" si="2395"/>
        <v>0</v>
      </c>
      <c r="CD258" s="85">
        <f t="shared" si="2395"/>
        <v>0</v>
      </c>
      <c r="CE258" s="85">
        <f t="shared" ref="CE258:CE263" si="2396">IF(AC258=0,0,AC258*CE$9)</f>
        <v>0</v>
      </c>
      <c r="CF258" s="85">
        <f t="shared" ref="CF258:CG263" si="2397">IF(AA258=0,0,AA258*CF$9)</f>
        <v>0</v>
      </c>
      <c r="CG258" s="85">
        <f t="shared" si="2397"/>
        <v>0</v>
      </c>
      <c r="CH258" s="85">
        <f t="shared" ref="CH258:CK263" si="2398">IF(AD258=0,0,AD258*CH$9)</f>
        <v>0</v>
      </c>
      <c r="CI258" s="85">
        <f t="shared" si="2398"/>
        <v>21.09</v>
      </c>
      <c r="CJ258" s="85">
        <f t="shared" si="2398"/>
        <v>0</v>
      </c>
      <c r="CK258" s="85">
        <f t="shared" si="2398"/>
        <v>5.201249999999999</v>
      </c>
      <c r="CL258" s="100">
        <f t="shared" ref="CL258:CL263" si="2399">SUM(BR258:CK258)</f>
        <v>66.691249999999997</v>
      </c>
      <c r="CM258" s="50"/>
      <c r="CN258" s="106">
        <f t="shared" ref="CN258:CN263" si="2400">J258</f>
        <v>73.099999999999994</v>
      </c>
      <c r="CO258" s="101">
        <f t="shared" ref="CO258:CO267" si="2401">CL258/CN258</f>
        <v>0.91232900136798911</v>
      </c>
      <c r="CP258" s="51">
        <f t="shared" ref="CP258:CP263" si="2402">Seilareal/Lwl/Lwl</f>
        <v>0.82906043975361809</v>
      </c>
      <c r="CQ258" s="116">
        <f t="shared" ref="CQ258:CQ263" si="2403">Seilareal/Depl^0.667/K$7</f>
        <v>1.4986424599670951</v>
      </c>
      <c r="CR258" s="51">
        <f t="shared" ref="CR258:CR263" si="2404">Seilareal/Lwl/Lwl/SApRS1</f>
        <v>1.2579493823377226</v>
      </c>
      <c r="CS258" s="204"/>
      <c r="CT258" s="204">
        <f t="shared" ref="CT258:CT263" si="2405">(ROUND(TBF/CT$6,3)*CT$6)*CT$4</f>
        <v>127</v>
      </c>
      <c r="CU258" s="107">
        <f t="shared" si="1041"/>
        <v>1.2708621637903303</v>
      </c>
      <c r="CV258" s="62">
        <f t="shared" si="2119"/>
        <v>3.8462945348825324</v>
      </c>
      <c r="CW258" s="62">
        <f t="shared" si="1268"/>
        <v>1.8735725159712233</v>
      </c>
      <c r="CX258" s="62">
        <f t="shared" si="2120"/>
        <v>1.7505172633278749</v>
      </c>
      <c r="CY258" s="107">
        <f t="shared" si="1269"/>
        <v>1.0078985048752331</v>
      </c>
      <c r="CZ258" s="168">
        <f t="shared" si="2209"/>
        <v>1.2844705882352943</v>
      </c>
      <c r="DA258" s="159">
        <f>DA257</f>
        <v>1.03</v>
      </c>
      <c r="DB258" s="168">
        <f t="shared" si="2289"/>
        <v>1.1901754385964913</v>
      </c>
      <c r="DC258" s="159">
        <f>DC257</f>
        <v>1.28</v>
      </c>
      <c r="DD258" s="190" t="s">
        <v>134</v>
      </c>
      <c r="DE258" s="62">
        <v>1</v>
      </c>
      <c r="DF258" s="62">
        <v>0.95</v>
      </c>
      <c r="DG258" s="62">
        <v>1.04</v>
      </c>
      <c r="DH258" s="150">
        <v>1.06</v>
      </c>
      <c r="DI258" s="62">
        <f t="shared" si="2292"/>
        <v>2.104742167486616</v>
      </c>
      <c r="DJ258" s="47">
        <f t="shared" si="2293"/>
        <v>13.899323816679187</v>
      </c>
      <c r="DK258" s="48">
        <f t="shared" si="2294"/>
        <v>0</v>
      </c>
      <c r="DM258" s="107">
        <f t="shared" si="2295"/>
        <v>1.2385459329765334</v>
      </c>
      <c r="DN258" s="141" t="str">
        <f t="shared" si="2296"/>
        <v>-</v>
      </c>
      <c r="DO258" s="107">
        <f t="shared" si="2297"/>
        <v>5.7933497132372578</v>
      </c>
      <c r="DP258" s="133">
        <f>IF(SeilBeregnet=0,DP257,(SeilBeregnet^0.5/(Depl^0.3333))^DP$3*DP$7)</f>
        <v>3.842761463362891</v>
      </c>
      <c r="DQ258" s="133">
        <f>IF(SeilBeregnet=0,DQ257,(SeilBeregnet^0.5/Lwl)^DQ$3*DQ$7)</f>
        <v>0</v>
      </c>
      <c r="DR258" s="133">
        <f>IF(SeilBeregnet=0,DR257,(0.1*Loa/Depl^0.3333)^DR$3*DR$7)</f>
        <v>0</v>
      </c>
      <c r="DS258" s="133">
        <f>IF(SeilBeregnet=0,DS257,((Loa)/Bredde)^DS$3*DS$7)</f>
        <v>1.9505882498743667</v>
      </c>
      <c r="DT258" s="107">
        <f>IF(SeilBeregnet=0,DT257,(Lwl)^DT$3)</f>
        <v>1.7505172633278749</v>
      </c>
      <c r="DU258" s="133">
        <f>IF(SeilBeregnet=0,DU257,(Dypg/Loa)^DU$3*5*DU$7)</f>
        <v>2.040322594990597</v>
      </c>
      <c r="DW258" s="107">
        <f t="shared" si="417"/>
        <v>1.2967981263166637</v>
      </c>
      <c r="DX258" s="107">
        <f t="shared" si="2298"/>
        <v>1.2547516025688972</v>
      </c>
      <c r="DZ258" s="107">
        <f t="shared" si="2299"/>
        <v>1.2502347675307248</v>
      </c>
      <c r="EA258" s="122" t="str">
        <f t="shared" si="2300"/>
        <v>-</v>
      </c>
      <c r="EB258" s="107">
        <f t="shared" si="2301"/>
        <v>1.2902303963147856</v>
      </c>
      <c r="EC258" s="122" t="str">
        <f t="shared" si="2302"/>
        <v>-</v>
      </c>
      <c r="ED258" s="107">
        <f t="shared" si="2328"/>
        <v>3.842500729726535</v>
      </c>
      <c r="EE258" s="107">
        <f t="shared" si="2329"/>
        <v>2.109548147034956</v>
      </c>
      <c r="EF258" s="107">
        <f t="shared" si="2330"/>
        <v>1.6277689216151001</v>
      </c>
      <c r="EH258" s="107">
        <f t="shared" si="2303"/>
        <v>1.2819558626179846</v>
      </c>
      <c r="EJ258" s="107">
        <f t="shared" si="2331"/>
        <v>3.842500729726535</v>
      </c>
      <c r="EK258" s="107">
        <f t="shared" si="2332"/>
        <v>2.1096898909840953</v>
      </c>
      <c r="EL258" s="107">
        <f t="shared" si="2333"/>
        <v>1.9146767228439099</v>
      </c>
      <c r="EM258" s="107">
        <f t="shared" si="2304"/>
        <v>1.2685038559693147</v>
      </c>
      <c r="EO258" s="107">
        <f t="shared" si="2334"/>
        <v>6.2547032691321975</v>
      </c>
      <c r="EP258" s="107">
        <f t="shared" si="2335"/>
        <v>3.842500729726535</v>
      </c>
      <c r="EQ258" s="107">
        <f t="shared" si="2336"/>
        <v>1.6277689216151001</v>
      </c>
      <c r="ER258" s="107">
        <f t="shared" si="2337"/>
        <v>1.7505172633278749</v>
      </c>
      <c r="ES258" s="107">
        <f t="shared" si="2305"/>
        <v>1.2603536823388228</v>
      </c>
      <c r="EU258" s="107">
        <f t="shared" si="2338"/>
        <v>1.999099678084771</v>
      </c>
      <c r="EV258" s="107">
        <f t="shared" si="2339"/>
        <v>3.842500729726535</v>
      </c>
      <c r="EW258" s="107">
        <f t="shared" si="2340"/>
        <v>1.0400517277723595</v>
      </c>
      <c r="EX258" s="107">
        <f t="shared" si="2341"/>
        <v>1.7740856413035511</v>
      </c>
      <c r="EY258" s="107">
        <f t="shared" si="2306"/>
        <v>1.17457911105881</v>
      </c>
      <c r="FA258" s="107">
        <f t="shared" si="2307"/>
        <v>1.9991675015835007</v>
      </c>
      <c r="FB258" s="107">
        <f t="shared" si="2342"/>
        <v>3.842761463362891</v>
      </c>
      <c r="FC258" s="107">
        <f t="shared" si="2343"/>
        <v>1.0400517277723595</v>
      </c>
      <c r="FD258" s="107">
        <f t="shared" si="2344"/>
        <v>1.7740856413035511</v>
      </c>
      <c r="FE258" s="107">
        <f t="shared" si="2308"/>
        <v>1.2703964727602244</v>
      </c>
      <c r="FF258" s="141" t="str">
        <f t="shared" si="2309"/>
        <v>-</v>
      </c>
      <c r="FG258" s="107">
        <f t="shared" si="2310"/>
        <v>4.1567442662352541</v>
      </c>
      <c r="FH258" s="133">
        <f t="shared" si="2345"/>
        <v>3.842761463362891</v>
      </c>
      <c r="FI258" s="133">
        <f t="shared" si="2346"/>
        <v>1.0817075964422702</v>
      </c>
      <c r="FJ258" s="107">
        <f t="shared" si="2347"/>
        <v>0.99764167053180919</v>
      </c>
      <c r="FK258" s="107">
        <f t="shared" si="2311"/>
        <v>1.2644545688090048</v>
      </c>
      <c r="FL258" s="141" t="str">
        <f t="shared" si="2312"/>
        <v>-</v>
      </c>
      <c r="FM258" s="107">
        <f t="shared" si="2313"/>
        <v>6.1630484444506148</v>
      </c>
      <c r="FN258" s="133">
        <f t="shared" si="2348"/>
        <v>3.842761463362891</v>
      </c>
      <c r="FO258" s="133">
        <f t="shared" si="2349"/>
        <v>0.86969873121335761</v>
      </c>
      <c r="FP258" s="133">
        <f t="shared" si="2350"/>
        <v>1.9505882498743667</v>
      </c>
      <c r="FQ258" s="107">
        <f t="shared" si="2351"/>
        <v>1.7505172633278749</v>
      </c>
      <c r="FR258" s="107">
        <f t="shared" si="2314"/>
        <v>1.2684519439154247</v>
      </c>
      <c r="FS258" s="141" t="str">
        <f t="shared" si="2315"/>
        <v>-</v>
      </c>
      <c r="FT258" s="107">
        <f t="shared" si="2316"/>
        <v>7.4956453575056825</v>
      </c>
      <c r="FU258" s="133">
        <f t="shared" si="2352"/>
        <v>3.842761463362891</v>
      </c>
      <c r="FV258" s="133">
        <f t="shared" si="2353"/>
        <v>1.9505882498743667</v>
      </c>
      <c r="FW258" s="107">
        <f t="shared" si="2354"/>
        <v>1.7505172633278749</v>
      </c>
      <c r="FY258" s="336">
        <v>1</v>
      </c>
      <c r="FZ258" s="62">
        <f t="shared" si="2074"/>
        <v>1.282537654312027</v>
      </c>
      <c r="GA258" s="62">
        <f t="shared" si="2075"/>
        <v>2.040322594990597</v>
      </c>
      <c r="GB258" s="107">
        <f t="shared" si="1270"/>
        <v>1.4700508249927582</v>
      </c>
      <c r="GC258" s="440"/>
      <c r="GD258" s="17"/>
      <c r="GE258" s="442"/>
      <c r="GF258" s="462"/>
      <c r="GG258" s="17"/>
      <c r="GH258" s="17"/>
      <c r="GI258" s="17"/>
      <c r="GJ258" s="17"/>
      <c r="GL258" s="17"/>
      <c r="GM258" s="442"/>
      <c r="GN258" s="8"/>
      <c r="GO258" s="8"/>
      <c r="GP258" s="8"/>
      <c r="GQ258" s="8"/>
      <c r="GS258" s="17"/>
      <c r="GT258" s="17"/>
      <c r="GU258" s="17"/>
      <c r="GV258" s="629"/>
      <c r="GW258" s="17"/>
      <c r="GX258" s="17"/>
      <c r="GY258" s="17"/>
      <c r="GZ258" s="17"/>
    </row>
    <row r="259" spans="1:208" ht="15.6" x14ac:dyDescent="0.3">
      <c r="A259" s="60" t="s">
        <v>46</v>
      </c>
      <c r="B259" s="218"/>
      <c r="C259" s="61" t="str">
        <f t="shared" ref="C259:C263" si="2406">C258</f>
        <v>Bermuda</v>
      </c>
      <c r="D259" s="61"/>
      <c r="E259" s="61"/>
      <c r="F259" s="61"/>
      <c r="G259" s="54"/>
      <c r="H259" s="204">
        <f>IF(StH=0,0,TBFavrundet)</f>
        <v>125</v>
      </c>
      <c r="I259" s="63">
        <f>COUNTA(O259:AG259)</f>
        <v>3</v>
      </c>
      <c r="J259" s="222">
        <f>SUM(O259:AG259)</f>
        <v>66.7</v>
      </c>
      <c r="K259" s="116">
        <f>Seilareal/Depl^0.667/K$7</f>
        <v>1.3674343649768161</v>
      </c>
      <c r="L259" s="116">
        <f t="shared" si="2383"/>
        <v>1.1478142790961163</v>
      </c>
      <c r="M259" s="92">
        <f t="shared" si="2384"/>
        <v>0.95189280359820094</v>
      </c>
      <c r="N259" s="242">
        <f t="shared" si="2385"/>
        <v>1.0078985048752331</v>
      </c>
      <c r="O259" s="143"/>
      <c r="P259" s="143"/>
      <c r="Q259" s="165">
        <v>37.200000000000003</v>
      </c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65">
        <v>22.2</v>
      </c>
      <c r="AF259" s="143"/>
      <c r="AG259" s="552">
        <v>7.3</v>
      </c>
      <c r="AH259" s="557">
        <f t="shared" ref="AH259:AI259" si="2407">AH258</f>
        <v>10</v>
      </c>
      <c r="AI259" s="557">
        <f t="shared" si="2407"/>
        <v>10</v>
      </c>
      <c r="AJ259" s="337">
        <f t="shared" si="2318"/>
        <v>0</v>
      </c>
      <c r="AK259" s="339"/>
      <c r="AL259" s="337">
        <f t="shared" si="2318"/>
        <v>0</v>
      </c>
      <c r="AM259" s="339"/>
      <c r="AN259" s="267" t="str">
        <f t="shared" ref="AN259" si="2408" xml:space="preserve"> AN258</f>
        <v>Lystb</v>
      </c>
      <c r="AO259" s="45">
        <f>VLOOKUP(AN259,Skrogform!$1:$1048576,3,FALSE)</f>
        <v>0.98</v>
      </c>
      <c r="AP259" s="64">
        <f t="shared" si="2388"/>
        <v>11.11</v>
      </c>
      <c r="AQ259" s="64">
        <f t="shared" si="2388"/>
        <v>9.39</v>
      </c>
      <c r="AR259" s="64">
        <f t="shared" si="2388"/>
        <v>2.92</v>
      </c>
      <c r="AS259" s="64">
        <f t="shared" si="2388"/>
        <v>1.85</v>
      </c>
      <c r="AT259" s="64">
        <f t="shared" ref="AT259" si="2409">AT258</f>
        <v>9.6</v>
      </c>
      <c r="AU259" s="64">
        <f t="shared" si="2388"/>
        <v>9.6</v>
      </c>
      <c r="AV259" s="64">
        <f t="shared" si="2388"/>
        <v>3.4</v>
      </c>
      <c r="AW259" s="64">
        <f t="shared" si="2388"/>
        <v>0</v>
      </c>
      <c r="AX259" s="256">
        <f t="shared" si="2390"/>
        <v>0</v>
      </c>
      <c r="AY259" s="256">
        <f t="shared" ref="AY259:AZ259" si="2410">AY258</f>
        <v>16</v>
      </c>
      <c r="AZ259" s="256">
        <f t="shared" si="2410"/>
        <v>390</v>
      </c>
      <c r="BA259" s="256">
        <f t="shared" ref="BA259:BB259" si="2411">BA258</f>
        <v>0</v>
      </c>
      <c r="BB259" s="256">
        <f t="shared" si="2411"/>
        <v>0</v>
      </c>
      <c r="BC259" s="256"/>
      <c r="BD259" s="66"/>
      <c r="BE259" s="66"/>
      <c r="BF259" s="261"/>
      <c r="BG259" s="66"/>
      <c r="BH259" s="175"/>
      <c r="BI259" s="66"/>
      <c r="BJ259" s="66"/>
      <c r="BK259" s="65" t="str">
        <f t="shared" si="2392"/>
        <v>Fast</v>
      </c>
      <c r="BL259" s="267">
        <f t="shared" si="2392"/>
        <v>2</v>
      </c>
      <c r="BM259" s="267">
        <f t="shared" si="2392"/>
        <v>50</v>
      </c>
      <c r="BN259" s="45">
        <f t="shared" si="2291"/>
        <v>0.98490487939259352</v>
      </c>
      <c r="BO259" s="59"/>
      <c r="BP259" s="59"/>
      <c r="BR259" s="49">
        <f t="shared" si="2393"/>
        <v>0</v>
      </c>
      <c r="BS259" s="49">
        <f t="shared" si="2393"/>
        <v>0</v>
      </c>
      <c r="BT259" s="49">
        <f t="shared" si="2393"/>
        <v>37.200000000000003</v>
      </c>
      <c r="BU259" s="49">
        <f t="shared" si="2393"/>
        <v>0</v>
      </c>
      <c r="BV259" s="49">
        <f t="shared" si="2393"/>
        <v>0</v>
      </c>
      <c r="BW259" s="49">
        <f t="shared" si="2393"/>
        <v>0</v>
      </c>
      <c r="BX259" s="49">
        <f t="shared" si="2393"/>
        <v>0</v>
      </c>
      <c r="BY259" s="549">
        <f t="shared" si="2394"/>
        <v>0</v>
      </c>
      <c r="BZ259" s="85">
        <f t="shared" si="2395"/>
        <v>0</v>
      </c>
      <c r="CA259" s="85">
        <f t="shared" si="2395"/>
        <v>0</v>
      </c>
      <c r="CB259" s="85">
        <f t="shared" si="2395"/>
        <v>0</v>
      </c>
      <c r="CC259" s="85">
        <f t="shared" si="2395"/>
        <v>0</v>
      </c>
      <c r="CD259" s="85">
        <f t="shared" si="2395"/>
        <v>0</v>
      </c>
      <c r="CE259" s="85">
        <f t="shared" si="2396"/>
        <v>0</v>
      </c>
      <c r="CF259" s="85">
        <f t="shared" si="2397"/>
        <v>0</v>
      </c>
      <c r="CG259" s="85">
        <f t="shared" si="2397"/>
        <v>0</v>
      </c>
      <c r="CH259" s="85">
        <f t="shared" si="2398"/>
        <v>0</v>
      </c>
      <c r="CI259" s="85">
        <f t="shared" si="2398"/>
        <v>21.09</v>
      </c>
      <c r="CJ259" s="85">
        <f t="shared" si="2398"/>
        <v>0</v>
      </c>
      <c r="CK259" s="85">
        <f t="shared" si="2398"/>
        <v>5.201249999999999</v>
      </c>
      <c r="CL259" s="100">
        <f t="shared" si="2399"/>
        <v>63.491250000000008</v>
      </c>
      <c r="CM259" s="50"/>
      <c r="CN259" s="106">
        <f t="shared" si="2400"/>
        <v>66.7</v>
      </c>
      <c r="CO259" s="101">
        <f t="shared" si="2401"/>
        <v>0.95189280359820094</v>
      </c>
      <c r="CP259" s="51">
        <f t="shared" si="2402"/>
        <v>0.7564751208148609</v>
      </c>
      <c r="CQ259" s="116">
        <f t="shared" si="2403"/>
        <v>1.3674343649768161</v>
      </c>
      <c r="CR259" s="51">
        <f t="shared" si="2404"/>
        <v>1.1478142790961163</v>
      </c>
      <c r="CS259" s="204"/>
      <c r="CT259" s="204">
        <f t="shared" si="2405"/>
        <v>125</v>
      </c>
      <c r="CU259" s="107">
        <f t="shared" si="1041"/>
        <v>1.2501076716816073</v>
      </c>
      <c r="CV259" s="62">
        <f t="shared" si="2119"/>
        <v>3.7528831965389391</v>
      </c>
      <c r="CW259" s="62">
        <f t="shared" si="1268"/>
        <v>1.8735725159712233</v>
      </c>
      <c r="CX259" s="62">
        <f t="shared" si="2120"/>
        <v>1.7505172633278749</v>
      </c>
      <c r="CY259" s="107">
        <f t="shared" si="1269"/>
        <v>1.0078985048752331</v>
      </c>
      <c r="CZ259" s="168" t="str">
        <f t="shared" si="2209"/>
        <v>-</v>
      </c>
      <c r="DA259" s="158"/>
      <c r="DB259" s="168" t="str">
        <f t="shared" si="2289"/>
        <v>-</v>
      </c>
      <c r="DC259" s="160"/>
      <c r="DD259" s="190" t="s">
        <v>134</v>
      </c>
      <c r="DE259" s="62">
        <v>0.98</v>
      </c>
      <c r="DF259" s="62">
        <v>0.93</v>
      </c>
      <c r="DG259" s="62">
        <v>1.02</v>
      </c>
      <c r="DH259" s="150">
        <v>1.04</v>
      </c>
      <c r="DI259" s="62">
        <f t="shared" si="2292"/>
        <v>2.104742167486616</v>
      </c>
      <c r="DJ259" s="47">
        <f t="shared" si="2293"/>
        <v>13.899323816679187</v>
      </c>
      <c r="DK259" s="48">
        <f t="shared" si="2294"/>
        <v>0</v>
      </c>
      <c r="DM259" s="107">
        <f t="shared" si="2295"/>
        <v>1.2185940974671872</v>
      </c>
      <c r="DN259" s="141">
        <f t="shared" si="2296"/>
        <v>-5.7025975677310159</v>
      </c>
      <c r="DO259" s="107">
        <f t="shared" si="2297"/>
        <v>5.7000241792791897</v>
      </c>
      <c r="DP259" s="133">
        <f>IF(SeilBeregnet=0,DP258,(SeilBeregnet^0.5/(Depl^0.3333))^DP$3*DP$7)</f>
        <v>3.7494359294048225</v>
      </c>
      <c r="DQ259" s="133">
        <f>IF(SeilBeregnet=0,DQ258,(SeilBeregnet^0.5/Lwl)^DQ$3*DQ$7)</f>
        <v>0</v>
      </c>
      <c r="DR259" s="133">
        <f>IF(SeilBeregnet=0,DR258,(0.1*Loa/Depl^0.3333)^DR$3*DR$7)</f>
        <v>0</v>
      </c>
      <c r="DS259" s="133">
        <f>IF(SeilBeregnet=0,DS258,((Loa)/Bredde)^DS$3*DS$7)</f>
        <v>1.9505882498743667</v>
      </c>
      <c r="DT259" s="107">
        <f>IF(SeilBeregnet=0,DT258,(Lwl)^DT$3)</f>
        <v>1.7505172633278749</v>
      </c>
      <c r="DU259" s="133">
        <f>IF(SeilBeregnet=0,DU258,(Dypg/Loa)^DU$3*5*DU$7)</f>
        <v>2.040322594990597</v>
      </c>
      <c r="DW259" s="107">
        <f t="shared" si="417"/>
        <v>1.2756200731444973</v>
      </c>
      <c r="DX259" s="107">
        <f t="shared" si="2298"/>
        <v>1.2302108091091575</v>
      </c>
      <c r="DY259" s="122">
        <f>DX259-DW259</f>
        <v>-4.5409264035339847E-2</v>
      </c>
      <c r="DZ259" s="107">
        <f t="shared" si="2299"/>
        <v>1.2299145897040524</v>
      </c>
      <c r="EA259" s="122">
        <f t="shared" si="2300"/>
        <v>-4.5705483440444894E-2</v>
      </c>
      <c r="EB259" s="107">
        <f t="shared" si="2301"/>
        <v>1.2656931160085669</v>
      </c>
      <c r="EC259" s="122">
        <f t="shared" si="2302"/>
        <v>-9.9269571359303921E-3</v>
      </c>
      <c r="ED259" s="107">
        <f t="shared" si="2328"/>
        <v>3.7491815279611007</v>
      </c>
      <c r="EE259" s="107">
        <f t="shared" si="2329"/>
        <v>2.109548147034956</v>
      </c>
      <c r="EF259" s="107">
        <f t="shared" si="2330"/>
        <v>1.6277689216151001</v>
      </c>
      <c r="EH259" s="107">
        <f t="shared" si="2303"/>
        <v>1.2595976051926008</v>
      </c>
      <c r="EJ259" s="107">
        <f t="shared" si="2331"/>
        <v>3.7491815279611007</v>
      </c>
      <c r="EK259" s="107">
        <f t="shared" si="2332"/>
        <v>2.1096898909840953</v>
      </c>
      <c r="EL259" s="107">
        <f t="shared" si="2333"/>
        <v>1.9146767228439099</v>
      </c>
      <c r="EM259" s="107">
        <f t="shared" si="2304"/>
        <v>1.2451609944804187</v>
      </c>
      <c r="EO259" s="107">
        <f t="shared" si="2334"/>
        <v>6.1028011727084941</v>
      </c>
      <c r="EP259" s="107">
        <f t="shared" si="2335"/>
        <v>3.7491815279611007</v>
      </c>
      <c r="EQ259" s="107">
        <f t="shared" si="2336"/>
        <v>1.6277689216151001</v>
      </c>
      <c r="ER259" s="107">
        <f t="shared" si="2337"/>
        <v>1.7505172633278749</v>
      </c>
      <c r="ES259" s="107">
        <f t="shared" si="2305"/>
        <v>1.2398191601033213</v>
      </c>
      <c r="EU259" s="107">
        <f t="shared" si="2338"/>
        <v>1.9746753469591294</v>
      </c>
      <c r="EV259" s="107">
        <f t="shared" si="2339"/>
        <v>3.7491815279611007</v>
      </c>
      <c r="EW259" s="107">
        <f t="shared" si="2340"/>
        <v>1.0400517277723595</v>
      </c>
      <c r="EX259" s="107">
        <f t="shared" si="2341"/>
        <v>1.7740856413035511</v>
      </c>
      <c r="EY259" s="107">
        <f t="shared" si="2306"/>
        <v>1.1602284964014922</v>
      </c>
      <c r="FA259" s="107">
        <f t="shared" si="2307"/>
        <v>1.9747423418130396</v>
      </c>
      <c r="FB259" s="107">
        <f t="shared" si="2342"/>
        <v>3.7494359294048225</v>
      </c>
      <c r="FC259" s="107">
        <f t="shared" si="2343"/>
        <v>1.0400517277723595</v>
      </c>
      <c r="FD259" s="107">
        <f t="shared" si="2344"/>
        <v>1.7740856413035511</v>
      </c>
      <c r="FE259" s="107">
        <f t="shared" si="2308"/>
        <v>1.2495660287280013</v>
      </c>
      <c r="FF259" s="141">
        <f t="shared" si="2309"/>
        <v>-2.6054044416496058</v>
      </c>
      <c r="FG259" s="107">
        <f t="shared" si="2310"/>
        <v>4.0557933272107798</v>
      </c>
      <c r="FH259" s="133">
        <f t="shared" si="2345"/>
        <v>3.7494359294048225</v>
      </c>
      <c r="FI259" s="133">
        <f t="shared" si="2346"/>
        <v>1.0817075964422702</v>
      </c>
      <c r="FJ259" s="107">
        <f t="shared" si="2347"/>
        <v>0.99764167053180919</v>
      </c>
      <c r="FK259" s="107">
        <f t="shared" si="2311"/>
        <v>1.2409737952743702</v>
      </c>
      <c r="FL259" s="141">
        <f t="shared" si="2312"/>
        <v>-3.4646277870127085</v>
      </c>
      <c r="FM259" s="107">
        <f t="shared" si="2313"/>
        <v>6.0486013552654079</v>
      </c>
      <c r="FN259" s="133">
        <f t="shared" si="2348"/>
        <v>3.7494359294048225</v>
      </c>
      <c r="FO259" s="133">
        <f t="shared" si="2349"/>
        <v>0.84857717598621851</v>
      </c>
      <c r="FP259" s="133">
        <f t="shared" si="2350"/>
        <v>1.9505882498743667</v>
      </c>
      <c r="FQ259" s="107">
        <f t="shared" si="2351"/>
        <v>1.7505172633278749</v>
      </c>
      <c r="FR259" s="107">
        <f t="shared" si="2314"/>
        <v>1.2483653292532531</v>
      </c>
      <c r="FS259" s="141">
        <f t="shared" si="2315"/>
        <v>-2.7254743891244271</v>
      </c>
      <c r="FT259" s="107">
        <f t="shared" si="2316"/>
        <v>7.3136056675538228</v>
      </c>
      <c r="FU259" s="133">
        <f t="shared" si="2352"/>
        <v>3.7494359294048225</v>
      </c>
      <c r="FV259" s="133">
        <f t="shared" si="2353"/>
        <v>1.9505882498743667</v>
      </c>
      <c r="FW259" s="107">
        <f t="shared" si="2354"/>
        <v>1.7505172633278749</v>
      </c>
      <c r="FY259" s="336">
        <v>1</v>
      </c>
      <c r="FZ259" s="62">
        <f t="shared" si="2074"/>
        <v>1.2672588796325011</v>
      </c>
      <c r="GA259" s="62">
        <f t="shared" si="2075"/>
        <v>2.040322594990597</v>
      </c>
      <c r="GB259" s="107">
        <f t="shared" si="1270"/>
        <v>1.4580525836717935</v>
      </c>
      <c r="GC259" s="440"/>
      <c r="GD259" s="17"/>
      <c r="GE259" s="442"/>
      <c r="GF259" s="462"/>
      <c r="GG259" s="17"/>
      <c r="GH259" s="17"/>
      <c r="GI259" s="17"/>
      <c r="GJ259" s="17"/>
      <c r="GL259" s="17"/>
      <c r="GM259" s="442"/>
      <c r="GN259" s="8"/>
      <c r="GO259" s="8"/>
      <c r="GP259" s="8"/>
      <c r="GQ259" s="8"/>
      <c r="GS259" s="17"/>
      <c r="GT259" s="17"/>
      <c r="GU259" s="17"/>
      <c r="GV259" s="629"/>
      <c r="GW259" s="17"/>
      <c r="GX259" s="17"/>
      <c r="GY259" s="17"/>
      <c r="GZ259" s="17"/>
    </row>
    <row r="260" spans="1:208" ht="15.6" x14ac:dyDescent="0.3">
      <c r="A260" s="60" t="s">
        <v>64</v>
      </c>
      <c r="B260" s="218"/>
      <c r="C260" s="61" t="str">
        <f t="shared" si="2406"/>
        <v>Bermuda</v>
      </c>
      <c r="D260" s="61"/>
      <c r="E260" s="61"/>
      <c r="F260" s="61"/>
      <c r="G260" s="54"/>
      <c r="H260" s="204">
        <f t="shared" ref="H260:H263" si="2412">TBFavrundet</f>
        <v>121.49999999999999</v>
      </c>
      <c r="I260" s="63">
        <f t="shared" ref="I260:I263" si="2413">COUNTA(O260:AG260)</f>
        <v>4</v>
      </c>
      <c r="J260" s="222">
        <f t="shared" ref="J260:J263" si="2414">SUM(O260:AG260)</f>
        <v>64.399999999999991</v>
      </c>
      <c r="K260" s="116">
        <f t="shared" ref="K260:K263" si="2415">Seilareal/Depl^0.667/K$7</f>
        <v>1.3202814558396843</v>
      </c>
      <c r="L260" s="116">
        <f t="shared" si="2383"/>
        <v>1.1082344763686638</v>
      </c>
      <c r="M260" s="92">
        <f t="shared" si="2384"/>
        <v>0.90048524844720512</v>
      </c>
      <c r="N260" s="242">
        <f t="shared" si="2385"/>
        <v>1.0078985048752331</v>
      </c>
      <c r="O260" s="143"/>
      <c r="P260" s="143"/>
      <c r="Q260" s="143"/>
      <c r="R260" s="165">
        <v>28.5</v>
      </c>
      <c r="S260" s="143"/>
      <c r="T260" s="143"/>
      <c r="U260" s="165">
        <v>6.4</v>
      </c>
      <c r="V260" s="560"/>
      <c r="W260" s="560"/>
      <c r="X260" s="143"/>
      <c r="Y260" s="143"/>
      <c r="Z260" s="143"/>
      <c r="AA260" s="143"/>
      <c r="AB260" s="143"/>
      <c r="AC260" s="143"/>
      <c r="AD260" s="143"/>
      <c r="AE260" s="165">
        <v>22.2</v>
      </c>
      <c r="AF260" s="143"/>
      <c r="AG260" s="552">
        <v>7.3</v>
      </c>
      <c r="AH260" s="557">
        <f t="shared" ref="AH260:AI263" si="2416">AH259</f>
        <v>10</v>
      </c>
      <c r="AI260" s="557">
        <f t="shared" si="2416"/>
        <v>10</v>
      </c>
      <c r="AJ260" s="337">
        <f t="shared" si="2318"/>
        <v>0</v>
      </c>
      <c r="AK260" s="339"/>
      <c r="AL260" s="337">
        <f t="shared" si="2318"/>
        <v>0</v>
      </c>
      <c r="AM260" s="339"/>
      <c r="AN260" s="267" t="str">
        <f t="shared" ref="AN260" si="2417" xml:space="preserve"> AN259</f>
        <v>Lystb</v>
      </c>
      <c r="AO260" s="45">
        <f>VLOOKUP(AN260,Skrogform!$1:$1048576,3,FALSE)</f>
        <v>0.98</v>
      </c>
      <c r="AP260" s="64">
        <f t="shared" ref="AP260:AZ260" si="2418">AP259</f>
        <v>11.11</v>
      </c>
      <c r="AQ260" s="64">
        <f t="shared" si="2418"/>
        <v>9.39</v>
      </c>
      <c r="AR260" s="64">
        <f t="shared" si="2418"/>
        <v>2.92</v>
      </c>
      <c r="AS260" s="64">
        <f t="shared" si="2418"/>
        <v>1.85</v>
      </c>
      <c r="AT260" s="64">
        <f t="shared" ref="AT260" si="2419">AT259</f>
        <v>9.6</v>
      </c>
      <c r="AU260" s="64">
        <f t="shared" si="2418"/>
        <v>9.6</v>
      </c>
      <c r="AV260" s="64">
        <f t="shared" si="2418"/>
        <v>3.4</v>
      </c>
      <c r="AW260" s="64">
        <f t="shared" si="2418"/>
        <v>0</v>
      </c>
      <c r="AX260" s="256">
        <f t="shared" si="2390"/>
        <v>0</v>
      </c>
      <c r="AY260" s="256">
        <f t="shared" si="2418"/>
        <v>16</v>
      </c>
      <c r="AZ260" s="256">
        <f t="shared" si="2418"/>
        <v>390</v>
      </c>
      <c r="BA260" s="256">
        <f t="shared" ref="BA260:BB260" si="2420">BA259</f>
        <v>0</v>
      </c>
      <c r="BB260" s="256">
        <f t="shared" si="2420"/>
        <v>0</v>
      </c>
      <c r="BC260" s="256"/>
      <c r="BD260" s="66"/>
      <c r="BE260" s="66"/>
      <c r="BF260" s="261"/>
      <c r="BG260" s="66"/>
      <c r="BH260" s="175"/>
      <c r="BI260" s="66"/>
      <c r="BJ260" s="66"/>
      <c r="BK260" s="65" t="str">
        <f t="shared" ref="BK260:BM260" si="2421" xml:space="preserve"> BK259</f>
        <v>Fast</v>
      </c>
      <c r="BL260" s="267">
        <f t="shared" si="2421"/>
        <v>2</v>
      </c>
      <c r="BM260" s="267">
        <f t="shared" si="2421"/>
        <v>50</v>
      </c>
      <c r="BN260" s="45">
        <f t="shared" si="2291"/>
        <v>0.98490487939259352</v>
      </c>
      <c r="BO260" s="59"/>
      <c r="BP260" s="59"/>
      <c r="BR260" s="49">
        <f t="shared" si="2393"/>
        <v>0</v>
      </c>
      <c r="BS260" s="49">
        <f t="shared" si="2393"/>
        <v>0</v>
      </c>
      <c r="BT260" s="49">
        <f t="shared" si="2393"/>
        <v>0</v>
      </c>
      <c r="BU260" s="49">
        <f t="shared" si="2393"/>
        <v>28.5</v>
      </c>
      <c r="BV260" s="49">
        <f t="shared" si="2393"/>
        <v>0</v>
      </c>
      <c r="BW260" s="49">
        <f t="shared" si="2393"/>
        <v>0</v>
      </c>
      <c r="BX260" s="49">
        <f t="shared" si="2393"/>
        <v>6.4</v>
      </c>
      <c r="BY260" s="549">
        <f t="shared" si="2394"/>
        <v>-3.2</v>
      </c>
      <c r="BZ260" s="85">
        <f t="shared" si="2395"/>
        <v>0</v>
      </c>
      <c r="CA260" s="85">
        <f t="shared" si="2395"/>
        <v>0</v>
      </c>
      <c r="CB260" s="85">
        <f t="shared" si="2395"/>
        <v>0</v>
      </c>
      <c r="CC260" s="85">
        <f t="shared" si="2395"/>
        <v>0</v>
      </c>
      <c r="CD260" s="85">
        <f t="shared" si="2395"/>
        <v>0</v>
      </c>
      <c r="CE260" s="85">
        <f t="shared" si="2396"/>
        <v>0</v>
      </c>
      <c r="CF260" s="85">
        <f t="shared" si="2397"/>
        <v>0</v>
      </c>
      <c r="CG260" s="85">
        <f t="shared" si="2397"/>
        <v>0</v>
      </c>
      <c r="CH260" s="85">
        <f t="shared" si="2398"/>
        <v>0</v>
      </c>
      <c r="CI260" s="85">
        <f t="shared" si="2398"/>
        <v>21.09</v>
      </c>
      <c r="CJ260" s="85">
        <f t="shared" si="2398"/>
        <v>0</v>
      </c>
      <c r="CK260" s="85">
        <f t="shared" si="2398"/>
        <v>5.201249999999999</v>
      </c>
      <c r="CL260" s="100">
        <f t="shared" si="2399"/>
        <v>57.991250000000001</v>
      </c>
      <c r="CM260" s="50"/>
      <c r="CN260" s="106">
        <f t="shared" si="2400"/>
        <v>64.399999999999991</v>
      </c>
      <c r="CO260" s="101">
        <f t="shared" si="2401"/>
        <v>0.90048524844720512</v>
      </c>
      <c r="CP260" s="51">
        <f t="shared" si="2402"/>
        <v>0.73038977182124487</v>
      </c>
      <c r="CQ260" s="116">
        <f t="shared" si="2403"/>
        <v>1.3202814558396843</v>
      </c>
      <c r="CR260" s="51">
        <f t="shared" si="2404"/>
        <v>1.1082344763686638</v>
      </c>
      <c r="CS260" s="204"/>
      <c r="CT260" s="204">
        <f t="shared" si="2405"/>
        <v>121.49999999999999</v>
      </c>
      <c r="CU260" s="107">
        <f t="shared" si="1267"/>
        <v>1.213173971851724</v>
      </c>
      <c r="CV260" s="62">
        <f t="shared" si="2119"/>
        <v>3.5866528540657598</v>
      </c>
      <c r="CW260" s="62">
        <f t="shared" si="1268"/>
        <v>1.8735725159712233</v>
      </c>
      <c r="CX260" s="62">
        <f t="shared" si="2120"/>
        <v>1.7505172633278749</v>
      </c>
      <c r="CY260" s="107">
        <f t="shared" si="1269"/>
        <v>1.0078985048752331</v>
      </c>
      <c r="CZ260" s="168" t="str">
        <f t="shared" si="2209"/>
        <v>-</v>
      </c>
      <c r="DA260" s="158"/>
      <c r="DB260" s="168" t="str">
        <f t="shared" si="2289"/>
        <v>-</v>
      </c>
      <c r="DC260" s="160"/>
      <c r="DD260" s="190" t="s">
        <v>134</v>
      </c>
      <c r="DE260" s="62">
        <v>0.95</v>
      </c>
      <c r="DF260" s="62">
        <v>0.91</v>
      </c>
      <c r="DG260" s="62">
        <v>0.99</v>
      </c>
      <c r="DH260" s="150">
        <v>1.01</v>
      </c>
      <c r="DI260" s="62">
        <f t="shared" si="2292"/>
        <v>2.104742167486616</v>
      </c>
      <c r="DJ260" s="47">
        <f t="shared" si="2293"/>
        <v>13.899323816679187</v>
      </c>
      <c r="DK260" s="48">
        <f t="shared" si="2294"/>
        <v>0</v>
      </c>
      <c r="DM260" s="107">
        <f t="shared" si="2295"/>
        <v>1.1830887668670858</v>
      </c>
      <c r="DN260" s="141">
        <f t="shared" si="2296"/>
        <v>-5.4843857471408075</v>
      </c>
      <c r="DO260" s="107">
        <f t="shared" si="2297"/>
        <v>5.5339465301796888</v>
      </c>
      <c r="DP260" s="133">
        <f>IF(SeilBeregnet=0,DP259,(SeilBeregnet^0.5/(Depl^0.3333))^DP$3*DP$7)</f>
        <v>3.5833582803053221</v>
      </c>
      <c r="DQ260" s="133">
        <f>IF(SeilBeregnet=0,DQ259,(SeilBeregnet^0.5/Lwl)^DQ$3*DQ$7)</f>
        <v>0</v>
      </c>
      <c r="DR260" s="133">
        <f>IF(SeilBeregnet=0,DR259,(0.1*Loa/Depl^0.3333)^DR$3*DR$7)</f>
        <v>0</v>
      </c>
      <c r="DS260" s="133">
        <f>IF(SeilBeregnet=0,DS259,((Loa)/Bredde)^DS$3*DS$7)</f>
        <v>1.9505882498743667</v>
      </c>
      <c r="DT260" s="107">
        <f>IF(SeilBeregnet=0,DT259,(Lwl)^DT$3)</f>
        <v>1.7505172633278749</v>
      </c>
      <c r="DU260" s="133">
        <f>IF(SeilBeregnet=0,DU259,(Dypg/Loa)^DU$3*5*DU$7)</f>
        <v>2.040322594990597</v>
      </c>
      <c r="DW260" s="107">
        <f t="shared" si="417"/>
        <v>1.2379326243384938</v>
      </c>
      <c r="DX260" s="107">
        <f t="shared" si="2298"/>
        <v>1.1865391887928864</v>
      </c>
      <c r="DY260" s="122">
        <f>DX260-DW260</f>
        <v>-5.139343554560738E-2</v>
      </c>
      <c r="DZ260" s="107">
        <f t="shared" si="2299"/>
        <v>1.1937537747629476</v>
      </c>
      <c r="EA260" s="122">
        <f t="shared" si="2300"/>
        <v>-4.4178849575546186E-2</v>
      </c>
      <c r="EB260" s="107">
        <f t="shared" si="2301"/>
        <v>1.2220277475319901</v>
      </c>
      <c r="EC260" s="122">
        <f t="shared" si="2302"/>
        <v>-1.5904876806503765E-2</v>
      </c>
      <c r="ED260" s="107">
        <f t="shared" si="2328"/>
        <v>3.5831151473282432</v>
      </c>
      <c r="EE260" s="107">
        <f t="shared" si="2329"/>
        <v>2.109548147034956</v>
      </c>
      <c r="EF260" s="107">
        <f t="shared" si="2330"/>
        <v>1.6277689216151001</v>
      </c>
      <c r="EH260" s="107">
        <f t="shared" si="2303"/>
        <v>1.2198099214399682</v>
      </c>
      <c r="EJ260" s="107">
        <f t="shared" si="2331"/>
        <v>3.5831151473282432</v>
      </c>
      <c r="EK260" s="107">
        <f t="shared" si="2332"/>
        <v>2.1096898909840953</v>
      </c>
      <c r="EL260" s="107">
        <f t="shared" si="2333"/>
        <v>1.9146767228439099</v>
      </c>
      <c r="EM260" s="107">
        <f t="shared" si="2304"/>
        <v>1.2036211565077484</v>
      </c>
      <c r="EO260" s="107">
        <f t="shared" si="2334"/>
        <v>5.8324834793892251</v>
      </c>
      <c r="EP260" s="107">
        <f t="shared" si="2335"/>
        <v>3.5831151473282432</v>
      </c>
      <c r="EQ260" s="107">
        <f t="shared" si="2336"/>
        <v>1.6277689216151001</v>
      </c>
      <c r="ER260" s="107">
        <f t="shared" si="2337"/>
        <v>1.7505172633278749</v>
      </c>
      <c r="ES260" s="107">
        <f t="shared" si="2305"/>
        <v>1.2026344881796529</v>
      </c>
      <c r="EU260" s="107">
        <f t="shared" si="2338"/>
        <v>1.9304468653102194</v>
      </c>
      <c r="EV260" s="107">
        <f t="shared" si="2339"/>
        <v>3.5831151473282432</v>
      </c>
      <c r="EW260" s="107">
        <f t="shared" si="2340"/>
        <v>1.0400517277723595</v>
      </c>
      <c r="EX260" s="107">
        <f t="shared" si="2341"/>
        <v>1.7740856413035511</v>
      </c>
      <c r="EY260" s="107">
        <f t="shared" si="2306"/>
        <v>1.134241872908847</v>
      </c>
      <c r="FA260" s="107">
        <f t="shared" si="2307"/>
        <v>1.9305123596234606</v>
      </c>
      <c r="FB260" s="107">
        <f t="shared" si="2342"/>
        <v>3.5833582803053221</v>
      </c>
      <c r="FC260" s="107">
        <f t="shared" si="2343"/>
        <v>1.0400517277723595</v>
      </c>
      <c r="FD260" s="107">
        <f t="shared" si="2344"/>
        <v>1.7740856413035511</v>
      </c>
      <c r="FE260" s="107">
        <f t="shared" si="2308"/>
        <v>1.2124971684938377</v>
      </c>
      <c r="FF260" s="141">
        <f t="shared" si="2309"/>
        <v>-2.5435455844656119</v>
      </c>
      <c r="FG260" s="107">
        <f t="shared" si="2310"/>
        <v>3.8761458725805769</v>
      </c>
      <c r="FH260" s="133">
        <f t="shared" si="2345"/>
        <v>3.5833582803053221</v>
      </c>
      <c r="FI260" s="133">
        <f t="shared" si="2346"/>
        <v>1.0817075964422702</v>
      </c>
      <c r="FJ260" s="107">
        <f t="shared" si="2347"/>
        <v>0.99764167053180919</v>
      </c>
      <c r="FK260" s="107">
        <f t="shared" si="2311"/>
        <v>1.1991885356323304</v>
      </c>
      <c r="FL260" s="141">
        <f t="shared" si="2312"/>
        <v>-3.8744088706163415</v>
      </c>
      <c r="FM260" s="107">
        <f t="shared" si="2313"/>
        <v>5.8449367983961142</v>
      </c>
      <c r="FN260" s="133">
        <f t="shared" si="2348"/>
        <v>3.5833582803053221</v>
      </c>
      <c r="FO260" s="133">
        <f t="shared" si="2349"/>
        <v>0.81099026821642628</v>
      </c>
      <c r="FP260" s="133">
        <f t="shared" si="2350"/>
        <v>1.9505882498743667</v>
      </c>
      <c r="FQ260" s="107">
        <f t="shared" si="2351"/>
        <v>1.7505172633278749</v>
      </c>
      <c r="FR260" s="107">
        <f t="shared" si="2314"/>
        <v>1.2126201521299176</v>
      </c>
      <c r="FS260" s="141">
        <f t="shared" si="2315"/>
        <v>-2.5312472208576242</v>
      </c>
      <c r="FT260" s="107">
        <f t="shared" si="2316"/>
        <v>6.9896565566535784</v>
      </c>
      <c r="FU260" s="133">
        <f t="shared" si="2352"/>
        <v>3.5833582803053221</v>
      </c>
      <c r="FV260" s="133">
        <f t="shared" si="2353"/>
        <v>1.9505882498743667</v>
      </c>
      <c r="FW260" s="107">
        <f t="shared" si="2354"/>
        <v>1.7505172633278749</v>
      </c>
      <c r="FY260" s="336">
        <v>1</v>
      </c>
      <c r="FZ260" s="62">
        <f t="shared" si="2074"/>
        <v>1.2400695042035137</v>
      </c>
      <c r="GA260" s="62">
        <f t="shared" si="2075"/>
        <v>2.040322594990597</v>
      </c>
      <c r="GB260" s="107">
        <f t="shared" si="1270"/>
        <v>1.4361989963673993</v>
      </c>
      <c r="GC260" s="440"/>
      <c r="GD260" s="17"/>
      <c r="GE260" s="442"/>
      <c r="GF260" s="462"/>
      <c r="GG260" s="17"/>
      <c r="GH260" s="17"/>
      <c r="GI260" s="17"/>
      <c r="GJ260" s="17"/>
      <c r="GL260" s="17"/>
      <c r="GM260" s="442"/>
      <c r="GN260" s="8"/>
      <c r="GO260" s="8"/>
      <c r="GP260" s="8"/>
      <c r="GQ260" s="8"/>
      <c r="GS260" s="17"/>
      <c r="GT260" s="17"/>
      <c r="GU260" s="17"/>
      <c r="GV260" s="629"/>
      <c r="GW260" s="17"/>
      <c r="GX260" s="17"/>
      <c r="GY260" s="17"/>
      <c r="GZ260" s="17"/>
    </row>
    <row r="261" spans="1:208" ht="15.6" x14ac:dyDescent="0.3">
      <c r="A261" s="60" t="s">
        <v>109</v>
      </c>
      <c r="B261" s="218"/>
      <c r="C261" s="61" t="str">
        <f>C259</f>
        <v>Bermuda</v>
      </c>
      <c r="D261" s="61"/>
      <c r="E261" s="61"/>
      <c r="F261" s="61"/>
      <c r="G261" s="54"/>
      <c r="H261" s="204">
        <f t="shared" si="2412"/>
        <v>119</v>
      </c>
      <c r="I261" s="63">
        <f t="shared" si="2413"/>
        <v>3</v>
      </c>
      <c r="J261" s="222">
        <f t="shared" si="2414"/>
        <v>58</v>
      </c>
      <c r="K261" s="116">
        <f t="shared" si="2415"/>
        <v>1.1890733608494051</v>
      </c>
      <c r="L261" s="116">
        <f t="shared" si="2383"/>
        <v>0.99809937312705765</v>
      </c>
      <c r="M261" s="92">
        <f t="shared" si="2384"/>
        <v>0.94467672413793113</v>
      </c>
      <c r="N261" s="242">
        <f t="shared" si="2385"/>
        <v>1.0078985048752331</v>
      </c>
      <c r="O261" s="143"/>
      <c r="P261" s="143"/>
      <c r="Q261" s="143"/>
      <c r="R261" s="165">
        <v>28.5</v>
      </c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65">
        <v>22.2</v>
      </c>
      <c r="AF261" s="143"/>
      <c r="AG261" s="552">
        <v>7.3</v>
      </c>
      <c r="AH261" s="557">
        <f t="shared" si="2416"/>
        <v>10</v>
      </c>
      <c r="AI261" s="557">
        <f t="shared" si="2416"/>
        <v>10</v>
      </c>
      <c r="AJ261" s="337">
        <f t="shared" si="2318"/>
        <v>0</v>
      </c>
      <c r="AK261" s="339"/>
      <c r="AL261" s="337">
        <f t="shared" si="2318"/>
        <v>0</v>
      </c>
      <c r="AM261" s="339"/>
      <c r="AN261" s="267" t="str">
        <f t="shared" ref="AN261" si="2422" xml:space="preserve"> AN260</f>
        <v>Lystb</v>
      </c>
      <c r="AO261" s="45">
        <f>VLOOKUP(AN261,Skrogform!$1:$1048576,3,FALSE)</f>
        <v>0.98</v>
      </c>
      <c r="AP261" s="64">
        <f t="shared" ref="AP261:AZ261" si="2423">AP260</f>
        <v>11.11</v>
      </c>
      <c r="AQ261" s="64">
        <f t="shared" si="2423"/>
        <v>9.39</v>
      </c>
      <c r="AR261" s="64">
        <f t="shared" si="2423"/>
        <v>2.92</v>
      </c>
      <c r="AS261" s="64">
        <f t="shared" si="2423"/>
        <v>1.85</v>
      </c>
      <c r="AT261" s="64">
        <f t="shared" ref="AT261" si="2424">AT260</f>
        <v>9.6</v>
      </c>
      <c r="AU261" s="64">
        <f t="shared" si="2423"/>
        <v>9.6</v>
      </c>
      <c r="AV261" s="64">
        <f t="shared" si="2423"/>
        <v>3.4</v>
      </c>
      <c r="AW261" s="64">
        <f t="shared" si="2423"/>
        <v>0</v>
      </c>
      <c r="AX261" s="256">
        <f t="shared" si="2390"/>
        <v>0</v>
      </c>
      <c r="AY261" s="256">
        <f t="shared" si="2423"/>
        <v>16</v>
      </c>
      <c r="AZ261" s="256">
        <f t="shared" si="2423"/>
        <v>390</v>
      </c>
      <c r="BA261" s="256">
        <f t="shared" ref="BA261:BB261" si="2425">BA260</f>
        <v>0</v>
      </c>
      <c r="BB261" s="256">
        <f t="shared" si="2425"/>
        <v>0</v>
      </c>
      <c r="BC261" s="256"/>
      <c r="BD261" s="66"/>
      <c r="BE261" s="66"/>
      <c r="BF261" s="261"/>
      <c r="BG261" s="66"/>
      <c r="BH261" s="175"/>
      <c r="BI261" s="66"/>
      <c r="BJ261" s="66"/>
      <c r="BK261" s="65" t="str">
        <f t="shared" ref="BK261:BM261" si="2426" xml:space="preserve"> BK260</f>
        <v>Fast</v>
      </c>
      <c r="BL261" s="267">
        <f t="shared" si="2426"/>
        <v>2</v>
      </c>
      <c r="BM261" s="267">
        <f t="shared" si="2426"/>
        <v>50</v>
      </c>
      <c r="BN261" s="45">
        <f t="shared" si="2291"/>
        <v>0.98490487939259352</v>
      </c>
      <c r="BO261" s="59"/>
      <c r="BP261" s="59"/>
      <c r="BR261" s="49">
        <f t="shared" si="2393"/>
        <v>0</v>
      </c>
      <c r="BS261" s="49">
        <f t="shared" si="2393"/>
        <v>0</v>
      </c>
      <c r="BT261" s="49">
        <f t="shared" si="2393"/>
        <v>0</v>
      </c>
      <c r="BU261" s="49">
        <f t="shared" si="2393"/>
        <v>28.5</v>
      </c>
      <c r="BV261" s="49">
        <f t="shared" si="2393"/>
        <v>0</v>
      </c>
      <c r="BW261" s="49">
        <f t="shared" si="2393"/>
        <v>0</v>
      </c>
      <c r="BX261" s="49">
        <f t="shared" si="2393"/>
        <v>0</v>
      </c>
      <c r="BY261" s="549">
        <f t="shared" si="2394"/>
        <v>0</v>
      </c>
      <c r="BZ261" s="85">
        <f t="shared" si="2395"/>
        <v>0</v>
      </c>
      <c r="CA261" s="85">
        <f t="shared" si="2395"/>
        <v>0</v>
      </c>
      <c r="CB261" s="85">
        <f t="shared" si="2395"/>
        <v>0</v>
      </c>
      <c r="CC261" s="85">
        <f t="shared" si="2395"/>
        <v>0</v>
      </c>
      <c r="CD261" s="85">
        <f t="shared" si="2395"/>
        <v>0</v>
      </c>
      <c r="CE261" s="85">
        <f t="shared" si="2396"/>
        <v>0</v>
      </c>
      <c r="CF261" s="85">
        <f t="shared" si="2397"/>
        <v>0</v>
      </c>
      <c r="CG261" s="85">
        <f t="shared" si="2397"/>
        <v>0</v>
      </c>
      <c r="CH261" s="85">
        <f t="shared" si="2398"/>
        <v>0</v>
      </c>
      <c r="CI261" s="85">
        <f t="shared" si="2398"/>
        <v>21.09</v>
      </c>
      <c r="CJ261" s="85">
        <f t="shared" si="2398"/>
        <v>0</v>
      </c>
      <c r="CK261" s="85">
        <f t="shared" si="2398"/>
        <v>5.201249999999999</v>
      </c>
      <c r="CL261" s="100">
        <f t="shared" si="2399"/>
        <v>54.791250000000005</v>
      </c>
      <c r="CM261" s="50"/>
      <c r="CN261" s="106">
        <f t="shared" si="2400"/>
        <v>58</v>
      </c>
      <c r="CO261" s="101">
        <f t="shared" ref="CO261" si="2427">CL261/CN261</f>
        <v>0.94467672413793113</v>
      </c>
      <c r="CP261" s="51">
        <f t="shared" si="2402"/>
        <v>0.65780445288248768</v>
      </c>
      <c r="CQ261" s="116">
        <f t="shared" si="2403"/>
        <v>1.1890733608494051</v>
      </c>
      <c r="CR261" s="51">
        <f t="shared" si="2404"/>
        <v>0.99809937312705765</v>
      </c>
      <c r="CS261" s="204"/>
      <c r="CT261" s="204">
        <f t="shared" si="2405"/>
        <v>119</v>
      </c>
      <c r="CU261" s="107">
        <f t="shared" si="1267"/>
        <v>1.1908753274042525</v>
      </c>
      <c r="CV261" s="62">
        <f t="shared" si="2119"/>
        <v>3.4862916305689557</v>
      </c>
      <c r="CW261" s="62">
        <f t="shared" si="1268"/>
        <v>1.8735725159712233</v>
      </c>
      <c r="CX261" s="62">
        <f t="shared" si="2120"/>
        <v>1.7505172633278749</v>
      </c>
      <c r="CY261" s="107">
        <f t="shared" si="1269"/>
        <v>1.0078985048752331</v>
      </c>
      <c r="CZ261" s="168" t="str">
        <f t="shared" si="2209"/>
        <v>-</v>
      </c>
      <c r="DA261" s="158"/>
      <c r="DB261" s="168" t="str">
        <f t="shared" si="2289"/>
        <v>-</v>
      </c>
      <c r="DC261" s="160"/>
      <c r="DD261" s="190" t="s">
        <v>134</v>
      </c>
      <c r="DE261" s="62">
        <v>0.92</v>
      </c>
      <c r="DF261" s="62">
        <v>0.9</v>
      </c>
      <c r="DG261" s="62">
        <v>0.96</v>
      </c>
      <c r="DH261" s="150">
        <v>0.96</v>
      </c>
      <c r="DI261" s="62">
        <f t="shared" si="2292"/>
        <v>2.104742167486616</v>
      </c>
      <c r="DJ261" s="47">
        <f t="shared" si="2293"/>
        <v>13.899323816679187</v>
      </c>
      <c r="DK261" s="48">
        <f t="shared" si="2294"/>
        <v>0</v>
      </c>
      <c r="DM261" s="107">
        <f t="shared" si="2295"/>
        <v>1.1616524973709819</v>
      </c>
      <c r="DN261" s="141" t="str">
        <f t="shared" si="2296"/>
        <v>-</v>
      </c>
      <c r="DO261" s="107">
        <f t="shared" si="2297"/>
        <v>5.4336774949896292</v>
      </c>
      <c r="DP261" s="133">
        <f>IF(SeilBeregnet=0,DP259,(SeilBeregnet^0.5/(Depl^0.3333))^DP$3*DP$7)</f>
        <v>3.4830892451152624</v>
      </c>
      <c r="DQ261" s="133">
        <f>IF(SeilBeregnet=0,DQ259,(SeilBeregnet^0.5/Lwl)^DQ$3*DQ$7)</f>
        <v>0</v>
      </c>
      <c r="DR261" s="133">
        <f>IF(SeilBeregnet=0,DR259,(0.1*Loa/Depl^0.3333)^DR$3*DR$7)</f>
        <v>0</v>
      </c>
      <c r="DS261" s="133">
        <f>IF(SeilBeregnet=0,DS259,((Loa)/Bredde)^DS$3*DS$7)</f>
        <v>1.9505882498743667</v>
      </c>
      <c r="DT261" s="107">
        <f>IF(SeilBeregnet=0,DT259,(Lwl)^DT$3)</f>
        <v>1.7505172633278749</v>
      </c>
      <c r="DU261" s="133">
        <f>IF(SeilBeregnet=0,DU259,(Dypg/Loa)^DU$3*5*DU$7)</f>
        <v>2.040322594990597</v>
      </c>
      <c r="DW261" s="107">
        <f t="shared" si="417"/>
        <v>1.2151789055145434</v>
      </c>
      <c r="DX261" s="107">
        <f t="shared" si="2298"/>
        <v>1.1601725388671302</v>
      </c>
      <c r="DZ261" s="107">
        <f t="shared" si="2299"/>
        <v>1.1719217579594188</v>
      </c>
      <c r="EA261" s="122" t="str">
        <f t="shared" si="2300"/>
        <v>-</v>
      </c>
      <c r="EB261" s="107">
        <f t="shared" si="2301"/>
        <v>1.1956648721414453</v>
      </c>
      <c r="EC261" s="122" t="str">
        <f t="shared" si="2302"/>
        <v>-</v>
      </c>
      <c r="ED261" s="107">
        <f t="shared" si="2328"/>
        <v>3.4828529154514802</v>
      </c>
      <c r="EE261" s="107">
        <f t="shared" si="2329"/>
        <v>2.109548147034956</v>
      </c>
      <c r="EF261" s="107">
        <f t="shared" si="2330"/>
        <v>1.6277689216151001</v>
      </c>
      <c r="EH261" s="107">
        <f t="shared" si="2303"/>
        <v>1.195788190135634</v>
      </c>
      <c r="EJ261" s="107">
        <f t="shared" si="2331"/>
        <v>3.4828529154514802</v>
      </c>
      <c r="EK261" s="107">
        <f t="shared" si="2332"/>
        <v>2.1096898909840953</v>
      </c>
      <c r="EL261" s="107">
        <f t="shared" si="2333"/>
        <v>1.9146767228439099</v>
      </c>
      <c r="EM261" s="107">
        <f t="shared" si="2304"/>
        <v>1.1785415657376765</v>
      </c>
      <c r="EO261" s="107">
        <f t="shared" si="2334"/>
        <v>5.6692797343284633</v>
      </c>
      <c r="EP261" s="107">
        <f t="shared" si="2335"/>
        <v>3.4828529154514802</v>
      </c>
      <c r="EQ261" s="107">
        <f t="shared" si="2336"/>
        <v>1.6277689216151001</v>
      </c>
      <c r="ER261" s="107">
        <f t="shared" si="2337"/>
        <v>1.7505172633278749</v>
      </c>
      <c r="ES261" s="107">
        <f t="shared" si="2305"/>
        <v>1.1797660313328817</v>
      </c>
      <c r="EU261" s="107">
        <f t="shared" si="2338"/>
        <v>1.9032464875292197</v>
      </c>
      <c r="EV261" s="107">
        <f t="shared" si="2339"/>
        <v>3.4828529154514802</v>
      </c>
      <c r="EW261" s="107">
        <f t="shared" si="2340"/>
        <v>1.0400517277723595</v>
      </c>
      <c r="EX261" s="107">
        <f t="shared" si="2341"/>
        <v>1.7740856413035511</v>
      </c>
      <c r="EY261" s="107">
        <f t="shared" si="2306"/>
        <v>1.1182601807977868</v>
      </c>
      <c r="FA261" s="107">
        <f t="shared" si="2307"/>
        <v>1.9033110590146458</v>
      </c>
      <c r="FB261" s="107">
        <f t="shared" si="2342"/>
        <v>3.4830892451152624</v>
      </c>
      <c r="FC261" s="107">
        <f t="shared" si="2343"/>
        <v>1.0400517277723595</v>
      </c>
      <c r="FD261" s="107">
        <f t="shared" si="2344"/>
        <v>1.7740856413035511</v>
      </c>
      <c r="FE261" s="107">
        <f t="shared" si="2308"/>
        <v>1.1901169212334255</v>
      </c>
      <c r="FF261" s="141" t="str">
        <f t="shared" ref="FF261" si="2428">IF($DY261=0,"-",(FE261-$DW261)*100)</f>
        <v>-</v>
      </c>
      <c r="FG261" s="107">
        <f t="shared" si="2310"/>
        <v>3.7676840955275517</v>
      </c>
      <c r="FH261" s="133">
        <f t="shared" si="2345"/>
        <v>3.4830892451152624</v>
      </c>
      <c r="FI261" s="133">
        <f t="shared" si="2346"/>
        <v>1.0817075964422702</v>
      </c>
      <c r="FJ261" s="107">
        <f t="shared" si="2347"/>
        <v>0.99764167053180919</v>
      </c>
      <c r="FK261" s="107">
        <f t="shared" si="2311"/>
        <v>1.1739607720398721</v>
      </c>
      <c r="FL261" s="141" t="str">
        <f t="shared" ref="FL261" si="2429">IF($DY261=0,"-",(FK261-$DW261)*100)</f>
        <v>-</v>
      </c>
      <c r="FM261" s="107">
        <f t="shared" si="2313"/>
        <v>5.7219747458235855</v>
      </c>
      <c r="FN261" s="133">
        <f t="shared" si="2348"/>
        <v>3.4830892451152624</v>
      </c>
      <c r="FO261" s="133">
        <f t="shared" si="2349"/>
        <v>0.78829725083395574</v>
      </c>
      <c r="FP261" s="133">
        <f t="shared" si="2350"/>
        <v>1.9505882498743667</v>
      </c>
      <c r="FQ261" s="107">
        <f t="shared" si="2351"/>
        <v>1.7505172633278749</v>
      </c>
      <c r="FR261" s="107">
        <f t="shared" si="2314"/>
        <v>1.1910390757943097</v>
      </c>
      <c r="FS261" s="141" t="str">
        <f t="shared" ref="FS261" si="2430">IF($DY261=0,"-",(FR261-$DW261)*100)</f>
        <v>-</v>
      </c>
      <c r="FT261" s="107">
        <f t="shared" si="2316"/>
        <v>6.7940729547856087</v>
      </c>
      <c r="FU261" s="133">
        <f t="shared" si="2352"/>
        <v>3.4830892451152624</v>
      </c>
      <c r="FV261" s="133">
        <f t="shared" si="2353"/>
        <v>1.9505882498743667</v>
      </c>
      <c r="FW261" s="107">
        <f t="shared" si="2354"/>
        <v>1.7505172633278749</v>
      </c>
      <c r="FY261" s="336">
        <v>1</v>
      </c>
      <c r="FZ261" s="62">
        <f t="shared" si="2074"/>
        <v>1.2236539753441698</v>
      </c>
      <c r="GA261" s="62">
        <f t="shared" si="2075"/>
        <v>2.040322594990597</v>
      </c>
      <c r="GB261" s="107">
        <f t="shared" si="1270"/>
        <v>1.4226762296847089</v>
      </c>
      <c r="GC261" s="440"/>
      <c r="GD261" s="17"/>
      <c r="GE261" s="442"/>
      <c r="GF261" s="462"/>
      <c r="GG261" s="17"/>
      <c r="GH261" s="17"/>
      <c r="GI261" s="17"/>
      <c r="GJ261" s="17"/>
      <c r="GL261" s="17"/>
      <c r="GM261" s="442"/>
      <c r="GN261" s="8"/>
      <c r="GO261" s="8"/>
      <c r="GP261" s="8"/>
      <c r="GQ261" s="8"/>
      <c r="GS261" s="17"/>
      <c r="GT261" s="17"/>
      <c r="GU261" s="17"/>
      <c r="GV261" s="629"/>
      <c r="GW261" s="17"/>
      <c r="GX261" s="17"/>
      <c r="GY261" s="17"/>
      <c r="GZ261" s="17"/>
    </row>
    <row r="262" spans="1:208" ht="15.6" x14ac:dyDescent="0.3">
      <c r="A262" s="60" t="s">
        <v>137</v>
      </c>
      <c r="B262" s="218"/>
      <c r="C262" s="61" t="str">
        <f>C260</f>
        <v>Bermuda</v>
      </c>
      <c r="D262" s="61"/>
      <c r="E262" s="61"/>
      <c r="F262" s="61"/>
      <c r="G262" s="54"/>
      <c r="H262" s="204">
        <f t="shared" si="2412"/>
        <v>115.5</v>
      </c>
      <c r="I262" s="63">
        <f t="shared" si="2413"/>
        <v>2</v>
      </c>
      <c r="J262" s="222">
        <f t="shared" si="2414"/>
        <v>50.7</v>
      </c>
      <c r="K262" s="116">
        <f t="shared" si="2415"/>
        <v>1.0394141275011182</v>
      </c>
      <c r="L262" s="116">
        <f t="shared" si="2383"/>
        <v>0.87247652099210038</v>
      </c>
      <c r="M262" s="92">
        <f t="shared" si="2384"/>
        <v>0.97810650887573969</v>
      </c>
      <c r="N262" s="242">
        <f t="shared" si="2385"/>
        <v>1.0078985048752331</v>
      </c>
      <c r="O262" s="143"/>
      <c r="P262" s="143"/>
      <c r="Q262" s="143"/>
      <c r="R262" s="165">
        <v>28.5</v>
      </c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65">
        <v>22.2</v>
      </c>
      <c r="AF262" s="143"/>
      <c r="AG262" s="551"/>
      <c r="AH262" s="557">
        <f t="shared" si="2416"/>
        <v>10</v>
      </c>
      <c r="AI262" s="557">
        <f t="shared" si="2416"/>
        <v>10</v>
      </c>
      <c r="AJ262" s="337">
        <f t="shared" si="2318"/>
        <v>0</v>
      </c>
      <c r="AK262" s="339"/>
      <c r="AL262" s="337">
        <f t="shared" si="2318"/>
        <v>0</v>
      </c>
      <c r="AM262" s="339"/>
      <c r="AN262" s="267" t="str">
        <f t="shared" ref="AN262" si="2431" xml:space="preserve"> AN261</f>
        <v>Lystb</v>
      </c>
      <c r="AO262" s="45">
        <f>VLOOKUP(AN262,Skrogform!$1:$1048576,3,FALSE)</f>
        <v>0.98</v>
      </c>
      <c r="AP262" s="64">
        <f t="shared" ref="AP262:AZ262" si="2432">AP261</f>
        <v>11.11</v>
      </c>
      <c r="AQ262" s="64">
        <f t="shared" si="2432"/>
        <v>9.39</v>
      </c>
      <c r="AR262" s="64">
        <f t="shared" si="2432"/>
        <v>2.92</v>
      </c>
      <c r="AS262" s="64">
        <f t="shared" si="2432"/>
        <v>1.85</v>
      </c>
      <c r="AT262" s="64">
        <f t="shared" ref="AT262" si="2433">AT261</f>
        <v>9.6</v>
      </c>
      <c r="AU262" s="64">
        <f t="shared" si="2432"/>
        <v>9.6</v>
      </c>
      <c r="AV262" s="64">
        <f t="shared" si="2432"/>
        <v>3.4</v>
      </c>
      <c r="AW262" s="64">
        <f t="shared" si="2432"/>
        <v>0</v>
      </c>
      <c r="AX262" s="256">
        <f t="shared" si="2390"/>
        <v>0</v>
      </c>
      <c r="AY262" s="256">
        <f t="shared" si="2432"/>
        <v>16</v>
      </c>
      <c r="AZ262" s="256">
        <f t="shared" si="2432"/>
        <v>390</v>
      </c>
      <c r="BA262" s="256">
        <f t="shared" ref="BA262:BB262" si="2434">BA261</f>
        <v>0</v>
      </c>
      <c r="BB262" s="256">
        <f t="shared" si="2434"/>
        <v>0</v>
      </c>
      <c r="BC262" s="256"/>
      <c r="BD262" s="66"/>
      <c r="BE262" s="66"/>
      <c r="BF262" s="261"/>
      <c r="BG262" s="66"/>
      <c r="BH262" s="175"/>
      <c r="BI262" s="66"/>
      <c r="BJ262" s="66"/>
      <c r="BK262" s="65" t="str">
        <f t="shared" ref="BK262:BM262" si="2435" xml:space="preserve"> BK261</f>
        <v>Fast</v>
      </c>
      <c r="BL262" s="267">
        <f t="shared" si="2435"/>
        <v>2</v>
      </c>
      <c r="BM262" s="267">
        <f t="shared" si="2435"/>
        <v>50</v>
      </c>
      <c r="BN262" s="45">
        <f t="shared" si="2291"/>
        <v>0.98490487939259352</v>
      </c>
      <c r="BO262" s="59"/>
      <c r="BP262" s="59"/>
      <c r="BR262" s="49">
        <f t="shared" si="2393"/>
        <v>0</v>
      </c>
      <c r="BS262" s="49">
        <f t="shared" si="2393"/>
        <v>0</v>
      </c>
      <c r="BT262" s="49">
        <f t="shared" si="2393"/>
        <v>0</v>
      </c>
      <c r="BU262" s="49">
        <f t="shared" si="2393"/>
        <v>28.5</v>
      </c>
      <c r="BV262" s="49">
        <f t="shared" si="2393"/>
        <v>0</v>
      </c>
      <c r="BW262" s="49">
        <f t="shared" si="2393"/>
        <v>0</v>
      </c>
      <c r="BX262" s="49">
        <f t="shared" si="2393"/>
        <v>0</v>
      </c>
      <c r="BY262" s="549">
        <f t="shared" si="2394"/>
        <v>0</v>
      </c>
      <c r="BZ262" s="85">
        <f t="shared" si="2395"/>
        <v>0</v>
      </c>
      <c r="CA262" s="85">
        <f t="shared" si="2395"/>
        <v>0</v>
      </c>
      <c r="CB262" s="85">
        <f t="shared" si="2395"/>
        <v>0</v>
      </c>
      <c r="CC262" s="85">
        <f t="shared" si="2395"/>
        <v>0</v>
      </c>
      <c r="CD262" s="85">
        <f t="shared" si="2395"/>
        <v>0</v>
      </c>
      <c r="CE262" s="85">
        <f t="shared" si="2396"/>
        <v>0</v>
      </c>
      <c r="CF262" s="85">
        <f t="shared" si="2397"/>
        <v>0</v>
      </c>
      <c r="CG262" s="85">
        <f t="shared" si="2397"/>
        <v>0</v>
      </c>
      <c r="CH262" s="85">
        <f t="shared" si="2398"/>
        <v>0</v>
      </c>
      <c r="CI262" s="85">
        <f t="shared" si="2398"/>
        <v>21.09</v>
      </c>
      <c r="CJ262" s="85">
        <f t="shared" si="2398"/>
        <v>0</v>
      </c>
      <c r="CK262" s="85">
        <f t="shared" si="2398"/>
        <v>0</v>
      </c>
      <c r="CL262" s="100">
        <f t="shared" si="2399"/>
        <v>49.59</v>
      </c>
      <c r="CM262" s="50"/>
      <c r="CN262" s="106">
        <f t="shared" si="2400"/>
        <v>50.7</v>
      </c>
      <c r="CO262" s="101">
        <f t="shared" si="2401"/>
        <v>0.97810650887573969</v>
      </c>
      <c r="CP262" s="51">
        <f t="shared" si="2402"/>
        <v>0.57501182346796764</v>
      </c>
      <c r="CQ262" s="116">
        <f t="shared" si="2403"/>
        <v>1.0394141275011182</v>
      </c>
      <c r="CR262" s="51">
        <f t="shared" si="2404"/>
        <v>0.87247652099210038</v>
      </c>
      <c r="CS262" s="204"/>
      <c r="CT262" s="204">
        <f t="shared" si="2405"/>
        <v>115.5</v>
      </c>
      <c r="CU262" s="107">
        <f t="shared" si="1267"/>
        <v>1.1531930600233606</v>
      </c>
      <c r="CV262" s="62">
        <f t="shared" si="2119"/>
        <v>3.3166921525653086</v>
      </c>
      <c r="CW262" s="62">
        <f t="shared" si="1268"/>
        <v>1.8735725159712233</v>
      </c>
      <c r="CX262" s="62">
        <f t="shared" si="2120"/>
        <v>1.7505172633278749</v>
      </c>
      <c r="CY262" s="107">
        <f t="shared" si="1269"/>
        <v>1.0078985048752331</v>
      </c>
      <c r="CZ262" s="168" t="str">
        <f t="shared" si="2209"/>
        <v>-</v>
      </c>
      <c r="DA262" s="158"/>
      <c r="DB262" s="168" t="str">
        <f t="shared" si="2289"/>
        <v>-</v>
      </c>
      <c r="DC262" s="160"/>
      <c r="DD262" s="190" t="s">
        <v>134</v>
      </c>
      <c r="DE262" s="62">
        <v>0.92</v>
      </c>
      <c r="DF262" s="62">
        <v>0.9</v>
      </c>
      <c r="DG262" s="62">
        <v>0.96</v>
      </c>
      <c r="DH262" s="150">
        <v>0.96</v>
      </c>
      <c r="DI262" s="62">
        <f t="shared" si="2292"/>
        <v>2.104742167486616</v>
      </c>
      <c r="DJ262" s="47">
        <f t="shared" si="2293"/>
        <v>13.899323816679187</v>
      </c>
      <c r="DK262" s="48">
        <f t="shared" si="2294"/>
        <v>0</v>
      </c>
      <c r="DM262" s="107">
        <f t="shared" si="2295"/>
        <v>1.1254275492265382</v>
      </c>
      <c r="DN262" s="141" t="str">
        <f t="shared" ref="DN262" si="2436">IF($DY262=0,"-",(DM262-$DW262)*100)</f>
        <v>-</v>
      </c>
      <c r="DO262" s="107">
        <f t="shared" si="2297"/>
        <v>5.2642338051296225</v>
      </c>
      <c r="DP262" s="133">
        <f>IF(SeilBeregnet=0,DP260,(SeilBeregnet^0.5/(Depl^0.3333))^DP$3*DP$7)</f>
        <v>3.3136455552552553</v>
      </c>
      <c r="DQ262" s="133">
        <f>IF(SeilBeregnet=0,DQ260,(SeilBeregnet^0.5/Lwl)^DQ$3*DQ$7)</f>
        <v>0</v>
      </c>
      <c r="DR262" s="133">
        <f>IF(SeilBeregnet=0,DR260,(0.1*Loa/Depl^0.3333)^DR$3*DR$7)</f>
        <v>0</v>
      </c>
      <c r="DS262" s="133">
        <f>IF(SeilBeregnet=0,DS260,((Loa)/Bredde)^DS$3*DS$7)</f>
        <v>1.9505882498743667</v>
      </c>
      <c r="DT262" s="107">
        <f>IF(SeilBeregnet=0,DT260,(Lwl)^DT$3)</f>
        <v>1.7505172633278749</v>
      </c>
      <c r="DU262" s="133">
        <f>IF(SeilBeregnet=0,DU260,(Dypg/Loa)^DU$3*5*DU$7)</f>
        <v>2.040322594990597</v>
      </c>
      <c r="DW262" s="107">
        <f t="shared" si="417"/>
        <v>1.1767276122687356</v>
      </c>
      <c r="DX262" s="107">
        <f t="shared" si="2298"/>
        <v>1.1156157876806971</v>
      </c>
      <c r="DZ262" s="107">
        <f t="shared" si="2299"/>
        <v>1.1350280402003556</v>
      </c>
      <c r="EA262" s="122" t="str">
        <f t="shared" ref="EA262" si="2437">IF($DY262=0,"-",DZ262-$DW262)</f>
        <v>-</v>
      </c>
      <c r="EB262" s="107">
        <f t="shared" si="2301"/>
        <v>1.1511144995062017</v>
      </c>
      <c r="EC262" s="122" t="str">
        <f t="shared" ref="EC262" si="2438">IF($DY262=0,"-",EB262-$DW262)</f>
        <v>-</v>
      </c>
      <c r="ED262" s="107">
        <f t="shared" si="2328"/>
        <v>3.3134207224459713</v>
      </c>
      <c r="EE262" s="107">
        <f t="shared" si="2329"/>
        <v>2.109548147034956</v>
      </c>
      <c r="EF262" s="107">
        <f t="shared" si="2330"/>
        <v>1.6277689216151001</v>
      </c>
      <c r="EH262" s="107">
        <f t="shared" si="2303"/>
        <v>1.1551940946472643</v>
      </c>
      <c r="EJ262" s="107">
        <f t="shared" si="2331"/>
        <v>3.3134207224459713</v>
      </c>
      <c r="EK262" s="107">
        <f t="shared" si="2332"/>
        <v>2.1096898909840953</v>
      </c>
      <c r="EL262" s="107">
        <f t="shared" si="2333"/>
        <v>1.9146767228439099</v>
      </c>
      <c r="EM262" s="107">
        <f t="shared" si="2304"/>
        <v>1.1361598035894234</v>
      </c>
      <c r="EO262" s="107">
        <f t="shared" si="2334"/>
        <v>5.3934832762330043</v>
      </c>
      <c r="EP262" s="107">
        <f t="shared" si="2335"/>
        <v>3.3134207224459713</v>
      </c>
      <c r="EQ262" s="107">
        <f t="shared" si="2336"/>
        <v>1.6277689216151001</v>
      </c>
      <c r="ER262" s="107">
        <f t="shared" si="2337"/>
        <v>1.7505172633278749</v>
      </c>
      <c r="ES262" s="107">
        <f t="shared" si="2305"/>
        <v>1.1403594602041964</v>
      </c>
      <c r="EU262" s="107">
        <f t="shared" si="2338"/>
        <v>1.8563752172491077</v>
      </c>
      <c r="EV262" s="107">
        <f t="shared" si="2339"/>
        <v>3.3134207224459713</v>
      </c>
      <c r="EW262" s="107">
        <f t="shared" si="2340"/>
        <v>1.0400517277723595</v>
      </c>
      <c r="EX262" s="107">
        <f t="shared" si="2341"/>
        <v>1.7740856413035511</v>
      </c>
      <c r="EY262" s="107">
        <f t="shared" si="2306"/>
        <v>1.0907207761431095</v>
      </c>
      <c r="FA262" s="107">
        <f t="shared" si="2307"/>
        <v>1.8564381985319165</v>
      </c>
      <c r="FB262" s="107">
        <f t="shared" si="2342"/>
        <v>3.3136455552552553</v>
      </c>
      <c r="FC262" s="107">
        <f t="shared" si="2343"/>
        <v>1.0400517277723595</v>
      </c>
      <c r="FD262" s="107">
        <f t="shared" si="2344"/>
        <v>1.7740856413035511</v>
      </c>
      <c r="FE262" s="107">
        <f t="shared" si="2308"/>
        <v>1.1522967540342954</v>
      </c>
      <c r="FF262" s="141" t="str">
        <f t="shared" ref="FF262:FF269" si="2439">IF($DY262=0,"-",(FE262-$DW262)*100)</f>
        <v>-</v>
      </c>
      <c r="FG262" s="107">
        <f t="shared" si="2310"/>
        <v>3.5843955690367739</v>
      </c>
      <c r="FH262" s="133">
        <f t="shared" si="2345"/>
        <v>3.3136455552552553</v>
      </c>
      <c r="FI262" s="133">
        <f t="shared" si="2346"/>
        <v>1.0817075964422702</v>
      </c>
      <c r="FJ262" s="107">
        <f t="shared" si="2347"/>
        <v>0.99764167053180919</v>
      </c>
      <c r="FK262" s="107">
        <f t="shared" si="2311"/>
        <v>1.1313286140469339</v>
      </c>
      <c r="FL262" s="141" t="str">
        <f t="shared" ref="FL262:FL269" si="2440">IF($DY262=0,"-",(FK262-$DW262)*100)</f>
        <v>-</v>
      </c>
      <c r="FM262" s="107">
        <f t="shared" si="2313"/>
        <v>5.5141823415069702</v>
      </c>
      <c r="FN262" s="133">
        <f t="shared" si="2348"/>
        <v>3.3136455552552553</v>
      </c>
      <c r="FO262" s="133">
        <f t="shared" si="2349"/>
        <v>0.74994853637734837</v>
      </c>
      <c r="FP262" s="133">
        <f t="shared" si="2350"/>
        <v>1.9505882498743667</v>
      </c>
      <c r="FQ262" s="107">
        <f t="shared" si="2351"/>
        <v>1.7505172633278749</v>
      </c>
      <c r="FR262" s="107">
        <f t="shared" si="2314"/>
        <v>1.1545694199476721</v>
      </c>
      <c r="FS262" s="141" t="str">
        <f t="shared" ref="FS262:FS269" si="2441">IF($DY262=0,"-",(FR262-$DW262)*100)</f>
        <v>-</v>
      </c>
      <c r="FT262" s="107">
        <f t="shared" si="2316"/>
        <v>6.463558084329323</v>
      </c>
      <c r="FU262" s="133">
        <f t="shared" si="2352"/>
        <v>3.3136455552552553</v>
      </c>
      <c r="FV262" s="133">
        <f t="shared" si="2353"/>
        <v>1.9505882498743667</v>
      </c>
      <c r="FW262" s="107">
        <f t="shared" si="2354"/>
        <v>1.7505172633278749</v>
      </c>
      <c r="FY262" s="336">
        <v>1</v>
      </c>
      <c r="FZ262" s="62">
        <f t="shared" si="2074"/>
        <v>1.195913529097147</v>
      </c>
      <c r="GA262" s="62">
        <f t="shared" si="2075"/>
        <v>2.040322594990597</v>
      </c>
      <c r="GB262" s="107">
        <f t="shared" si="1270"/>
        <v>1.399221786265568</v>
      </c>
      <c r="GC262" s="440"/>
      <c r="GD262" s="17"/>
      <c r="GE262" s="442"/>
      <c r="GF262" s="462"/>
      <c r="GG262" s="17"/>
      <c r="GH262" s="17"/>
      <c r="GI262" s="17"/>
      <c r="GJ262" s="17"/>
      <c r="GL262" s="17"/>
      <c r="GM262" s="442"/>
      <c r="GN262" s="8"/>
      <c r="GO262" s="8"/>
      <c r="GP262" s="8"/>
      <c r="GQ262" s="8"/>
      <c r="GS262" s="17"/>
      <c r="GT262" s="17"/>
      <c r="GU262" s="17"/>
      <c r="GV262" s="629"/>
      <c r="GW262" s="17"/>
      <c r="GX262" s="17"/>
      <c r="GY262" s="17"/>
      <c r="GZ262" s="17"/>
    </row>
    <row r="263" spans="1:208" ht="15.6" x14ac:dyDescent="0.3">
      <c r="A263" s="60" t="s">
        <v>33</v>
      </c>
      <c r="B263" s="218"/>
      <c r="C263" s="61" t="str">
        <f t="shared" si="2406"/>
        <v>Bermuda</v>
      </c>
      <c r="D263" s="61"/>
      <c r="E263" s="61"/>
      <c r="F263" s="61"/>
      <c r="G263" s="54"/>
      <c r="H263" s="204">
        <f t="shared" si="2412"/>
        <v>96.500000000000014</v>
      </c>
      <c r="I263" s="63">
        <f t="shared" si="2413"/>
        <v>2</v>
      </c>
      <c r="J263" s="222">
        <f t="shared" si="2414"/>
        <v>28.6</v>
      </c>
      <c r="K263" s="116">
        <f t="shared" si="2415"/>
        <v>0.58633617448781017</v>
      </c>
      <c r="L263" s="116">
        <f t="shared" si="2383"/>
        <v>0.49216624261092851</v>
      </c>
      <c r="M263" s="92">
        <f t="shared" si="2384"/>
        <v>0.96118881118881117</v>
      </c>
      <c r="N263" s="242">
        <f t="shared" si="2385"/>
        <v>1.0078985048752331</v>
      </c>
      <c r="O263" s="143"/>
      <c r="P263" s="143"/>
      <c r="Q263" s="143"/>
      <c r="R263" s="143"/>
      <c r="S263" s="143"/>
      <c r="T263" s="143"/>
      <c r="U263" s="165">
        <v>6.4</v>
      </c>
      <c r="V263" s="560"/>
      <c r="W263" s="560"/>
      <c r="X263" s="143"/>
      <c r="Y263" s="143"/>
      <c r="Z263" s="143"/>
      <c r="AA263" s="143"/>
      <c r="AB263" s="143"/>
      <c r="AC263" s="143"/>
      <c r="AD263" s="143"/>
      <c r="AE263" s="165">
        <v>22.2</v>
      </c>
      <c r="AF263" s="143"/>
      <c r="AG263" s="551"/>
      <c r="AH263" s="557">
        <f t="shared" si="2416"/>
        <v>10</v>
      </c>
      <c r="AI263" s="557">
        <f t="shared" si="2416"/>
        <v>10</v>
      </c>
      <c r="AJ263" s="337">
        <f t="shared" si="2318"/>
        <v>0</v>
      </c>
      <c r="AK263" s="339"/>
      <c r="AL263" s="337">
        <f t="shared" si="2318"/>
        <v>0</v>
      </c>
      <c r="AM263" s="339"/>
      <c r="AN263" s="267" t="str">
        <f t="shared" ref="AN263" si="2442" xml:space="preserve"> AN262</f>
        <v>Lystb</v>
      </c>
      <c r="AO263" s="45">
        <f>VLOOKUP(AN263,Skrogform!$1:$1048576,3,FALSE)</f>
        <v>0.98</v>
      </c>
      <c r="AP263" s="64">
        <f t="shared" ref="AP263:AZ263" si="2443">AP262</f>
        <v>11.11</v>
      </c>
      <c r="AQ263" s="64">
        <f t="shared" si="2443"/>
        <v>9.39</v>
      </c>
      <c r="AR263" s="64">
        <f t="shared" si="2443"/>
        <v>2.92</v>
      </c>
      <c r="AS263" s="64">
        <f t="shared" si="2443"/>
        <v>1.85</v>
      </c>
      <c r="AT263" s="64">
        <f t="shared" ref="AT263" si="2444">AT262</f>
        <v>9.6</v>
      </c>
      <c r="AU263" s="64">
        <f t="shared" si="2443"/>
        <v>9.6</v>
      </c>
      <c r="AV263" s="64">
        <f t="shared" si="2443"/>
        <v>3.4</v>
      </c>
      <c r="AW263" s="64">
        <f t="shared" si="2443"/>
        <v>0</v>
      </c>
      <c r="AX263" s="256">
        <f t="shared" si="2390"/>
        <v>0</v>
      </c>
      <c r="AY263" s="256">
        <f t="shared" si="2443"/>
        <v>16</v>
      </c>
      <c r="AZ263" s="256">
        <f t="shared" si="2443"/>
        <v>390</v>
      </c>
      <c r="BA263" s="256">
        <f t="shared" ref="BA263:BB263" si="2445">BA262</f>
        <v>0</v>
      </c>
      <c r="BB263" s="256">
        <f t="shared" si="2445"/>
        <v>0</v>
      </c>
      <c r="BC263" s="256"/>
      <c r="BD263" s="66"/>
      <c r="BE263" s="66"/>
      <c r="BF263" s="261"/>
      <c r="BG263" s="66"/>
      <c r="BH263" s="175"/>
      <c r="BI263" s="66"/>
      <c r="BJ263" s="66"/>
      <c r="BK263" s="65" t="str">
        <f t="shared" ref="BK263:BM263" si="2446" xml:space="preserve"> BK262</f>
        <v>Fast</v>
      </c>
      <c r="BL263" s="267">
        <f t="shared" si="2446"/>
        <v>2</v>
      </c>
      <c r="BM263" s="267">
        <f t="shared" si="2446"/>
        <v>50</v>
      </c>
      <c r="BN263" s="45">
        <f t="shared" si="2291"/>
        <v>0.98490487939259352</v>
      </c>
      <c r="BO263" s="59"/>
      <c r="BP263" s="59"/>
      <c r="BR263" s="49">
        <f t="shared" si="2393"/>
        <v>0</v>
      </c>
      <c r="BS263" s="49">
        <f t="shared" si="2393"/>
        <v>0</v>
      </c>
      <c r="BT263" s="49">
        <f t="shared" si="2393"/>
        <v>0</v>
      </c>
      <c r="BU263" s="49">
        <f t="shared" si="2393"/>
        <v>0</v>
      </c>
      <c r="BV263" s="49">
        <f t="shared" si="2393"/>
        <v>0</v>
      </c>
      <c r="BW263" s="49">
        <f t="shared" si="2393"/>
        <v>0</v>
      </c>
      <c r="BX263" s="49">
        <f t="shared" si="2393"/>
        <v>6.4</v>
      </c>
      <c r="BY263" s="549">
        <f t="shared" si="2394"/>
        <v>0</v>
      </c>
      <c r="BZ263" s="85">
        <f t="shared" si="2395"/>
        <v>0</v>
      </c>
      <c r="CA263" s="85">
        <f t="shared" si="2395"/>
        <v>0</v>
      </c>
      <c r="CB263" s="85">
        <f t="shared" si="2395"/>
        <v>0</v>
      </c>
      <c r="CC263" s="85">
        <f t="shared" si="2395"/>
        <v>0</v>
      </c>
      <c r="CD263" s="85">
        <f t="shared" si="2395"/>
        <v>0</v>
      </c>
      <c r="CE263" s="85">
        <f t="shared" si="2396"/>
        <v>0</v>
      </c>
      <c r="CF263" s="85">
        <f t="shared" si="2397"/>
        <v>0</v>
      </c>
      <c r="CG263" s="85">
        <f t="shared" si="2397"/>
        <v>0</v>
      </c>
      <c r="CH263" s="85">
        <f t="shared" si="2398"/>
        <v>0</v>
      </c>
      <c r="CI263" s="85">
        <f t="shared" si="2398"/>
        <v>21.09</v>
      </c>
      <c r="CJ263" s="85">
        <f t="shared" si="2398"/>
        <v>0</v>
      </c>
      <c r="CK263" s="85">
        <f t="shared" si="2398"/>
        <v>0</v>
      </c>
      <c r="CL263" s="100">
        <f t="shared" si="2399"/>
        <v>27.490000000000002</v>
      </c>
      <c r="CM263" s="50"/>
      <c r="CN263" s="106">
        <f t="shared" si="2400"/>
        <v>28.6</v>
      </c>
      <c r="CO263" s="101">
        <f t="shared" ref="CO263" si="2447">CL263/CN263</f>
        <v>0.96118881118881117</v>
      </c>
      <c r="CP263" s="51">
        <f t="shared" si="2402"/>
        <v>0.32436564400757156</v>
      </c>
      <c r="CQ263" s="116">
        <f t="shared" si="2403"/>
        <v>0.58633617448781017</v>
      </c>
      <c r="CR263" s="51">
        <f t="shared" si="2404"/>
        <v>0.49216624261092851</v>
      </c>
      <c r="CS263" s="204"/>
      <c r="CT263" s="204">
        <f t="shared" si="2405"/>
        <v>96.500000000000014</v>
      </c>
      <c r="CU263" s="107">
        <f t="shared" si="1267"/>
        <v>0.96494351332484019</v>
      </c>
      <c r="CV263" s="62">
        <f t="shared" si="2119"/>
        <v>2.4694229441661908</v>
      </c>
      <c r="CW263" s="62">
        <f t="shared" si="1268"/>
        <v>1.8735725159712233</v>
      </c>
      <c r="CX263" s="62">
        <f t="shared" si="2120"/>
        <v>1.7505172633278749</v>
      </c>
      <c r="CY263" s="107">
        <f t="shared" si="1269"/>
        <v>1.0078985048752331</v>
      </c>
      <c r="CZ263" s="168" t="str">
        <f t="shared" si="2209"/>
        <v>-</v>
      </c>
      <c r="DA263" s="158"/>
      <c r="DB263" s="168" t="str">
        <f t="shared" si="2289"/>
        <v>-</v>
      </c>
      <c r="DC263" s="160"/>
      <c r="DD263" s="190" t="s">
        <v>134</v>
      </c>
      <c r="DE263" s="62">
        <v>0.72</v>
      </c>
      <c r="DF263" s="62">
        <v>0.77</v>
      </c>
      <c r="DG263" s="62">
        <v>0.76</v>
      </c>
      <c r="DH263" s="150"/>
      <c r="DI263" s="62">
        <f t="shared" si="2292"/>
        <v>2.104742167486616</v>
      </c>
      <c r="DJ263" s="47">
        <f t="shared" si="2293"/>
        <v>13.899323816679187</v>
      </c>
      <c r="DK263" s="48">
        <f t="shared" si="2294"/>
        <v>0</v>
      </c>
      <c r="DM263" s="107">
        <f t="shared" si="2295"/>
        <v>0.94445834165632292</v>
      </c>
      <c r="DN263" s="141" t="str">
        <f t="shared" ref="DN263:DN269" si="2448">IF($DY263=0,"-",(DM263-$DW263)*100)</f>
        <v>-</v>
      </c>
      <c r="DO263" s="107">
        <f t="shared" si="2297"/>
        <v>4.4177428685665578</v>
      </c>
      <c r="DP263" s="133">
        <f>IF(SeilBeregnet=0,DP262,(SeilBeregnet^0.5/(Depl^0.3333))^DP$3*DP$7)</f>
        <v>2.4671546186921907</v>
      </c>
      <c r="DQ263" s="133">
        <f>IF(SeilBeregnet=0,DQ262,(SeilBeregnet^0.5/Lwl)^DQ$3*DQ$7)</f>
        <v>0</v>
      </c>
      <c r="DR263" s="133">
        <f>IF(SeilBeregnet=0,DR262,(0.1*Loa/Depl^0.3333)^DR$3*DR$7)</f>
        <v>0</v>
      </c>
      <c r="DS263" s="133">
        <f>IF(SeilBeregnet=0,DS262,((Loa)/Bredde)^DS$3*DS$7)</f>
        <v>1.9505882498743667</v>
      </c>
      <c r="DT263" s="107">
        <f>IF(SeilBeregnet=0,DT262,(Lwl)^DT$3)</f>
        <v>1.7505172633278749</v>
      </c>
      <c r="DU263" s="133">
        <f>IF(SeilBeregnet=0,DU262,(Dypg/Loa)^DU$3*5*DU$7)</f>
        <v>2.040322594990597</v>
      </c>
      <c r="DW263" s="107">
        <f t="shared" si="417"/>
        <v>0.98463623808657175</v>
      </c>
      <c r="DX263" s="107">
        <f t="shared" si="2298"/>
        <v>0.89302333780444187</v>
      </c>
      <c r="DZ263" s="107">
        <f t="shared" si="2299"/>
        <v>0.9507178559440711</v>
      </c>
      <c r="EA263" s="122" t="str">
        <f t="shared" ref="EA263:EA269" si="2449">IF($DY263=0,"-",DZ263-$DW263)</f>
        <v>-</v>
      </c>
      <c r="EB263" s="107">
        <f t="shared" si="2301"/>
        <v>0.92855391499935036</v>
      </c>
      <c r="EC263" s="122" t="str">
        <f t="shared" ref="EC263:EC269" si="2450">IF($DY263=0,"-",EB263-$DW263)</f>
        <v>-</v>
      </c>
      <c r="ED263" s="107">
        <f t="shared" si="2328"/>
        <v>2.4669872207932273</v>
      </c>
      <c r="EE263" s="107">
        <f t="shared" si="2329"/>
        <v>2.109548147034956</v>
      </c>
      <c r="EF263" s="107">
        <f t="shared" si="2330"/>
        <v>1.6277689216151001</v>
      </c>
      <c r="EH263" s="107">
        <f t="shared" si="2303"/>
        <v>0.95239790945281577</v>
      </c>
      <c r="EJ263" s="107">
        <f t="shared" si="2331"/>
        <v>2.4669872207932273</v>
      </c>
      <c r="EK263" s="107">
        <f t="shared" si="2332"/>
        <v>2.1096898909840953</v>
      </c>
      <c r="EL263" s="107">
        <f t="shared" si="2333"/>
        <v>1.9146767228439099</v>
      </c>
      <c r="EM263" s="107">
        <f t="shared" si="2304"/>
        <v>0.924432960508349</v>
      </c>
      <c r="EO263" s="107">
        <f t="shared" si="2334"/>
        <v>4.0156851280288244</v>
      </c>
      <c r="EP263" s="107">
        <f t="shared" si="2335"/>
        <v>2.4669872207932273</v>
      </c>
      <c r="EQ263" s="107">
        <f t="shared" si="2336"/>
        <v>1.6277689216151001</v>
      </c>
      <c r="ER263" s="107">
        <f t="shared" si="2337"/>
        <v>1.7505172633278749</v>
      </c>
      <c r="ES263" s="107">
        <f t="shared" si="2305"/>
        <v>0.92633594379098871</v>
      </c>
      <c r="EU263" s="107">
        <f t="shared" si="2338"/>
        <v>1.6018097019865774</v>
      </c>
      <c r="EV263" s="107">
        <f t="shared" si="2339"/>
        <v>2.4669872207932273</v>
      </c>
      <c r="EW263" s="107">
        <f t="shared" si="2340"/>
        <v>1.0400517277723595</v>
      </c>
      <c r="EX263" s="107">
        <f t="shared" si="2341"/>
        <v>1.7740856413035511</v>
      </c>
      <c r="EY263" s="107">
        <f t="shared" si="2306"/>
        <v>0.94114977680717182</v>
      </c>
      <c r="FA263" s="107">
        <f t="shared" si="2307"/>
        <v>1.6018640466195531</v>
      </c>
      <c r="FB263" s="107">
        <f t="shared" si="2342"/>
        <v>2.4671546186921907</v>
      </c>
      <c r="FC263" s="107">
        <f t="shared" si="2343"/>
        <v>1.0400517277723595</v>
      </c>
      <c r="FD263" s="107">
        <f t="shared" si="2344"/>
        <v>1.7740856413035511</v>
      </c>
      <c r="FE263" s="107">
        <f t="shared" si="2308"/>
        <v>0.96335830032254399</v>
      </c>
      <c r="FF263" s="141" t="str">
        <f t="shared" si="2439"/>
        <v>-</v>
      </c>
      <c r="FG263" s="107">
        <f t="shared" si="2310"/>
        <v>2.6687398926369754</v>
      </c>
      <c r="FH263" s="133">
        <f t="shared" si="2345"/>
        <v>2.4671546186921907</v>
      </c>
      <c r="FI263" s="133">
        <f t="shared" si="2346"/>
        <v>1.0817075964422702</v>
      </c>
      <c r="FJ263" s="107">
        <f t="shared" si="2347"/>
        <v>0.99764167053180919</v>
      </c>
      <c r="FK263" s="107">
        <f t="shared" si="2311"/>
        <v>0.91835086682623646</v>
      </c>
      <c r="FL263" s="141" t="str">
        <f t="shared" si="2440"/>
        <v>-</v>
      </c>
      <c r="FM263" s="107">
        <f t="shared" si="2313"/>
        <v>4.4761124842819289</v>
      </c>
      <c r="FN263" s="133">
        <f t="shared" si="2348"/>
        <v>2.4671546186921907</v>
      </c>
      <c r="FO263" s="133">
        <f t="shared" si="2349"/>
        <v>0.5583696157153708</v>
      </c>
      <c r="FP263" s="133">
        <f t="shared" si="2350"/>
        <v>1.9505882498743667</v>
      </c>
      <c r="FQ263" s="107">
        <f t="shared" si="2351"/>
        <v>1.7505172633278749</v>
      </c>
      <c r="FR263" s="107">
        <f t="shared" si="2314"/>
        <v>0.97237772452804005</v>
      </c>
      <c r="FS263" s="141" t="str">
        <f t="shared" si="2441"/>
        <v>-</v>
      </c>
      <c r="FT263" s="107">
        <f t="shared" si="2316"/>
        <v>4.8124028098442606</v>
      </c>
      <c r="FU263" s="133">
        <f t="shared" si="2352"/>
        <v>2.4671546186921907</v>
      </c>
      <c r="FV263" s="133">
        <f t="shared" si="2353"/>
        <v>1.9505882498743667</v>
      </c>
      <c r="FW263" s="107">
        <f t="shared" si="2354"/>
        <v>1.7505172633278749</v>
      </c>
      <c r="FY263" s="336">
        <v>1</v>
      </c>
      <c r="FZ263" s="62">
        <f t="shared" si="2074"/>
        <v>1.0573304024919579</v>
      </c>
      <c r="GA263" s="62">
        <f t="shared" si="2075"/>
        <v>2.040322594990597</v>
      </c>
      <c r="GB263" s="107">
        <f t="shared" si="1270"/>
        <v>1.2681870979639747</v>
      </c>
      <c r="GC263" s="440"/>
      <c r="GD263" s="17"/>
      <c r="GE263" s="442"/>
      <c r="GF263" s="462"/>
      <c r="GG263" s="17"/>
      <c r="GH263" s="17"/>
      <c r="GI263" s="17"/>
      <c r="GJ263" s="17"/>
      <c r="GL263" s="17"/>
      <c r="GM263" s="442"/>
      <c r="GN263" s="8"/>
      <c r="GO263" s="8"/>
      <c r="GP263" s="8"/>
      <c r="GQ263" s="8"/>
      <c r="GS263" s="17"/>
      <c r="GT263" s="17"/>
      <c r="GU263" s="17"/>
      <c r="GV263" s="629"/>
      <c r="GW263" s="17"/>
      <c r="GX263" s="17"/>
      <c r="GY263" s="17"/>
      <c r="GZ263" s="17"/>
    </row>
    <row r="264" spans="1:208" ht="15.6" x14ac:dyDescent="0.3">
      <c r="A264" s="52" t="s">
        <v>47</v>
      </c>
      <c r="B264" s="218">
        <f t="shared" si="2368"/>
        <v>38.385826771653541</v>
      </c>
      <c r="C264" s="53" t="s">
        <v>38</v>
      </c>
      <c r="D264" s="53"/>
      <c r="E264" s="53"/>
      <c r="F264" s="53"/>
      <c r="G264" s="54" t="s">
        <v>27</v>
      </c>
      <c r="H264" s="112">
        <f>J265</f>
        <v>74</v>
      </c>
      <c r="I264" s="601">
        <f>H265/100</f>
        <v>1.3450000000000002</v>
      </c>
      <c r="J264" s="651">
        <f>IF(DC265=0,"-",DC265)</f>
        <v>1.3</v>
      </c>
      <c r="K264" s="123" t="str">
        <f>A264</f>
        <v>Norion</v>
      </c>
      <c r="L264" s="116"/>
      <c r="M264" s="116"/>
      <c r="N264" s="92"/>
      <c r="O264" s="165"/>
      <c r="P264" s="165"/>
      <c r="Q264" s="165">
        <v>41</v>
      </c>
      <c r="R264" s="165">
        <v>31</v>
      </c>
      <c r="S264" s="165"/>
      <c r="T264" s="165"/>
      <c r="U264" s="165">
        <v>27</v>
      </c>
      <c r="V264" s="560"/>
      <c r="W264" s="560"/>
      <c r="X264" s="165"/>
      <c r="Y264" s="165"/>
      <c r="Z264" s="165"/>
      <c r="AA264" s="165"/>
      <c r="AB264" s="165"/>
      <c r="AC264" s="165"/>
      <c r="AD264" s="165"/>
      <c r="AE264" s="165">
        <v>33</v>
      </c>
      <c r="AF264" s="165"/>
      <c r="AG264" s="552"/>
      <c r="AH264" s="244">
        <v>11.85</v>
      </c>
      <c r="AI264" s="244">
        <v>11.85</v>
      </c>
      <c r="AJ264" s="554"/>
      <c r="AK264" s="339"/>
      <c r="AL264" s="268"/>
      <c r="AM264" s="339"/>
      <c r="AN264" s="270" t="s">
        <v>211</v>
      </c>
      <c r="AO264" s="45">
        <f>VLOOKUP(AN264,Skrogform!$1:$1048576,3,FALSE)</f>
        <v>0.98</v>
      </c>
      <c r="AP264" s="55">
        <v>11.7</v>
      </c>
      <c r="AQ264" s="55">
        <v>10.1</v>
      </c>
      <c r="AR264" s="55">
        <v>3.08</v>
      </c>
      <c r="AS264" s="55">
        <v>1.7</v>
      </c>
      <c r="AT264" s="637">
        <f>AU264</f>
        <v>9.5</v>
      </c>
      <c r="AU264" s="55">
        <v>9.5</v>
      </c>
      <c r="AV264" s="55">
        <v>3.6</v>
      </c>
      <c r="AW264" s="55"/>
      <c r="AX264" s="253"/>
      <c r="AY264" s="253">
        <v>52</v>
      </c>
      <c r="AZ264" s="253">
        <v>235</v>
      </c>
      <c r="BA264" s="253"/>
      <c r="BB264" s="253"/>
      <c r="BC264" s="244">
        <f>Depl+Diesel/1000*0.84+Vann/1000</f>
        <v>9.5</v>
      </c>
      <c r="BD264" s="95">
        <f>Bredde/(Loa+Lwl)*2</f>
        <v>0.28256880733944956</v>
      </c>
      <c r="BE264" s="95">
        <f>(Kjøl+Ballast)/Depl</f>
        <v>0.37894736842105264</v>
      </c>
      <c r="BF264" s="260">
        <f>BF$7*((Depl-Kjøl-Ballast-VektMotor/1000-VektAnnet/1000)/Lwl/Lwl/Bredde)</f>
        <v>0.68043410579225705</v>
      </c>
      <c r="BG264" s="95">
        <f>BG$7*(Depl/Loa/Lwl/Lwl)</f>
        <v>0.58574586453314037</v>
      </c>
      <c r="BH264" s="174">
        <f>BH$7*(Depl/Loa/Lwl/Bredde)</f>
        <v>0.70998994817064143</v>
      </c>
      <c r="BI264" s="95">
        <f>BI$7*Bredde/(Loa+Lwl)*2</f>
        <v>0.80608069448554809</v>
      </c>
      <c r="BJ264" s="95">
        <f>BJ$7*(Dypg/Lwl)</f>
        <v>0.92061988807576411</v>
      </c>
      <c r="BK264" s="69" t="s">
        <v>39</v>
      </c>
      <c r="BL264" s="270">
        <v>2</v>
      </c>
      <c r="BM264" s="270">
        <v>50</v>
      </c>
      <c r="BN264" s="45">
        <f t="shared" si="2291"/>
        <v>0.98483025248958467</v>
      </c>
      <c r="BO264" s="59"/>
      <c r="BP264" s="59"/>
      <c r="BR264" s="209"/>
      <c r="BS264" s="209"/>
      <c r="BT264" s="209" t="str">
        <f>$A264</f>
        <v>Norion</v>
      </c>
      <c r="BU264" s="10"/>
      <c r="BV264" s="10"/>
      <c r="BW264" s="10"/>
      <c r="BX264" s="10"/>
      <c r="BY264" s="549"/>
      <c r="BZ264" s="10"/>
      <c r="CA264" s="10"/>
      <c r="CB264" s="209" t="str">
        <f>$A264</f>
        <v>Norion</v>
      </c>
      <c r="CC264" s="10"/>
      <c r="CD264" s="10"/>
      <c r="CE264" s="10"/>
      <c r="CF264" s="10"/>
      <c r="CG264" s="10"/>
      <c r="CH264" s="10"/>
      <c r="CI264" s="10"/>
      <c r="CJ264" s="10"/>
      <c r="CK264" s="10"/>
      <c r="CL264" s="209"/>
      <c r="CM264" s="10"/>
      <c r="CN264" s="209" t="str">
        <f>$A264</f>
        <v>Norion</v>
      </c>
      <c r="CO264" s="207"/>
      <c r="CP264" s="207"/>
      <c r="CQ264" s="116"/>
      <c r="CR264" s="207"/>
      <c r="CS264" s="203"/>
      <c r="CT264" s="203" t="s">
        <v>23</v>
      </c>
      <c r="CU264" s="107" t="str">
        <f t="shared" si="1267"/>
        <v>-</v>
      </c>
      <c r="CV264" s="62" t="str">
        <f t="shared" si="2119"/>
        <v>-</v>
      </c>
      <c r="CW264" s="62" t="str">
        <f t="shared" si="1268"/>
        <v>-</v>
      </c>
      <c r="CX264" s="62" t="str">
        <f t="shared" si="2120"/>
        <v>-</v>
      </c>
      <c r="CY264" s="107" t="str">
        <f t="shared" si="1269"/>
        <v>-</v>
      </c>
      <c r="CZ264" s="168">
        <f t="shared" si="2209"/>
        <v>1.2969411764705883</v>
      </c>
      <c r="DA264" s="158">
        <v>1.04</v>
      </c>
      <c r="DB264" s="168" t="str">
        <f t="shared" si="2289"/>
        <v>-</v>
      </c>
      <c r="DC264" s="160">
        <v>1.3</v>
      </c>
      <c r="DD264" s="190" t="s">
        <v>134</v>
      </c>
      <c r="DE264" s="29" t="s">
        <v>23</v>
      </c>
      <c r="DF264" s="29" t="s">
        <v>23</v>
      </c>
      <c r="DG264" s="29" t="s">
        <v>23</v>
      </c>
      <c r="DH264" s="149">
        <v>2022</v>
      </c>
      <c r="DI264" s="62" t="str">
        <f t="shared" si="2292"/>
        <v>-</v>
      </c>
      <c r="DJ264" s="47">
        <f t="shared" si="2293"/>
        <v>11.988716502115656</v>
      </c>
      <c r="DK264" s="48">
        <f t="shared" si="2294"/>
        <v>0</v>
      </c>
      <c r="DM264" s="107" t="str">
        <f t="shared" si="2295"/>
        <v>-</v>
      </c>
      <c r="DN264" s="141" t="str">
        <f t="shared" si="2448"/>
        <v>-</v>
      </c>
      <c r="DO264" s="107">
        <f t="shared" si="2297"/>
        <v>4.4177428685665578</v>
      </c>
      <c r="DP264" s="133">
        <f>IF(SeilBeregnet=0,DP263,(SeilBeregnet^0.5/(Depl^0.3333))^DP$3*DP$7)</f>
        <v>2.4671546186921907</v>
      </c>
      <c r="DQ264" s="133">
        <f>IF(SeilBeregnet=0,DQ263,(SeilBeregnet^0.5/Lwl)^DQ$3*DQ$7)</f>
        <v>0</v>
      </c>
      <c r="DR264" s="133">
        <f>IF(SeilBeregnet=0,DR263,(0.1*Loa/Depl^0.3333)^DR$3*DR$7)</f>
        <v>0</v>
      </c>
      <c r="DS264" s="133">
        <f>IF(SeilBeregnet=0,DS263,((Loa)/Bredde)^DS$3*DS$7)</f>
        <v>1.9505882498743667</v>
      </c>
      <c r="DT264" s="107">
        <f>IF(SeilBeregnet=0,DT263,(Lwl)^DT$3)</f>
        <v>1.7505172633278749</v>
      </c>
      <c r="DU264" s="133">
        <f>IF(SeilBeregnet=0,DU263,(Dypg/Loa)^DU$3*5*DU$7)</f>
        <v>2.040322594990597</v>
      </c>
      <c r="DW264" s="107" t="str">
        <f t="shared" si="417"/>
        <v>-</v>
      </c>
      <c r="DX264" s="107" t="str">
        <f t="shared" si="2298"/>
        <v>-</v>
      </c>
      <c r="DZ264" s="107" t="str">
        <f t="shared" si="2299"/>
        <v>-</v>
      </c>
      <c r="EA264" s="122" t="str">
        <f t="shared" si="2449"/>
        <v>-</v>
      </c>
      <c r="EB264" s="107" t="str">
        <f t="shared" si="2301"/>
        <v>-</v>
      </c>
      <c r="EC264" s="122" t="str">
        <f t="shared" si="2450"/>
        <v>-</v>
      </c>
      <c r="ED264" s="107">
        <f t="shared" si="2328"/>
        <v>2.4669872207932273</v>
      </c>
      <c r="EE264" s="107">
        <f t="shared" si="2329"/>
        <v>2.109548147034956</v>
      </c>
      <c r="EF264" s="107">
        <f t="shared" si="2330"/>
        <v>1.6277689216151001</v>
      </c>
      <c r="EH264" s="107" t="str">
        <f t="shared" si="2303"/>
        <v>-</v>
      </c>
      <c r="EJ264" s="107">
        <f t="shared" si="2331"/>
        <v>2.4669872207932273</v>
      </c>
      <c r="EK264" s="107">
        <f t="shared" si="2332"/>
        <v>2.1096898909840953</v>
      </c>
      <c r="EL264" s="107">
        <f t="shared" si="2333"/>
        <v>1.9146767228439099</v>
      </c>
      <c r="EM264" s="107" t="str">
        <f t="shared" si="2304"/>
        <v>-</v>
      </c>
      <c r="EO264" s="107">
        <f t="shared" si="2334"/>
        <v>4.0156851280288244</v>
      </c>
      <c r="EP264" s="107">
        <f t="shared" si="2335"/>
        <v>2.4669872207932273</v>
      </c>
      <c r="EQ264" s="107">
        <f t="shared" si="2336"/>
        <v>1.6277689216151001</v>
      </c>
      <c r="ER264" s="107">
        <f t="shared" si="2337"/>
        <v>1.7505172633278749</v>
      </c>
      <c r="ES264" s="107" t="str">
        <f t="shared" si="2305"/>
        <v>-</v>
      </c>
      <c r="EU264" s="107">
        <f t="shared" si="2338"/>
        <v>1.6018097019865774</v>
      </c>
      <c r="EV264" s="107">
        <f t="shared" si="2339"/>
        <v>2.4669872207932273</v>
      </c>
      <c r="EW264" s="107">
        <f t="shared" si="2340"/>
        <v>1.0400517277723595</v>
      </c>
      <c r="EX264" s="107">
        <f t="shared" si="2341"/>
        <v>1.7740856413035511</v>
      </c>
      <c r="EY264" s="107" t="str">
        <f t="shared" si="2306"/>
        <v>-</v>
      </c>
      <c r="FA264" s="107">
        <f t="shared" si="2307"/>
        <v>1.6018640466195531</v>
      </c>
      <c r="FB264" s="107">
        <f t="shared" si="2342"/>
        <v>2.4671546186921907</v>
      </c>
      <c r="FC264" s="107">
        <f t="shared" si="2343"/>
        <v>1.0400517277723595</v>
      </c>
      <c r="FD264" s="107">
        <f t="shared" si="2344"/>
        <v>1.7740856413035511</v>
      </c>
      <c r="FE264" s="107" t="str">
        <f t="shared" si="2308"/>
        <v>-</v>
      </c>
      <c r="FF264" s="141" t="str">
        <f t="shared" si="2439"/>
        <v>-</v>
      </c>
      <c r="FG264" s="107">
        <f t="shared" si="2310"/>
        <v>2.6687398926369754</v>
      </c>
      <c r="FH264" s="133">
        <f t="shared" si="2345"/>
        <v>2.4671546186921907</v>
      </c>
      <c r="FI264" s="133">
        <f t="shared" si="2346"/>
        <v>1.0817075964422702</v>
      </c>
      <c r="FJ264" s="107">
        <f t="shared" si="2347"/>
        <v>0.99764167053180919</v>
      </c>
      <c r="FK264" s="107" t="str">
        <f t="shared" si="2311"/>
        <v>-</v>
      </c>
      <c r="FL264" s="141" t="str">
        <f t="shared" si="2440"/>
        <v>-</v>
      </c>
      <c r="FM264" s="107">
        <f t="shared" si="2313"/>
        <v>4.4761124842819289</v>
      </c>
      <c r="FN264" s="133">
        <f t="shared" si="2348"/>
        <v>2.4671546186921907</v>
      </c>
      <c r="FO264" s="133">
        <f t="shared" si="2349"/>
        <v>0.5583696157153708</v>
      </c>
      <c r="FP264" s="133">
        <f t="shared" si="2350"/>
        <v>1.9505882498743667</v>
      </c>
      <c r="FQ264" s="107">
        <f t="shared" si="2351"/>
        <v>1.7505172633278749</v>
      </c>
      <c r="FR264" s="107" t="str">
        <f t="shared" si="2314"/>
        <v>-</v>
      </c>
      <c r="FS264" s="141" t="str">
        <f t="shared" si="2441"/>
        <v>-</v>
      </c>
      <c r="FT264" s="107">
        <f t="shared" si="2316"/>
        <v>4.8124028098442606</v>
      </c>
      <c r="FU264" s="133">
        <f t="shared" si="2352"/>
        <v>2.4671546186921907</v>
      </c>
      <c r="FV264" s="133">
        <f t="shared" si="2353"/>
        <v>1.9505882498743667</v>
      </c>
      <c r="FW264" s="107">
        <f t="shared" si="2354"/>
        <v>1.7505172633278749</v>
      </c>
      <c r="FY264" s="336">
        <v>1</v>
      </c>
      <c r="FZ264" s="62" t="str">
        <f t="shared" si="2074"/>
        <v>-</v>
      </c>
      <c r="GA264" s="62">
        <f t="shared" si="2075"/>
        <v>1.9059062496562187</v>
      </c>
      <c r="GB264" s="107" t="str">
        <f t="shared" si="1270"/>
        <v>-</v>
      </c>
      <c r="GC264" s="441" t="s">
        <v>48</v>
      </c>
      <c r="GD264" s="57" t="s">
        <v>48</v>
      </c>
      <c r="GE264" s="436"/>
      <c r="GF264" s="75" t="s">
        <v>49</v>
      </c>
      <c r="GG264" s="57"/>
      <c r="GH264" s="57"/>
      <c r="GI264" s="57"/>
      <c r="GJ264" s="57"/>
      <c r="GL264" s="57" t="s">
        <v>478</v>
      </c>
      <c r="GM264" s="436" t="s">
        <v>478</v>
      </c>
      <c r="GN264" s="58" t="s">
        <v>478</v>
      </c>
      <c r="GO264" s="58" t="s">
        <v>478</v>
      </c>
      <c r="GP264" s="58" t="s">
        <v>478</v>
      </c>
      <c r="GQ264" s="58" t="s">
        <v>478</v>
      </c>
      <c r="GS264" s="57"/>
      <c r="GT264" s="57"/>
      <c r="GU264" s="57"/>
      <c r="GV264" s="632"/>
      <c r="GW264" s="57"/>
      <c r="GX264" s="57"/>
      <c r="GY264" s="57"/>
      <c r="GZ264" s="57"/>
    </row>
    <row r="265" spans="1:208" ht="15.6" x14ac:dyDescent="0.3">
      <c r="A265" s="60" t="s">
        <v>68</v>
      </c>
      <c r="B265" s="218"/>
      <c r="C265" s="61" t="str">
        <f>C264</f>
        <v>Bermuda</v>
      </c>
      <c r="D265" s="61"/>
      <c r="E265" s="61"/>
      <c r="F265" s="61"/>
      <c r="G265" s="54"/>
      <c r="H265" s="204">
        <f>IF(StH=0,0,TBFavrundet)</f>
        <v>134.50000000000003</v>
      </c>
      <c r="I265" s="63">
        <f>COUNTA(O265:AG265)</f>
        <v>2</v>
      </c>
      <c r="J265" s="222">
        <f>SUM(O265:AG265)</f>
        <v>74</v>
      </c>
      <c r="K265" s="116">
        <f>Seilareal/Depl^0.667/K$7</f>
        <v>1.5277266107889613</v>
      </c>
      <c r="L265" s="116">
        <f>Seilareal/Lwl/Lwl/L$7</f>
        <v>1.1006923446585566</v>
      </c>
      <c r="M265" s="92">
        <f>RiggF</f>
        <v>0.97770270270270265</v>
      </c>
      <c r="N265" s="242">
        <f>StHfaktor</f>
        <v>1.0201748717225139</v>
      </c>
      <c r="O265" s="143"/>
      <c r="P265" s="143"/>
      <c r="Q265" s="165">
        <v>41</v>
      </c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65">
        <v>33</v>
      </c>
      <c r="AF265" s="143"/>
      <c r="AG265" s="551"/>
      <c r="AH265" s="557">
        <f t="shared" ref="AH265:AI265" si="2451">AH264</f>
        <v>11.85</v>
      </c>
      <c r="AI265" s="557">
        <f t="shared" si="2451"/>
        <v>11.85</v>
      </c>
      <c r="AJ265" s="337">
        <f t="shared" ref="AJ265:AL267" si="2452" xml:space="preserve"> AJ264</f>
        <v>0</v>
      </c>
      <c r="AK265" s="339"/>
      <c r="AL265" s="337">
        <f t="shared" si="2452"/>
        <v>0</v>
      </c>
      <c r="AM265" s="339"/>
      <c r="AN265" s="267" t="str">
        <f t="shared" ref="AN265" si="2453" xml:space="preserve"> AN264</f>
        <v>Lystb</v>
      </c>
      <c r="AO265" s="45">
        <f>VLOOKUP(AN265,Skrogform!$1:$1048576,3,FALSE)</f>
        <v>0.98</v>
      </c>
      <c r="AP265" s="64">
        <f t="shared" ref="AP265:AZ267" si="2454">AP264</f>
        <v>11.7</v>
      </c>
      <c r="AQ265" s="64">
        <f t="shared" si="2454"/>
        <v>10.1</v>
      </c>
      <c r="AR265" s="64">
        <f t="shared" si="2454"/>
        <v>3.08</v>
      </c>
      <c r="AS265" s="64">
        <f t="shared" si="2454"/>
        <v>1.7</v>
      </c>
      <c r="AT265" s="64">
        <f t="shared" ref="AT265" si="2455">AT264</f>
        <v>9.5</v>
      </c>
      <c r="AU265" s="64">
        <f t="shared" si="2454"/>
        <v>9.5</v>
      </c>
      <c r="AV265" s="64">
        <f t="shared" si="2454"/>
        <v>3.6</v>
      </c>
      <c r="AW265" s="64">
        <f t="shared" si="2454"/>
        <v>0</v>
      </c>
      <c r="AX265" s="256">
        <f>AX264</f>
        <v>0</v>
      </c>
      <c r="AY265" s="256">
        <f t="shared" si="2454"/>
        <v>52</v>
      </c>
      <c r="AZ265" s="256">
        <f t="shared" si="2454"/>
        <v>235</v>
      </c>
      <c r="BA265" s="256">
        <f t="shared" ref="BA265:BB265" si="2456">BA264</f>
        <v>0</v>
      </c>
      <c r="BB265" s="256">
        <f t="shared" si="2456"/>
        <v>0</v>
      </c>
      <c r="BC265" s="256"/>
      <c r="BD265" s="66"/>
      <c r="BE265" s="66"/>
      <c r="BF265" s="261"/>
      <c r="BG265" s="66"/>
      <c r="BH265" s="175"/>
      <c r="BI265" s="66"/>
      <c r="BJ265" s="66"/>
      <c r="BK265" s="65" t="str">
        <f t="shared" ref="BK265:BM267" si="2457" xml:space="preserve"> BK264</f>
        <v>Fast</v>
      </c>
      <c r="BL265" s="267">
        <f t="shared" si="2457"/>
        <v>2</v>
      </c>
      <c r="BM265" s="267">
        <f t="shared" si="2457"/>
        <v>50</v>
      </c>
      <c r="BN265" s="45">
        <f t="shared" si="2291"/>
        <v>0.98483025248958467</v>
      </c>
      <c r="BO265" s="59"/>
      <c r="BP265" s="59"/>
      <c r="BR265" s="49">
        <f t="shared" ref="BR265:BX267" si="2458">IF(O265=0,0,O265*BR$9)</f>
        <v>0</v>
      </c>
      <c r="BS265" s="49">
        <f t="shared" si="2458"/>
        <v>0</v>
      </c>
      <c r="BT265" s="49">
        <f t="shared" si="2458"/>
        <v>41</v>
      </c>
      <c r="BU265" s="49">
        <f t="shared" si="2458"/>
        <v>0</v>
      </c>
      <c r="BV265" s="49">
        <f t="shared" si="2458"/>
        <v>0</v>
      </c>
      <c r="BW265" s="49">
        <f t="shared" si="2458"/>
        <v>0</v>
      </c>
      <c r="BX265" s="49">
        <f t="shared" si="2458"/>
        <v>0</v>
      </c>
      <c r="BY265" s="549">
        <f>IF(COUNT(Q265:U265)&gt;1,MINA(Q265:U265)*BY$9,0)</f>
        <v>0</v>
      </c>
      <c r="BZ265" s="85">
        <f t="shared" ref="BZ265:CD267" si="2459">IF(V265=0,0,V265*BZ$9)</f>
        <v>0</v>
      </c>
      <c r="CA265" s="85">
        <f t="shared" si="2459"/>
        <v>0</v>
      </c>
      <c r="CB265" s="85">
        <f t="shared" si="2459"/>
        <v>0</v>
      </c>
      <c r="CC265" s="85">
        <f t="shared" si="2459"/>
        <v>0</v>
      </c>
      <c r="CD265" s="85">
        <f t="shared" si="2459"/>
        <v>0</v>
      </c>
      <c r="CE265" s="85">
        <f>IF(AC265=0,0,AC265*CE$9)</f>
        <v>0</v>
      </c>
      <c r="CF265" s="85">
        <f t="shared" ref="CF265:CG267" si="2460">IF(AA265=0,0,AA265*CF$9)</f>
        <v>0</v>
      </c>
      <c r="CG265" s="85">
        <f t="shared" si="2460"/>
        <v>0</v>
      </c>
      <c r="CH265" s="85">
        <f t="shared" ref="CH265:CK267" si="2461">IF(AD265=0,0,AD265*CH$9)</f>
        <v>0</v>
      </c>
      <c r="CI265" s="85">
        <f t="shared" si="2461"/>
        <v>31.349999999999998</v>
      </c>
      <c r="CJ265" s="85">
        <f t="shared" si="2461"/>
        <v>0</v>
      </c>
      <c r="CK265" s="85">
        <f t="shared" si="2461"/>
        <v>0</v>
      </c>
      <c r="CL265" s="100">
        <f>SUM(BR265:CK265)</f>
        <v>72.349999999999994</v>
      </c>
      <c r="CM265" s="50"/>
      <c r="CN265" s="106">
        <f>J265</f>
        <v>74</v>
      </c>
      <c r="CO265" s="101">
        <f t="shared" si="2401"/>
        <v>0.97770270270270265</v>
      </c>
      <c r="CP265" s="51">
        <f>Seilareal/Lwl/Lwl</f>
        <v>0.72541907656112148</v>
      </c>
      <c r="CQ265" s="116">
        <f>Seilareal/Depl^0.667/K$7</f>
        <v>1.5277266107889613</v>
      </c>
      <c r="CR265" s="51">
        <f>Seilareal/Lwl/Lwl/SApRS1</f>
        <v>1.1006923446585566</v>
      </c>
      <c r="CS265" s="204"/>
      <c r="CT265" s="204">
        <f>(ROUND(TBF/CT$6,3)*CT$6)*CT$4</f>
        <v>134.50000000000003</v>
      </c>
      <c r="CU265" s="107">
        <f t="shared" si="1267"/>
        <v>1.3462134590864796</v>
      </c>
      <c r="CV265" s="62">
        <f t="shared" si="2119"/>
        <v>4.0688340606776441</v>
      </c>
      <c r="CW265" s="62">
        <f t="shared" si="1268"/>
        <v>1.88121265118036</v>
      </c>
      <c r="CX265" s="62">
        <f t="shared" si="2120"/>
        <v>1.7827085337805899</v>
      </c>
      <c r="CY265" s="107">
        <f t="shared" si="1269"/>
        <v>1.0201748717225139</v>
      </c>
      <c r="CZ265" s="168">
        <f t="shared" si="2209"/>
        <v>1.2969411764705883</v>
      </c>
      <c r="DA265" s="159">
        <f>DA264</f>
        <v>1.04</v>
      </c>
      <c r="DB265" s="168">
        <f t="shared" si="2289"/>
        <v>1.2087719298245616</v>
      </c>
      <c r="DC265" s="159">
        <f>DC264</f>
        <v>1.3</v>
      </c>
      <c r="DD265" s="190" t="s">
        <v>134</v>
      </c>
      <c r="DE265" s="62">
        <v>1.07</v>
      </c>
      <c r="DF265" s="62">
        <v>0.98</v>
      </c>
      <c r="DG265" s="62">
        <v>1.0900000000000001</v>
      </c>
      <c r="DH265" s="150">
        <v>1.1100000000000001</v>
      </c>
      <c r="DI265" s="62">
        <f t="shared" si="2292"/>
        <v>1.9432320747231417</v>
      </c>
      <c r="DJ265" s="47">
        <f t="shared" si="2293"/>
        <v>11.988716502115656</v>
      </c>
      <c r="DK265" s="48">
        <f t="shared" si="2294"/>
        <v>0</v>
      </c>
      <c r="DM265" s="107">
        <f t="shared" si="2295"/>
        <v>1.2987022322886903</v>
      </c>
      <c r="DN265" s="141">
        <f t="shared" si="2448"/>
        <v>-7.4984970860778821</v>
      </c>
      <c r="DO265" s="107">
        <f t="shared" si="2297"/>
        <v>5.9654907608608951</v>
      </c>
      <c r="DP265" s="133">
        <f>IF(SeilBeregnet=0,DP264,(SeilBeregnet^0.5/(Depl^0.3333))^DP$3*DP$7)</f>
        <v>4.016465030219738</v>
      </c>
      <c r="DQ265" s="133">
        <f>IF(SeilBeregnet=0,DQ264,(SeilBeregnet^0.5/Lwl)^DQ$3*DQ$7)</f>
        <v>0</v>
      </c>
      <c r="DR265" s="133">
        <f>IF(SeilBeregnet=0,DR264,(0.1*Loa/Depl^0.3333)^DR$3*DR$7)</f>
        <v>0</v>
      </c>
      <c r="DS265" s="133">
        <f>IF(SeilBeregnet=0,DS264,((Loa)/Bredde)^DS$3*DS$7)</f>
        <v>1.9490257306411576</v>
      </c>
      <c r="DT265" s="107">
        <f>IF(SeilBeregnet=0,DT264,(Lwl)^DT$3)</f>
        <v>1.7827085337805899</v>
      </c>
      <c r="DU265" s="133">
        <f>IF(SeilBeregnet=0,DU264,(Dypg/Loa)^DU$3*5*DU$7)</f>
        <v>1.9059062496562187</v>
      </c>
      <c r="DW265" s="107">
        <f t="shared" si="417"/>
        <v>1.3736872031494691</v>
      </c>
      <c r="DX265" s="107">
        <f t="shared" si="2298"/>
        <v>1.2766670308850785</v>
      </c>
      <c r="DY265" s="122">
        <f>DX265-DW265</f>
        <v>-9.7020172264390636E-2</v>
      </c>
      <c r="DZ265" s="107">
        <f t="shared" si="2299"/>
        <v>1.2723283614989895</v>
      </c>
      <c r="EA265" s="122">
        <f t="shared" si="2449"/>
        <v>-0.10135884165047959</v>
      </c>
      <c r="EB265" s="107">
        <f t="shared" si="2301"/>
        <v>1.3639920994983108</v>
      </c>
      <c r="EC265" s="122">
        <f t="shared" si="2450"/>
        <v>-9.6951036511583322E-3</v>
      </c>
      <c r="ED265" s="107">
        <f t="shared" si="2328"/>
        <v>4.0161937723365941</v>
      </c>
      <c r="EE265" s="107">
        <f t="shared" si="2329"/>
        <v>2.1614257140723043</v>
      </c>
      <c r="EF265" s="107">
        <f t="shared" si="2330"/>
        <v>1.6310844383437393</v>
      </c>
      <c r="EH265" s="107">
        <f t="shared" si="2303"/>
        <v>1.3498393151294992</v>
      </c>
      <c r="EJ265" s="107">
        <f t="shared" si="2331"/>
        <v>4.0161937723365941</v>
      </c>
      <c r="EK265" s="107">
        <f t="shared" si="2332"/>
        <v>2.1615756704798308</v>
      </c>
      <c r="EL265" s="107">
        <f t="shared" si="2333"/>
        <v>1.9198778385445259</v>
      </c>
      <c r="EM265" s="107">
        <f t="shared" si="2304"/>
        <v>1.3380601318433523</v>
      </c>
      <c r="EO265" s="107">
        <f t="shared" si="2334"/>
        <v>6.550751163431257</v>
      </c>
      <c r="EP265" s="107">
        <f t="shared" si="2335"/>
        <v>4.0161937723365941</v>
      </c>
      <c r="EQ265" s="107">
        <f t="shared" si="2336"/>
        <v>1.6310844383437393</v>
      </c>
      <c r="ER265" s="107">
        <f t="shared" si="2337"/>
        <v>1.7827085337805899</v>
      </c>
      <c r="ES265" s="107">
        <f t="shared" si="2305"/>
        <v>1.3211343438491663</v>
      </c>
      <c r="EU265" s="107">
        <f t="shared" si="2338"/>
        <v>2.0458634567115292</v>
      </c>
      <c r="EV265" s="107">
        <f t="shared" si="2339"/>
        <v>4.0161937723365941</v>
      </c>
      <c r="EW265" s="107">
        <f t="shared" si="2340"/>
        <v>1.0421701543231365</v>
      </c>
      <c r="EX265" s="107">
        <f t="shared" si="2341"/>
        <v>1.8035218860491042</v>
      </c>
      <c r="EY265" s="107">
        <f t="shared" si="2306"/>
        <v>1.2219074945950734</v>
      </c>
      <c r="FA265" s="107">
        <f t="shared" si="2307"/>
        <v>2.0459325454123816</v>
      </c>
      <c r="FB265" s="107">
        <f t="shared" si="2342"/>
        <v>4.016465030219738</v>
      </c>
      <c r="FC265" s="107">
        <f t="shared" si="2343"/>
        <v>1.0421701543231365</v>
      </c>
      <c r="FD265" s="107">
        <f t="shared" si="2344"/>
        <v>1.8035218860491042</v>
      </c>
      <c r="FE265" s="107">
        <f t="shared" si="2308"/>
        <v>1.3345048636989398</v>
      </c>
      <c r="FF265" s="141">
        <f t="shared" si="2439"/>
        <v>-3.9182339450529291</v>
      </c>
      <c r="FG265" s="107">
        <f t="shared" si="2310"/>
        <v>4.3623574983220639</v>
      </c>
      <c r="FH265" s="133">
        <f t="shared" si="2345"/>
        <v>4.016465030219738</v>
      </c>
      <c r="FI265" s="133">
        <f t="shared" si="2346"/>
        <v>1.0861186305619104</v>
      </c>
      <c r="FJ265" s="107">
        <f t="shared" si="2347"/>
        <v>1.014194887410651</v>
      </c>
      <c r="FK265" s="107">
        <f t="shared" si="2311"/>
        <v>1.3178220313273825</v>
      </c>
      <c r="FL265" s="141">
        <f t="shared" si="2440"/>
        <v>-5.5865171822086612</v>
      </c>
      <c r="FM265" s="107">
        <f t="shared" si="2313"/>
        <v>6.307657129072016</v>
      </c>
      <c r="FN265" s="133">
        <f t="shared" si="2348"/>
        <v>4.016465030219738</v>
      </c>
      <c r="FO265" s="133">
        <f t="shared" si="2349"/>
        <v>0.84216636821111979</v>
      </c>
      <c r="FP265" s="133">
        <f t="shared" si="2350"/>
        <v>1.9490257306411576</v>
      </c>
      <c r="FQ265" s="107">
        <f t="shared" si="2351"/>
        <v>1.7827085337805899</v>
      </c>
      <c r="FR265" s="107">
        <f t="shared" si="2314"/>
        <v>1.3290463468458069</v>
      </c>
      <c r="FS265" s="141">
        <f t="shared" si="2441"/>
        <v>-4.4640856303662213</v>
      </c>
      <c r="FT265" s="107">
        <f t="shared" si="2316"/>
        <v>7.8281936901186837</v>
      </c>
      <c r="FU265" s="133">
        <f t="shared" si="2352"/>
        <v>4.016465030219738</v>
      </c>
      <c r="FV265" s="133">
        <f t="shared" si="2353"/>
        <v>1.9490257306411576</v>
      </c>
      <c r="FW265" s="107">
        <f t="shared" si="2354"/>
        <v>1.7827085337805899</v>
      </c>
      <c r="FY265" s="336">
        <v>1</v>
      </c>
      <c r="FZ265" s="62">
        <f t="shared" si="2074"/>
        <v>1.3124111718397755</v>
      </c>
      <c r="GA265" s="62">
        <f t="shared" si="2075"/>
        <v>1.9059062496562187</v>
      </c>
      <c r="GB265" s="107">
        <f t="shared" si="1270"/>
        <v>1.48300663831388</v>
      </c>
      <c r="GC265" s="440"/>
      <c r="GD265" s="17"/>
      <c r="GE265" s="442"/>
      <c r="GF265" s="462"/>
      <c r="GG265" s="17"/>
      <c r="GH265" s="17"/>
      <c r="GI265" s="17"/>
      <c r="GJ265" s="17"/>
      <c r="GL265" s="17"/>
      <c r="GM265" s="442"/>
      <c r="GN265" s="8"/>
      <c r="GO265" s="8"/>
      <c r="GP265" s="8"/>
      <c r="GQ265" s="8"/>
      <c r="GS265" s="17"/>
      <c r="GT265" s="17"/>
      <c r="GU265" s="17"/>
      <c r="GV265" s="629"/>
      <c r="GW265" s="17"/>
      <c r="GX265" s="17"/>
      <c r="GY265" s="17"/>
      <c r="GZ265" s="17"/>
    </row>
    <row r="266" spans="1:208" ht="15.6" x14ac:dyDescent="0.3">
      <c r="A266" s="60" t="s">
        <v>69</v>
      </c>
      <c r="B266" s="218"/>
      <c r="C266" s="61" t="str">
        <f t="shared" ref="C266:C267" si="2462">C265</f>
        <v>Bermuda</v>
      </c>
      <c r="D266" s="61"/>
      <c r="E266" s="61"/>
      <c r="F266" s="61"/>
      <c r="G266" s="54"/>
      <c r="H266" s="204">
        <f>IF(StH=0,0,TBFavrundet)</f>
        <v>128</v>
      </c>
      <c r="I266" s="63">
        <f>COUNTA(O266:AG266)</f>
        <v>2</v>
      </c>
      <c r="J266" s="222">
        <f>SUM(O266:AG266)</f>
        <v>64</v>
      </c>
      <c r="K266" s="116">
        <f>Seilareal/Depl^0.667/K$7</f>
        <v>1.3212770687904531</v>
      </c>
      <c r="L266" s="116">
        <f>Seilareal/Lwl/Lwl/L$7</f>
        <v>0.95195013592091393</v>
      </c>
      <c r="M266" s="92">
        <f>RiggF</f>
        <v>0.97421874999999991</v>
      </c>
      <c r="N266" s="242">
        <f>StHfaktor</f>
        <v>1.0201748717225139</v>
      </c>
      <c r="O266" s="143"/>
      <c r="P266" s="143"/>
      <c r="Q266" s="143"/>
      <c r="R266" s="165">
        <v>31</v>
      </c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65">
        <v>33</v>
      </c>
      <c r="AF266" s="143"/>
      <c r="AG266" s="551"/>
      <c r="AH266" s="557">
        <f t="shared" ref="AH266:AI266" si="2463">AH265</f>
        <v>11.85</v>
      </c>
      <c r="AI266" s="557">
        <f t="shared" si="2463"/>
        <v>11.85</v>
      </c>
      <c r="AJ266" s="337">
        <f t="shared" si="2452"/>
        <v>0</v>
      </c>
      <c r="AK266" s="339"/>
      <c r="AL266" s="337">
        <f t="shared" si="2452"/>
        <v>0</v>
      </c>
      <c r="AM266" s="339"/>
      <c r="AN266" s="267" t="str">
        <f t="shared" ref="AN266" si="2464" xml:space="preserve"> AN265</f>
        <v>Lystb</v>
      </c>
      <c r="AO266" s="45">
        <f>VLOOKUP(AN266,Skrogform!$1:$1048576,3,FALSE)</f>
        <v>0.98</v>
      </c>
      <c r="AP266" s="64">
        <f t="shared" si="2454"/>
        <v>11.7</v>
      </c>
      <c r="AQ266" s="64">
        <f t="shared" si="2454"/>
        <v>10.1</v>
      </c>
      <c r="AR266" s="64">
        <f t="shared" si="2454"/>
        <v>3.08</v>
      </c>
      <c r="AS266" s="64">
        <f t="shared" si="2454"/>
        <v>1.7</v>
      </c>
      <c r="AT266" s="64">
        <f t="shared" ref="AT266" si="2465">AT265</f>
        <v>9.5</v>
      </c>
      <c r="AU266" s="64">
        <f t="shared" si="2454"/>
        <v>9.5</v>
      </c>
      <c r="AV266" s="64">
        <f t="shared" si="2454"/>
        <v>3.6</v>
      </c>
      <c r="AW266" s="64">
        <f t="shared" si="2454"/>
        <v>0</v>
      </c>
      <c r="AX266" s="256">
        <f>AX265</f>
        <v>0</v>
      </c>
      <c r="AY266" s="256">
        <f t="shared" si="2454"/>
        <v>52</v>
      </c>
      <c r="AZ266" s="256">
        <f t="shared" si="2454"/>
        <v>235</v>
      </c>
      <c r="BA266" s="256">
        <f t="shared" ref="BA266:BB266" si="2466">BA265</f>
        <v>0</v>
      </c>
      <c r="BB266" s="256">
        <f t="shared" si="2466"/>
        <v>0</v>
      </c>
      <c r="BC266" s="256"/>
      <c r="BD266" s="66"/>
      <c r="BE266" s="66"/>
      <c r="BF266" s="261"/>
      <c r="BG266" s="66"/>
      <c r="BH266" s="175"/>
      <c r="BI266" s="66"/>
      <c r="BJ266" s="66"/>
      <c r="BK266" s="65" t="str">
        <f t="shared" si="2457"/>
        <v>Fast</v>
      </c>
      <c r="BL266" s="267">
        <f t="shared" si="2457"/>
        <v>2</v>
      </c>
      <c r="BM266" s="267">
        <f t="shared" si="2457"/>
        <v>50</v>
      </c>
      <c r="BN266" s="45">
        <f t="shared" si="2291"/>
        <v>0.98483025248958467</v>
      </c>
      <c r="BO266" s="59"/>
      <c r="BP266" s="59"/>
      <c r="BR266" s="49">
        <f t="shared" si="2458"/>
        <v>0</v>
      </c>
      <c r="BS266" s="49">
        <f t="shared" si="2458"/>
        <v>0</v>
      </c>
      <c r="BT266" s="49">
        <f t="shared" si="2458"/>
        <v>0</v>
      </c>
      <c r="BU266" s="49">
        <f t="shared" si="2458"/>
        <v>31</v>
      </c>
      <c r="BV266" s="49">
        <f t="shared" si="2458"/>
        <v>0</v>
      </c>
      <c r="BW266" s="49">
        <f t="shared" si="2458"/>
        <v>0</v>
      </c>
      <c r="BX266" s="49">
        <f t="shared" si="2458"/>
        <v>0</v>
      </c>
      <c r="BY266" s="549">
        <f>IF(COUNT(Q266:U266)&gt;1,MINA(Q266:U266)*BY$9,0)</f>
        <v>0</v>
      </c>
      <c r="BZ266" s="85">
        <f t="shared" si="2459"/>
        <v>0</v>
      </c>
      <c r="CA266" s="85">
        <f t="shared" si="2459"/>
        <v>0</v>
      </c>
      <c r="CB266" s="85">
        <f t="shared" si="2459"/>
        <v>0</v>
      </c>
      <c r="CC266" s="85">
        <f t="shared" si="2459"/>
        <v>0</v>
      </c>
      <c r="CD266" s="85">
        <f t="shared" si="2459"/>
        <v>0</v>
      </c>
      <c r="CE266" s="85">
        <f>IF(AC266=0,0,AC266*CE$9)</f>
        <v>0</v>
      </c>
      <c r="CF266" s="85">
        <f t="shared" si="2460"/>
        <v>0</v>
      </c>
      <c r="CG266" s="85">
        <f t="shared" si="2460"/>
        <v>0</v>
      </c>
      <c r="CH266" s="85">
        <f t="shared" si="2461"/>
        <v>0</v>
      </c>
      <c r="CI266" s="85">
        <f t="shared" si="2461"/>
        <v>31.349999999999998</v>
      </c>
      <c r="CJ266" s="85">
        <f t="shared" si="2461"/>
        <v>0</v>
      </c>
      <c r="CK266" s="85">
        <f t="shared" si="2461"/>
        <v>0</v>
      </c>
      <c r="CL266" s="100">
        <f>SUM(BR266:CK266)</f>
        <v>62.349999999999994</v>
      </c>
      <c r="CM266" s="50"/>
      <c r="CN266" s="106">
        <f>J266</f>
        <v>64</v>
      </c>
      <c r="CO266" s="101">
        <f t="shared" si="2401"/>
        <v>0.97421874999999991</v>
      </c>
      <c r="CP266" s="51">
        <f>Seilareal/Lwl/Lwl</f>
        <v>0.62738947162042946</v>
      </c>
      <c r="CQ266" s="116">
        <f>Seilareal/Depl^0.667/K$7</f>
        <v>1.3212770687904531</v>
      </c>
      <c r="CR266" s="51">
        <f>Seilareal/Lwl/Lwl/SApRS1</f>
        <v>0.95195013592091393</v>
      </c>
      <c r="CS266" s="204"/>
      <c r="CT266" s="204">
        <f>(ROUND(TBF/CT$6,3)*CT$6)*CT$4</f>
        <v>128</v>
      </c>
      <c r="CU266" s="107">
        <f t="shared" si="1267"/>
        <v>1.2802284491393707</v>
      </c>
      <c r="CV266" s="62">
        <f t="shared" si="2119"/>
        <v>3.7771909421085166</v>
      </c>
      <c r="CW266" s="62">
        <f t="shared" si="1268"/>
        <v>1.88121265118036</v>
      </c>
      <c r="CX266" s="62">
        <f t="shared" si="2120"/>
        <v>1.7827085337805899</v>
      </c>
      <c r="CY266" s="107">
        <f t="shared" si="1269"/>
        <v>1.0201748717225139</v>
      </c>
      <c r="CZ266" s="168" t="str">
        <f t="shared" si="2209"/>
        <v>-</v>
      </c>
      <c r="DA266" s="158"/>
      <c r="DB266" s="168" t="str">
        <f t="shared" si="2289"/>
        <v>-</v>
      </c>
      <c r="DC266" s="160"/>
      <c r="DD266" s="190" t="s">
        <v>134</v>
      </c>
      <c r="DE266" s="62">
        <v>1</v>
      </c>
      <c r="DF266" s="62">
        <v>0.95</v>
      </c>
      <c r="DG266" s="62">
        <v>1.03</v>
      </c>
      <c r="DH266" s="150">
        <v>1.06</v>
      </c>
      <c r="DI266" s="62">
        <f t="shared" si="2292"/>
        <v>1.9432320747231417</v>
      </c>
      <c r="DJ266" s="47">
        <f t="shared" si="2293"/>
        <v>11.988716502115656</v>
      </c>
      <c r="DK266" s="48">
        <f t="shared" si="2294"/>
        <v>0</v>
      </c>
      <c r="DM266" s="107">
        <f t="shared" si="2295"/>
        <v>1.2360279809556025</v>
      </c>
      <c r="DN266" s="141" t="str">
        <f t="shared" si="2448"/>
        <v>-</v>
      </c>
      <c r="DO266" s="107">
        <f t="shared" si="2297"/>
        <v>5.6776013140147779</v>
      </c>
      <c r="DP266" s="133">
        <f>IF(SeilBeregnet=0,DP265,(SeilBeregnet^0.5/(Depl^0.3333))^DP$3*DP$7)</f>
        <v>3.7285755833736207</v>
      </c>
      <c r="DQ266" s="133">
        <f>IF(SeilBeregnet=0,DQ265,(SeilBeregnet^0.5/Lwl)^DQ$3*DQ$7)</f>
        <v>0</v>
      </c>
      <c r="DR266" s="133">
        <f>IF(SeilBeregnet=0,DR265,(0.1*Loa/Depl^0.3333)^DR$3*DR$7)</f>
        <v>0</v>
      </c>
      <c r="DS266" s="133">
        <f>IF(SeilBeregnet=0,DS265,((Loa)/Bredde)^DS$3*DS$7)</f>
        <v>1.9490257306411576</v>
      </c>
      <c r="DT266" s="107">
        <f>IF(SeilBeregnet=0,DT265,(Lwl)^DT$3)</f>
        <v>1.7827085337805899</v>
      </c>
      <c r="DU266" s="133">
        <f>IF(SeilBeregnet=0,DU265,(Dypg/Loa)^DU$3*5*DU$7)</f>
        <v>1.9059062496562187</v>
      </c>
      <c r="DW266" s="107">
        <f t="shared" si="417"/>
        <v>1.3063555603462969</v>
      </c>
      <c r="DX266" s="107">
        <f t="shared" si="2298"/>
        <v>1.2026670566768696</v>
      </c>
      <c r="DZ266" s="107">
        <f t="shared" si="2299"/>
        <v>1.2107722450476219</v>
      </c>
      <c r="EA266" s="122" t="str">
        <f t="shared" si="2449"/>
        <v>-</v>
      </c>
      <c r="EB266" s="107">
        <f t="shared" si="2301"/>
        <v>1.2862862919272662</v>
      </c>
      <c r="EC266" s="122" t="str">
        <f t="shared" si="2450"/>
        <v>-</v>
      </c>
      <c r="ED266" s="107">
        <f t="shared" si="2328"/>
        <v>3.7283237685284072</v>
      </c>
      <c r="EE266" s="107">
        <f t="shared" si="2329"/>
        <v>2.1614257140723043</v>
      </c>
      <c r="EF266" s="107">
        <f t="shared" si="2330"/>
        <v>1.6310844383437393</v>
      </c>
      <c r="EH266" s="107">
        <f t="shared" si="2303"/>
        <v>1.2789859629710247</v>
      </c>
      <c r="EJ266" s="107">
        <f t="shared" si="2331"/>
        <v>3.7283237685284072</v>
      </c>
      <c r="EK266" s="107">
        <f t="shared" si="2332"/>
        <v>2.1615756704798308</v>
      </c>
      <c r="EL266" s="107">
        <f t="shared" si="2333"/>
        <v>1.9198778385445259</v>
      </c>
      <c r="EM266" s="107">
        <f t="shared" si="2304"/>
        <v>1.2645843492357882</v>
      </c>
      <c r="EO266" s="107">
        <f t="shared" si="2334"/>
        <v>6.0812108799537707</v>
      </c>
      <c r="EP266" s="107">
        <f t="shared" si="2335"/>
        <v>3.7283237685284072</v>
      </c>
      <c r="EQ266" s="107">
        <f t="shared" si="2336"/>
        <v>1.6310844383437393</v>
      </c>
      <c r="ER266" s="107">
        <f t="shared" si="2337"/>
        <v>1.7827085337805899</v>
      </c>
      <c r="ES266" s="107">
        <f t="shared" si="2305"/>
        <v>1.2573073420158236</v>
      </c>
      <c r="EU266" s="107">
        <f t="shared" si="2338"/>
        <v>1.9711792808402455</v>
      </c>
      <c r="EV266" s="107">
        <f t="shared" si="2339"/>
        <v>3.7283237685284072</v>
      </c>
      <c r="EW266" s="107">
        <f t="shared" si="2340"/>
        <v>1.0421701543231365</v>
      </c>
      <c r="EX266" s="107">
        <f t="shared" si="2341"/>
        <v>1.8035218860491042</v>
      </c>
      <c r="EY266" s="107">
        <f t="shared" si="2306"/>
        <v>1.1773018030835476</v>
      </c>
      <c r="FA266" s="107">
        <f t="shared" si="2307"/>
        <v>1.971245847460424</v>
      </c>
      <c r="FB266" s="107">
        <f t="shared" si="2342"/>
        <v>3.7285755833736207</v>
      </c>
      <c r="FC266" s="107">
        <f t="shared" si="2343"/>
        <v>1.0421701543231365</v>
      </c>
      <c r="FD266" s="107">
        <f t="shared" si="2344"/>
        <v>1.8035218860491042</v>
      </c>
      <c r="FE266" s="107">
        <f t="shared" si="2308"/>
        <v>1.2689197763539366</v>
      </c>
      <c r="FF266" s="141" t="str">
        <f t="shared" si="2439"/>
        <v>-</v>
      </c>
      <c r="FG266" s="107">
        <f t="shared" si="2310"/>
        <v>4.0496754065603326</v>
      </c>
      <c r="FH266" s="133">
        <f t="shared" si="2345"/>
        <v>3.7285755833736207</v>
      </c>
      <c r="FI266" s="133">
        <f t="shared" si="2346"/>
        <v>1.0861186305619104</v>
      </c>
      <c r="FJ266" s="107">
        <f t="shared" si="2347"/>
        <v>1.014194887410651</v>
      </c>
      <c r="FK266" s="107">
        <f t="shared" si="2311"/>
        <v>1.2450634213549436</v>
      </c>
      <c r="FL266" s="141" t="str">
        <f t="shared" si="2440"/>
        <v>-</v>
      </c>
      <c r="FM266" s="107">
        <f t="shared" si="2313"/>
        <v>5.9594034544603094</v>
      </c>
      <c r="FN266" s="133">
        <f t="shared" si="2348"/>
        <v>3.7285755833736207</v>
      </c>
      <c r="FO266" s="133">
        <f t="shared" si="2349"/>
        <v>0.78180214044553187</v>
      </c>
      <c r="FP266" s="133">
        <f t="shared" si="2350"/>
        <v>1.9490257306411576</v>
      </c>
      <c r="FQ266" s="107">
        <f t="shared" si="2351"/>
        <v>1.7827085337805899</v>
      </c>
      <c r="FR266" s="107">
        <f t="shared" si="2314"/>
        <v>1.2659992611700088</v>
      </c>
      <c r="FS266" s="141" t="str">
        <f t="shared" si="2441"/>
        <v>-</v>
      </c>
      <c r="FT266" s="107">
        <f t="shared" si="2316"/>
        <v>7.2670897506355514</v>
      </c>
      <c r="FU266" s="133">
        <f t="shared" si="2352"/>
        <v>3.7285755833736207</v>
      </c>
      <c r="FV266" s="133">
        <f t="shared" si="2353"/>
        <v>1.9490257306411576</v>
      </c>
      <c r="FW266" s="107">
        <f t="shared" si="2354"/>
        <v>1.7827085337805899</v>
      </c>
      <c r="FY266" s="336">
        <v>1</v>
      </c>
      <c r="FZ266" s="62">
        <f t="shared" si="2074"/>
        <v>1.2644126475658879</v>
      </c>
      <c r="GA266" s="62">
        <f t="shared" si="2075"/>
        <v>1.9059062496562187</v>
      </c>
      <c r="GB266" s="107">
        <f t="shared" si="1270"/>
        <v>1.4466920074011911</v>
      </c>
      <c r="GC266" s="440"/>
      <c r="GD266" s="17"/>
      <c r="GE266" s="442"/>
      <c r="GF266" s="462"/>
      <c r="GG266" s="17"/>
      <c r="GH266" s="17"/>
      <c r="GI266" s="17"/>
      <c r="GJ266" s="17"/>
      <c r="GL266" s="17"/>
      <c r="GM266" s="442"/>
      <c r="GN266" s="8"/>
      <c r="GO266" s="8"/>
      <c r="GP266" s="8"/>
      <c r="GQ266" s="8"/>
      <c r="GS266" s="17"/>
      <c r="GT266" s="17"/>
      <c r="GU266" s="17"/>
      <c r="GV266" s="629"/>
      <c r="GW266" s="17"/>
      <c r="GX266" s="17"/>
      <c r="GY266" s="17"/>
      <c r="GZ266" s="17"/>
    </row>
    <row r="267" spans="1:208" ht="15.6" x14ac:dyDescent="0.3">
      <c r="A267" s="60" t="s">
        <v>33</v>
      </c>
      <c r="B267" s="218"/>
      <c r="C267" s="61" t="str">
        <f t="shared" si="2462"/>
        <v>Bermuda</v>
      </c>
      <c r="D267" s="61"/>
      <c r="E267" s="61"/>
      <c r="F267" s="61"/>
      <c r="G267" s="54"/>
      <c r="H267" s="204">
        <f>TBFavrundet</f>
        <v>125</v>
      </c>
      <c r="I267" s="63">
        <f>COUNTA(O267:AG267)</f>
        <v>2</v>
      </c>
      <c r="J267" s="222">
        <f>SUM(O267:AG267)</f>
        <v>60</v>
      </c>
      <c r="K267" s="116">
        <f>Seilareal/Depl^0.667/K$7</f>
        <v>1.2386972519910497</v>
      </c>
      <c r="L267" s="116">
        <f>Seilareal/Lwl/Lwl/L$7</f>
        <v>0.89245325242585671</v>
      </c>
      <c r="M267" s="92">
        <f>RiggF</f>
        <v>0.97249999999999992</v>
      </c>
      <c r="N267" s="242">
        <f>StHfaktor</f>
        <v>1.0201748717225139</v>
      </c>
      <c r="O267" s="143"/>
      <c r="P267" s="143"/>
      <c r="Q267" s="143"/>
      <c r="R267" s="143"/>
      <c r="S267" s="143"/>
      <c r="T267" s="143"/>
      <c r="U267" s="165">
        <v>27</v>
      </c>
      <c r="V267" s="560"/>
      <c r="W267" s="560"/>
      <c r="X267" s="143"/>
      <c r="Y267" s="143"/>
      <c r="Z267" s="143"/>
      <c r="AA267" s="143"/>
      <c r="AB267" s="143"/>
      <c r="AC267" s="143"/>
      <c r="AD267" s="143"/>
      <c r="AE267" s="165">
        <v>33</v>
      </c>
      <c r="AF267" s="143"/>
      <c r="AG267" s="551"/>
      <c r="AH267" s="557">
        <f t="shared" ref="AH267:AI267" si="2467">AH266</f>
        <v>11.85</v>
      </c>
      <c r="AI267" s="557">
        <f t="shared" si="2467"/>
        <v>11.85</v>
      </c>
      <c r="AJ267" s="337">
        <f t="shared" si="2452"/>
        <v>0</v>
      </c>
      <c r="AK267" s="339"/>
      <c r="AL267" s="337">
        <f t="shared" si="2452"/>
        <v>0</v>
      </c>
      <c r="AM267" s="339"/>
      <c r="AN267" s="267" t="str">
        <f t="shared" ref="AN267" si="2468" xml:space="preserve"> AN266</f>
        <v>Lystb</v>
      </c>
      <c r="AO267" s="45">
        <f>VLOOKUP(AN267,Skrogform!$1:$1048576,3,FALSE)</f>
        <v>0.98</v>
      </c>
      <c r="AP267" s="64">
        <f t="shared" si="2454"/>
        <v>11.7</v>
      </c>
      <c r="AQ267" s="64">
        <f t="shared" si="2454"/>
        <v>10.1</v>
      </c>
      <c r="AR267" s="64">
        <f t="shared" si="2454"/>
        <v>3.08</v>
      </c>
      <c r="AS267" s="64">
        <f t="shared" si="2454"/>
        <v>1.7</v>
      </c>
      <c r="AT267" s="64">
        <f t="shared" ref="AT267" si="2469">AT266</f>
        <v>9.5</v>
      </c>
      <c r="AU267" s="64">
        <f t="shared" si="2454"/>
        <v>9.5</v>
      </c>
      <c r="AV267" s="64">
        <f t="shared" si="2454"/>
        <v>3.6</v>
      </c>
      <c r="AW267" s="64">
        <f t="shared" si="2454"/>
        <v>0</v>
      </c>
      <c r="AX267" s="256">
        <f>AX266</f>
        <v>0</v>
      </c>
      <c r="AY267" s="256">
        <f t="shared" si="2454"/>
        <v>52</v>
      </c>
      <c r="AZ267" s="256">
        <f t="shared" si="2454"/>
        <v>235</v>
      </c>
      <c r="BA267" s="256">
        <f t="shared" ref="BA267:BB267" si="2470">BA266</f>
        <v>0</v>
      </c>
      <c r="BB267" s="256">
        <f t="shared" si="2470"/>
        <v>0</v>
      </c>
      <c r="BC267" s="256"/>
      <c r="BD267" s="66"/>
      <c r="BE267" s="66"/>
      <c r="BF267" s="261"/>
      <c r="BG267" s="66"/>
      <c r="BH267" s="175"/>
      <c r="BI267" s="66"/>
      <c r="BJ267" s="66"/>
      <c r="BK267" s="65" t="str">
        <f t="shared" si="2457"/>
        <v>Fast</v>
      </c>
      <c r="BL267" s="267">
        <f t="shared" si="2457"/>
        <v>2</v>
      </c>
      <c r="BM267" s="267">
        <f t="shared" si="2457"/>
        <v>50</v>
      </c>
      <c r="BN267" s="45">
        <f t="shared" si="2291"/>
        <v>0.98483025248958467</v>
      </c>
      <c r="BO267" s="59"/>
      <c r="BP267" s="59"/>
      <c r="BR267" s="49">
        <f t="shared" si="2458"/>
        <v>0</v>
      </c>
      <c r="BS267" s="49">
        <f t="shared" si="2458"/>
        <v>0</v>
      </c>
      <c r="BT267" s="49">
        <f t="shared" si="2458"/>
        <v>0</v>
      </c>
      <c r="BU267" s="49">
        <f t="shared" si="2458"/>
        <v>0</v>
      </c>
      <c r="BV267" s="49">
        <f t="shared" si="2458"/>
        <v>0</v>
      </c>
      <c r="BW267" s="49">
        <f t="shared" si="2458"/>
        <v>0</v>
      </c>
      <c r="BX267" s="49">
        <f t="shared" si="2458"/>
        <v>27</v>
      </c>
      <c r="BY267" s="549">
        <f>IF(COUNT(Q267:U267)&gt;1,MINA(Q267:U267)*BY$9,0)</f>
        <v>0</v>
      </c>
      <c r="BZ267" s="85">
        <f t="shared" si="2459"/>
        <v>0</v>
      </c>
      <c r="CA267" s="85">
        <f t="shared" si="2459"/>
        <v>0</v>
      </c>
      <c r="CB267" s="85">
        <f t="shared" si="2459"/>
        <v>0</v>
      </c>
      <c r="CC267" s="85">
        <f t="shared" si="2459"/>
        <v>0</v>
      </c>
      <c r="CD267" s="85">
        <f t="shared" si="2459"/>
        <v>0</v>
      </c>
      <c r="CE267" s="85">
        <f>IF(AC267=0,0,AC267*CE$9)</f>
        <v>0</v>
      </c>
      <c r="CF267" s="85">
        <f t="shared" si="2460"/>
        <v>0</v>
      </c>
      <c r="CG267" s="85">
        <f t="shared" si="2460"/>
        <v>0</v>
      </c>
      <c r="CH267" s="85">
        <f t="shared" si="2461"/>
        <v>0</v>
      </c>
      <c r="CI267" s="85">
        <f t="shared" si="2461"/>
        <v>31.349999999999998</v>
      </c>
      <c r="CJ267" s="85">
        <f t="shared" si="2461"/>
        <v>0</v>
      </c>
      <c r="CK267" s="85">
        <f t="shared" si="2461"/>
        <v>0</v>
      </c>
      <c r="CL267" s="100">
        <f>SUM(BR267:CK267)</f>
        <v>58.349999999999994</v>
      </c>
      <c r="CM267" s="50"/>
      <c r="CN267" s="106">
        <f>J267</f>
        <v>60</v>
      </c>
      <c r="CO267" s="101">
        <f t="shared" si="2401"/>
        <v>0.97249999999999992</v>
      </c>
      <c r="CP267" s="51">
        <f>Seilareal/Lwl/Lwl</f>
        <v>0.58817762964415254</v>
      </c>
      <c r="CQ267" s="116">
        <f>Seilareal/Depl^0.667/K$7</f>
        <v>1.2386972519910497</v>
      </c>
      <c r="CR267" s="51">
        <f>Seilareal/Lwl/Lwl/SApRS1</f>
        <v>0.89245325242585671</v>
      </c>
      <c r="CS267" s="204"/>
      <c r="CT267" s="204">
        <f>(ROUND(TBF/CT$6,3)*CT$6)*CT$4</f>
        <v>125</v>
      </c>
      <c r="CU267" s="107">
        <f t="shared" si="1267"/>
        <v>1.2523611250923141</v>
      </c>
      <c r="CV267" s="62">
        <f t="shared" si="2119"/>
        <v>3.6540218572243188</v>
      </c>
      <c r="CW267" s="62">
        <f t="shared" si="1268"/>
        <v>1.88121265118036</v>
      </c>
      <c r="CX267" s="62">
        <f t="shared" si="2120"/>
        <v>1.7827085337805899</v>
      </c>
      <c r="CY267" s="107">
        <f t="shared" si="1269"/>
        <v>1.0201748717225139</v>
      </c>
      <c r="CZ267" s="168" t="str">
        <f t="shared" si="2209"/>
        <v>-</v>
      </c>
      <c r="DA267" s="158"/>
      <c r="DB267" s="168" t="str">
        <f t="shared" si="2289"/>
        <v>-</v>
      </c>
      <c r="DC267" s="160"/>
      <c r="DD267" s="190" t="s">
        <v>134</v>
      </c>
      <c r="DE267" s="62">
        <v>0.98</v>
      </c>
      <c r="DF267" s="62">
        <v>0.93</v>
      </c>
      <c r="DG267" s="62">
        <v>1.01</v>
      </c>
      <c r="DH267" s="150">
        <v>1.03</v>
      </c>
      <c r="DI267" s="62">
        <f t="shared" si="2292"/>
        <v>1.9432320747231417</v>
      </c>
      <c r="DJ267" s="47">
        <f t="shared" si="2293"/>
        <v>11.988716502115656</v>
      </c>
      <c r="DK267" s="48">
        <f t="shared" si="2294"/>
        <v>0</v>
      </c>
      <c r="DM267" s="107">
        <f t="shared" si="2295"/>
        <v>1.2095588833119737</v>
      </c>
      <c r="DN267" s="141" t="str">
        <f t="shared" si="2448"/>
        <v>-</v>
      </c>
      <c r="DO267" s="107">
        <f t="shared" si="2297"/>
        <v>5.5560175101869183</v>
      </c>
      <c r="DP267" s="133">
        <f>IF(SeilBeregnet=0,DP266,(SeilBeregnet^0.5/(Depl^0.3333))^DP$3*DP$7)</f>
        <v>3.6069917795457607</v>
      </c>
      <c r="DQ267" s="133">
        <f>IF(SeilBeregnet=0,DQ266,(SeilBeregnet^0.5/Lwl)^DQ$3*DQ$7)</f>
        <v>0</v>
      </c>
      <c r="DR267" s="133">
        <f>IF(SeilBeregnet=0,DR266,(0.1*Loa/Depl^0.3333)^DR$3*DR$7)</f>
        <v>0</v>
      </c>
      <c r="DS267" s="133">
        <f>IF(SeilBeregnet=0,DS266,((Loa)/Bredde)^DS$3*DS$7)</f>
        <v>1.9490257306411576</v>
      </c>
      <c r="DT267" s="107">
        <f>IF(SeilBeregnet=0,DT266,(Lwl)^DT$3)</f>
        <v>1.7827085337805899</v>
      </c>
      <c r="DU267" s="133">
        <f>IF(SeilBeregnet=0,DU266,(Dypg/Loa)^DU$3*5*DU$7)</f>
        <v>1.9059062496562187</v>
      </c>
      <c r="DW267" s="107">
        <f t="shared" si="417"/>
        <v>1.2779195154003204</v>
      </c>
      <c r="DX267" s="107">
        <f t="shared" si="2298"/>
        <v>1.1714147879814953</v>
      </c>
      <c r="DZ267" s="107">
        <f t="shared" si="2299"/>
        <v>1.1847753671869743</v>
      </c>
      <c r="EA267" s="122" t="str">
        <f t="shared" si="2449"/>
        <v>-</v>
      </c>
      <c r="EB267" s="107">
        <f t="shared" si="2301"/>
        <v>1.2534689456594355</v>
      </c>
      <c r="EC267" s="122" t="str">
        <f t="shared" si="2450"/>
        <v>-</v>
      </c>
      <c r="ED267" s="107">
        <f t="shared" si="2328"/>
        <v>3.6067481760418643</v>
      </c>
      <c r="EE267" s="107">
        <f t="shared" si="2329"/>
        <v>2.1614257140723043</v>
      </c>
      <c r="EF267" s="107">
        <f t="shared" si="2330"/>
        <v>1.6310844383437393</v>
      </c>
      <c r="EH267" s="107">
        <f t="shared" si="2303"/>
        <v>1.2490626011953261</v>
      </c>
      <c r="EJ267" s="107">
        <f t="shared" si="2331"/>
        <v>3.6067481760418643</v>
      </c>
      <c r="EK267" s="107">
        <f t="shared" si="2332"/>
        <v>2.1615756704798308</v>
      </c>
      <c r="EL267" s="107">
        <f t="shared" si="2333"/>
        <v>1.9198778385445259</v>
      </c>
      <c r="EM267" s="107">
        <f t="shared" si="2304"/>
        <v>1.2335534613844814</v>
      </c>
      <c r="EO267" s="107">
        <f t="shared" si="2334"/>
        <v>5.8829108229665499</v>
      </c>
      <c r="EP267" s="107">
        <f t="shared" si="2335"/>
        <v>3.6067481760418643</v>
      </c>
      <c r="EQ267" s="107">
        <f t="shared" si="2336"/>
        <v>1.6310844383437393</v>
      </c>
      <c r="ER267" s="107">
        <f t="shared" si="2337"/>
        <v>1.7827085337805899</v>
      </c>
      <c r="ES267" s="107">
        <f t="shared" si="2305"/>
        <v>1.2296131122853198</v>
      </c>
      <c r="EU267" s="107">
        <f t="shared" si="2338"/>
        <v>1.9387741754083276</v>
      </c>
      <c r="EV267" s="107">
        <f t="shared" si="2339"/>
        <v>3.6067481760418643</v>
      </c>
      <c r="EW267" s="107">
        <f t="shared" si="2340"/>
        <v>1.0421701543231365</v>
      </c>
      <c r="EX267" s="107">
        <f t="shared" si="2341"/>
        <v>1.8035218860491042</v>
      </c>
      <c r="EY267" s="107">
        <f t="shared" si="2306"/>
        <v>1.1579476076407833</v>
      </c>
      <c r="FA267" s="107">
        <f t="shared" si="2307"/>
        <v>1.9388396477098073</v>
      </c>
      <c r="FB267" s="107">
        <f t="shared" si="2342"/>
        <v>3.6069917795457607</v>
      </c>
      <c r="FC267" s="107">
        <f t="shared" si="2343"/>
        <v>1.0421701543231365</v>
      </c>
      <c r="FD267" s="107">
        <f t="shared" si="2344"/>
        <v>1.8035218860491042</v>
      </c>
      <c r="FE267" s="107">
        <f t="shared" si="2308"/>
        <v>1.24122135086059</v>
      </c>
      <c r="FF267" s="141" t="str">
        <f t="shared" si="2439"/>
        <v>-</v>
      </c>
      <c r="FG267" s="107">
        <f t="shared" si="2310"/>
        <v>3.9176209720483097</v>
      </c>
      <c r="FH267" s="133">
        <f t="shared" si="2345"/>
        <v>3.6069917795457607</v>
      </c>
      <c r="FI267" s="133">
        <f t="shared" si="2346"/>
        <v>1.0861186305619104</v>
      </c>
      <c r="FJ267" s="107">
        <f t="shared" si="2347"/>
        <v>1.014194887410651</v>
      </c>
      <c r="FK267" s="107">
        <f t="shared" si="2311"/>
        <v>1.2143354156618236</v>
      </c>
      <c r="FL267" s="141" t="str">
        <f t="shared" si="2440"/>
        <v>-</v>
      </c>
      <c r="FM267" s="107">
        <f t="shared" si="2313"/>
        <v>5.8123261408589073</v>
      </c>
      <c r="FN267" s="133">
        <f t="shared" si="2348"/>
        <v>3.6069917795457607</v>
      </c>
      <c r="FO267" s="133">
        <f t="shared" si="2349"/>
        <v>0.7563086306719885</v>
      </c>
      <c r="FP267" s="133">
        <f t="shared" si="2350"/>
        <v>1.9490257306411576</v>
      </c>
      <c r="FQ267" s="107">
        <f t="shared" si="2351"/>
        <v>1.7827085337805899</v>
      </c>
      <c r="FR267" s="107">
        <f t="shared" si="2314"/>
        <v>1.2393727051058614</v>
      </c>
      <c r="FS267" s="141" t="str">
        <f t="shared" si="2441"/>
        <v>-</v>
      </c>
      <c r="FT267" s="107">
        <f t="shared" si="2316"/>
        <v>7.0301197885458251</v>
      </c>
      <c r="FU267" s="133">
        <f t="shared" si="2352"/>
        <v>3.6069917795457607</v>
      </c>
      <c r="FV267" s="133">
        <f t="shared" si="2353"/>
        <v>1.9490257306411576</v>
      </c>
      <c r="FW267" s="107">
        <f t="shared" si="2354"/>
        <v>1.7827085337805899</v>
      </c>
      <c r="FY267" s="336">
        <v>1</v>
      </c>
      <c r="FZ267" s="62">
        <f t="shared" si="2074"/>
        <v>1.2441415218845686</v>
      </c>
      <c r="GA267" s="62">
        <f t="shared" si="2075"/>
        <v>1.9059062496562187</v>
      </c>
      <c r="GB267" s="107">
        <f t="shared" si="1270"/>
        <v>1.4307930300549403</v>
      </c>
      <c r="GC267" s="440"/>
      <c r="GD267" s="17"/>
      <c r="GE267" s="442"/>
      <c r="GF267" s="462"/>
      <c r="GG267" s="17"/>
      <c r="GH267" s="17"/>
      <c r="GI267" s="17"/>
      <c r="GJ267" s="17"/>
      <c r="GL267" s="17"/>
      <c r="GM267" s="442"/>
      <c r="GN267" s="8"/>
      <c r="GO267" s="8"/>
      <c r="GP267" s="8"/>
      <c r="GQ267" s="8"/>
      <c r="GS267" s="17"/>
      <c r="GT267" s="17"/>
      <c r="GU267" s="17"/>
      <c r="GV267" s="629"/>
      <c r="GW267" s="17"/>
      <c r="GX267" s="17"/>
      <c r="GY267" s="17"/>
      <c r="GZ267" s="17"/>
    </row>
    <row r="268" spans="1:208" ht="15.6" x14ac:dyDescent="0.3">
      <c r="A268" s="52" t="s">
        <v>50</v>
      </c>
      <c r="B268" s="218">
        <f t="shared" si="2368"/>
        <v>79.986876640419936</v>
      </c>
      <c r="C268" s="53" t="s">
        <v>38</v>
      </c>
      <c r="D268" s="53"/>
      <c r="E268" s="53"/>
      <c r="F268" s="53"/>
      <c r="G268" s="54" t="s">
        <v>27</v>
      </c>
      <c r="H268" s="112">
        <f>J269</f>
        <v>270</v>
      </c>
      <c r="I268" s="601">
        <f>H269/100</f>
        <v>1.645</v>
      </c>
      <c r="J268" s="651">
        <f>IF(DC269=0,"-",DC269)</f>
        <v>1.57</v>
      </c>
      <c r="K268" s="123" t="str">
        <f>A268</f>
        <v>Mohawk II</v>
      </c>
      <c r="L268" s="116"/>
      <c r="M268" s="116"/>
      <c r="N268" s="92"/>
      <c r="O268" s="165"/>
      <c r="P268" s="165"/>
      <c r="Q268" s="165"/>
      <c r="R268" s="165">
        <v>68</v>
      </c>
      <c r="S268" s="165"/>
      <c r="T268" s="165"/>
      <c r="U268" s="165">
        <v>46</v>
      </c>
      <c r="V268" s="560"/>
      <c r="W268" s="560"/>
      <c r="X268" s="165"/>
      <c r="Y268" s="165"/>
      <c r="Z268" s="165"/>
      <c r="AA268" s="165"/>
      <c r="AB268" s="165"/>
      <c r="AC268" s="165"/>
      <c r="AD268" s="165"/>
      <c r="AE268" s="165">
        <v>116.5</v>
      </c>
      <c r="AF268" s="177">
        <f>BmStor-BmStor/6</f>
        <v>97.083333333333329</v>
      </c>
      <c r="AG268" s="552">
        <v>39.5</v>
      </c>
      <c r="AH268" s="244">
        <v>23.38</v>
      </c>
      <c r="AI268" s="244">
        <v>23.38</v>
      </c>
      <c r="AJ268" s="554"/>
      <c r="AK268" s="339"/>
      <c r="AL268" s="268"/>
      <c r="AM268" s="339"/>
      <c r="AN268" s="270" t="s">
        <v>214</v>
      </c>
      <c r="AO268" s="45">
        <f>VLOOKUP(AN268,Skrogform!$1:$1048576,3,FALSE)</f>
        <v>1</v>
      </c>
      <c r="AP268" s="258">
        <v>24.38</v>
      </c>
      <c r="AQ268" s="258">
        <v>19.25</v>
      </c>
      <c r="AR268" s="258">
        <v>4.45</v>
      </c>
      <c r="AS268" s="258">
        <v>3.2</v>
      </c>
      <c r="AT268" s="637">
        <f>AU268</f>
        <v>70</v>
      </c>
      <c r="AU268" s="258">
        <v>70</v>
      </c>
      <c r="AV268" s="258">
        <v>22</v>
      </c>
      <c r="AW268" s="258"/>
      <c r="AX268" s="253"/>
      <c r="AY268" s="253">
        <v>125</v>
      </c>
      <c r="AZ268" s="253">
        <v>800</v>
      </c>
      <c r="BA268" s="253"/>
      <c r="BB268" s="253"/>
      <c r="BC268" s="244">
        <f>Depl+Diesel/1000*0.84+Vann/1000</f>
        <v>70</v>
      </c>
      <c r="BD268" s="95">
        <f>Bredde/(Loa+Lwl)*2</f>
        <v>0.20398808159523266</v>
      </c>
      <c r="BE268" s="95">
        <f>(Kjøl+Ballast)/Depl</f>
        <v>0.31428571428571428</v>
      </c>
      <c r="BF268" s="260">
        <f>BF$7*((Depl-Kjøl-Ballast-VektMotor/1000-VektAnnet/1000)/Lwl/Lwl/Bredde)</f>
        <v>1.0801899783216928</v>
      </c>
      <c r="BG268" s="95">
        <f>BG$7*(Depl/Loa/Lwl/Lwl)</f>
        <v>0.57018673056379066</v>
      </c>
      <c r="BH268" s="174">
        <f>BH$7*(Depl/Loa/Lwl/Bredde)</f>
        <v>0.9117171847518144</v>
      </c>
      <c r="BI268" s="95">
        <f>BI$7*Bredde/(Loa+Lwl)*2</f>
        <v>0.58191438760446479</v>
      </c>
      <c r="BJ268" s="95">
        <f>BJ$7*(Dypg/Lwl)</f>
        <v>0.90922642574816492</v>
      </c>
      <c r="BK268" s="70" t="s">
        <v>21</v>
      </c>
      <c r="BL268" s="271"/>
      <c r="BM268" s="271"/>
      <c r="BN268" s="45">
        <f t="shared" si="2291"/>
        <v>1</v>
      </c>
      <c r="BO268" s="59"/>
      <c r="BP268" s="59"/>
      <c r="BR268" s="209"/>
      <c r="BS268" s="209"/>
      <c r="BT268" s="209" t="str">
        <f>$A268</f>
        <v>Mohawk II</v>
      </c>
      <c r="BU268" s="10"/>
      <c r="BV268" s="10"/>
      <c r="BW268" s="10"/>
      <c r="BX268" s="10"/>
      <c r="BY268" s="549"/>
      <c r="BZ268" s="10"/>
      <c r="CA268" s="10"/>
      <c r="CB268" s="209" t="str">
        <f>$A268</f>
        <v>Mohawk II</v>
      </c>
      <c r="CC268" s="10"/>
      <c r="CD268" s="10"/>
      <c r="CE268" s="10"/>
      <c r="CF268" s="10"/>
      <c r="CG268" s="10"/>
      <c r="CH268" s="10"/>
      <c r="CI268" s="10"/>
      <c r="CJ268" s="10"/>
      <c r="CK268" s="10"/>
      <c r="CL268" s="209"/>
      <c r="CM268" s="10"/>
      <c r="CN268" s="209" t="str">
        <f>$A268</f>
        <v>Mohawk II</v>
      </c>
      <c r="CO268" s="207"/>
      <c r="CP268" s="207"/>
      <c r="CQ268" s="116"/>
      <c r="CR268" s="207"/>
      <c r="CS268" s="203"/>
      <c r="CT268" s="203" t="s">
        <v>23</v>
      </c>
      <c r="CU268" s="107" t="str">
        <f t="shared" si="1267"/>
        <v>-</v>
      </c>
      <c r="CV268" s="62" t="str">
        <f t="shared" si="2119"/>
        <v>-</v>
      </c>
      <c r="CW268" s="62" t="str">
        <f t="shared" si="1268"/>
        <v>-</v>
      </c>
      <c r="CX268" s="62" t="str">
        <f t="shared" si="2120"/>
        <v>-</v>
      </c>
      <c r="CY268" s="107" t="str">
        <f t="shared" si="1269"/>
        <v>-</v>
      </c>
      <c r="CZ268" s="168">
        <f t="shared" si="2209"/>
        <v>1.5588235294117647</v>
      </c>
      <c r="DA268" s="158">
        <v>1.25</v>
      </c>
      <c r="DB268" s="168" t="str">
        <f t="shared" si="2289"/>
        <v>-</v>
      </c>
      <c r="DC268" s="160">
        <v>1.57</v>
      </c>
      <c r="DD268" s="190" t="s">
        <v>134</v>
      </c>
      <c r="DE268" s="29" t="s">
        <v>23</v>
      </c>
      <c r="DF268" s="29" t="s">
        <v>23</v>
      </c>
      <c r="DG268" s="29" t="s">
        <v>23</v>
      </c>
      <c r="DH268" s="149">
        <v>2022</v>
      </c>
      <c r="DI268" s="62" t="str">
        <f t="shared" si="2292"/>
        <v>-</v>
      </c>
      <c r="DJ268" s="47">
        <f t="shared" si="2293"/>
        <v>12.955465587044534</v>
      </c>
      <c r="DK268" s="48">
        <f t="shared" si="2294"/>
        <v>0</v>
      </c>
      <c r="DM268" s="107" t="str">
        <f t="shared" si="2295"/>
        <v>-</v>
      </c>
      <c r="DN268" s="141" t="str">
        <f t="shared" si="2448"/>
        <v>-</v>
      </c>
      <c r="DO268" s="107" t="e">
        <f t="shared" si="2297"/>
        <v>#REF!</v>
      </c>
      <c r="DP268" s="133" t="e">
        <f>IF(SeilBeregnet=0,#REF!,(SeilBeregnet^0.5/(Depl^0.3333))^DP$3*DP$7)</f>
        <v>#REF!</v>
      </c>
      <c r="DQ268" s="133" t="e">
        <f>IF(SeilBeregnet=0,#REF!,(SeilBeregnet^0.5/Lwl)^DQ$3*DQ$7)</f>
        <v>#REF!</v>
      </c>
      <c r="DR268" s="133" t="e">
        <f>IF(SeilBeregnet=0,#REF!,(0.1*Loa/Depl^0.3333)^DR$3*DR$7)</f>
        <v>#REF!</v>
      </c>
      <c r="DS268" s="133" t="e">
        <f>IF(SeilBeregnet=0,#REF!,((Loa)/Bredde)^DS$3*DS$7)</f>
        <v>#REF!</v>
      </c>
      <c r="DT268" s="107" t="e">
        <f>IF(SeilBeregnet=0,#REF!,(Lwl)^DT$3)</f>
        <v>#REF!</v>
      </c>
      <c r="DU268" s="133" t="e">
        <f>IF(SeilBeregnet=0,#REF!,(Dypg/Loa)^DU$3*5*DU$7)</f>
        <v>#REF!</v>
      </c>
      <c r="DW268" s="107" t="str">
        <f t="shared" si="417"/>
        <v>-</v>
      </c>
      <c r="DX268" s="107" t="str">
        <f t="shared" si="2298"/>
        <v>-</v>
      </c>
      <c r="DZ268" s="107" t="str">
        <f t="shared" si="2299"/>
        <v>-</v>
      </c>
      <c r="EA268" s="122" t="str">
        <f t="shared" si="2449"/>
        <v>-</v>
      </c>
      <c r="EB268" s="107" t="str">
        <f t="shared" si="2301"/>
        <v>-</v>
      </c>
      <c r="EC268" s="122" t="str">
        <f t="shared" si="2450"/>
        <v>-</v>
      </c>
      <c r="ED268" s="107">
        <f t="shared" si="2328"/>
        <v>3.6067481760418643</v>
      </c>
      <c r="EE268" s="107">
        <f t="shared" si="2329"/>
        <v>2.1614257140723043</v>
      </c>
      <c r="EF268" s="107">
        <f t="shared" si="2330"/>
        <v>1.6310844383437393</v>
      </c>
      <c r="EH268" s="107" t="str">
        <f t="shared" si="2303"/>
        <v>-</v>
      </c>
      <c r="EJ268" s="107">
        <f t="shared" si="2331"/>
        <v>3.6067481760418643</v>
      </c>
      <c r="EK268" s="107">
        <f t="shared" si="2332"/>
        <v>2.1615756704798308</v>
      </c>
      <c r="EL268" s="107">
        <f t="shared" si="2333"/>
        <v>1.9198778385445259</v>
      </c>
      <c r="EM268" s="107" t="str">
        <f t="shared" si="2304"/>
        <v>-</v>
      </c>
      <c r="EO268" s="107">
        <f t="shared" si="2334"/>
        <v>5.8829108229665499</v>
      </c>
      <c r="EP268" s="107">
        <f t="shared" si="2335"/>
        <v>3.6067481760418643</v>
      </c>
      <c r="EQ268" s="107">
        <f t="shared" si="2336"/>
        <v>1.6310844383437393</v>
      </c>
      <c r="ER268" s="107">
        <f t="shared" si="2337"/>
        <v>1.7827085337805899</v>
      </c>
      <c r="ES268" s="107" t="str">
        <f t="shared" si="2305"/>
        <v>-</v>
      </c>
      <c r="EU268" s="107">
        <f t="shared" si="2338"/>
        <v>1.9387741754083276</v>
      </c>
      <c r="EV268" s="107">
        <f t="shared" si="2339"/>
        <v>3.6067481760418643</v>
      </c>
      <c r="EW268" s="107">
        <f t="shared" si="2340"/>
        <v>1.0421701543231365</v>
      </c>
      <c r="EX268" s="107">
        <f t="shared" si="2341"/>
        <v>1.8035218860491042</v>
      </c>
      <c r="EY268" s="107" t="str">
        <f t="shared" si="2306"/>
        <v>-</v>
      </c>
      <c r="FA268" s="107">
        <f t="shared" si="2307"/>
        <v>1.9388396477098073</v>
      </c>
      <c r="FB268" s="107">
        <f t="shared" si="2342"/>
        <v>3.6069917795457607</v>
      </c>
      <c r="FC268" s="107">
        <f t="shared" si="2343"/>
        <v>1.0421701543231365</v>
      </c>
      <c r="FD268" s="107">
        <f t="shared" si="2344"/>
        <v>1.8035218860491042</v>
      </c>
      <c r="FE268" s="107" t="str">
        <f t="shared" si="2308"/>
        <v>-</v>
      </c>
      <c r="FF268" s="141" t="str">
        <f t="shared" si="2439"/>
        <v>-</v>
      </c>
      <c r="FG268" s="107">
        <f t="shared" si="2310"/>
        <v>3.9176209720483097</v>
      </c>
      <c r="FH268" s="133">
        <f t="shared" si="2345"/>
        <v>3.6069917795457607</v>
      </c>
      <c r="FI268" s="133">
        <f t="shared" si="2346"/>
        <v>1.0861186305619104</v>
      </c>
      <c r="FJ268" s="107">
        <f t="shared" si="2347"/>
        <v>1.014194887410651</v>
      </c>
      <c r="FK268" s="107" t="str">
        <f t="shared" si="2311"/>
        <v>-</v>
      </c>
      <c r="FL268" s="141" t="str">
        <f t="shared" si="2440"/>
        <v>-</v>
      </c>
      <c r="FM268" s="107">
        <f t="shared" si="2313"/>
        <v>5.8123261408589073</v>
      </c>
      <c r="FN268" s="133">
        <f t="shared" si="2348"/>
        <v>3.6069917795457607</v>
      </c>
      <c r="FO268" s="133">
        <f t="shared" si="2349"/>
        <v>0.7563086306719885</v>
      </c>
      <c r="FP268" s="133">
        <f t="shared" si="2350"/>
        <v>1.9490257306411576</v>
      </c>
      <c r="FQ268" s="107">
        <f t="shared" si="2351"/>
        <v>1.7827085337805899</v>
      </c>
      <c r="FR268" s="107" t="str">
        <f t="shared" si="2314"/>
        <v>-</v>
      </c>
      <c r="FS268" s="141" t="str">
        <f t="shared" si="2441"/>
        <v>-</v>
      </c>
      <c r="FT268" s="107">
        <f t="shared" si="2316"/>
        <v>7.0301197885458251</v>
      </c>
      <c r="FU268" s="133">
        <f t="shared" si="2352"/>
        <v>3.6069917795457607</v>
      </c>
      <c r="FV268" s="133">
        <f t="shared" si="2353"/>
        <v>1.9490257306411576</v>
      </c>
      <c r="FW268" s="107">
        <f t="shared" si="2354"/>
        <v>1.7827085337805899</v>
      </c>
      <c r="FY268" s="336">
        <v>1</v>
      </c>
      <c r="FZ268" s="62" t="str">
        <f t="shared" si="2074"/>
        <v>-</v>
      </c>
      <c r="GA268" s="62">
        <f t="shared" si="2075"/>
        <v>1.8114574736479772</v>
      </c>
      <c r="GB268" s="107" t="str">
        <f t="shared" si="1270"/>
        <v>-</v>
      </c>
      <c r="GC268" s="441"/>
      <c r="GD268" s="57"/>
      <c r="GE268" s="436"/>
      <c r="GF268" s="75"/>
      <c r="GG268" s="57"/>
      <c r="GH268" s="57"/>
      <c r="GI268" s="57"/>
      <c r="GJ268" s="57"/>
      <c r="GL268" s="57" t="s">
        <v>478</v>
      </c>
      <c r="GM268" s="436" t="s">
        <v>478</v>
      </c>
      <c r="GN268" s="58" t="s">
        <v>478</v>
      </c>
      <c r="GO268" s="58" t="s">
        <v>478</v>
      </c>
      <c r="GP268" s="58" t="s">
        <v>478</v>
      </c>
      <c r="GQ268" s="58" t="s">
        <v>478</v>
      </c>
      <c r="GS268" s="57"/>
      <c r="GT268" s="57"/>
      <c r="GU268" s="57"/>
      <c r="GV268" s="632"/>
      <c r="GW268" s="57"/>
      <c r="GX268" s="57"/>
      <c r="GY268" s="57"/>
      <c r="GZ268" s="57"/>
    </row>
    <row r="269" spans="1:208" ht="15.6" x14ac:dyDescent="0.3">
      <c r="A269" s="60" t="s">
        <v>64</v>
      </c>
      <c r="B269" s="218"/>
      <c r="C269" s="61" t="str">
        <f>C268</f>
        <v>Bermuda</v>
      </c>
      <c r="D269" s="61"/>
      <c r="E269" s="61"/>
      <c r="F269" s="61"/>
      <c r="G269" s="54"/>
      <c r="H269" s="204">
        <f>IF(StH=0,0,TBFavrundet)</f>
        <v>164.5</v>
      </c>
      <c r="I269" s="63">
        <f>COUNTA(O269:AG269)</f>
        <v>4</v>
      </c>
      <c r="J269" s="222">
        <f>SUM(O269:AG269)</f>
        <v>270</v>
      </c>
      <c r="K269" s="116">
        <f>Seilareal/Depl^0.667/K$7</f>
        <v>1.4710889724394054</v>
      </c>
      <c r="L269" s="116">
        <f>Seilareal/Lwl/Lwl/L$7</f>
        <v>1.1055522435751792</v>
      </c>
      <c r="M269" s="92">
        <f>RiggF</f>
        <v>0.85118055555555561</v>
      </c>
      <c r="N269" s="242">
        <f>StHfaktor</f>
        <v>1.0245937954416011</v>
      </c>
      <c r="O269" s="143"/>
      <c r="P269" s="143"/>
      <c r="Q269" s="143"/>
      <c r="R269" s="165">
        <v>68</v>
      </c>
      <c r="S269" s="143"/>
      <c r="T269" s="143"/>
      <c r="U269" s="165">
        <v>46</v>
      </c>
      <c r="V269" s="560"/>
      <c r="W269" s="560"/>
      <c r="X269" s="143"/>
      <c r="Y269" s="143"/>
      <c r="Z269" s="143"/>
      <c r="AA269" s="143"/>
      <c r="AB269" s="143"/>
      <c r="AC269" s="143"/>
      <c r="AD269" s="143"/>
      <c r="AE269" s="165">
        <v>116.5</v>
      </c>
      <c r="AF269" s="143"/>
      <c r="AG269" s="552">
        <v>39.5</v>
      </c>
      <c r="AH269" s="555">
        <f t="shared" ref="AH269:AI269" si="2471">AH268</f>
        <v>23.38</v>
      </c>
      <c r="AI269" s="555">
        <f t="shared" si="2471"/>
        <v>23.38</v>
      </c>
      <c r="AJ269" s="337">
        <f t="shared" ref="AJ269:AL272" si="2472" xml:space="preserve"> AJ268</f>
        <v>0</v>
      </c>
      <c r="AK269" s="339"/>
      <c r="AL269" s="337">
        <f t="shared" si="2472"/>
        <v>0</v>
      </c>
      <c r="AM269" s="339"/>
      <c r="AN269" s="267" t="str">
        <f t="shared" ref="AN269" si="2473" xml:space="preserve"> AN268</f>
        <v>Meter</v>
      </c>
      <c r="AO269" s="45">
        <f>VLOOKUP(AN269,Skrogform!$1:$1048576,3,FALSE)</f>
        <v>1</v>
      </c>
      <c r="AP269" s="64">
        <f t="shared" ref="AP269:AZ269" si="2474">AP268</f>
        <v>24.38</v>
      </c>
      <c r="AQ269" s="64">
        <f t="shared" si="2474"/>
        <v>19.25</v>
      </c>
      <c r="AR269" s="64">
        <f t="shared" si="2474"/>
        <v>4.45</v>
      </c>
      <c r="AS269" s="64">
        <f t="shared" si="2474"/>
        <v>3.2</v>
      </c>
      <c r="AT269" s="64">
        <f t="shared" ref="AT269" si="2475">AT268</f>
        <v>70</v>
      </c>
      <c r="AU269" s="64">
        <f t="shared" si="2474"/>
        <v>70</v>
      </c>
      <c r="AV269" s="64">
        <f t="shared" si="2474"/>
        <v>22</v>
      </c>
      <c r="AW269" s="64">
        <f t="shared" si="2474"/>
        <v>0</v>
      </c>
      <c r="AX269" s="256">
        <f>AX268</f>
        <v>0</v>
      </c>
      <c r="AY269" s="256">
        <f t="shared" si="2474"/>
        <v>125</v>
      </c>
      <c r="AZ269" s="256">
        <f t="shared" si="2474"/>
        <v>800</v>
      </c>
      <c r="BA269" s="256">
        <f t="shared" ref="BA269:BB269" si="2476">BA268</f>
        <v>0</v>
      </c>
      <c r="BB269" s="256">
        <f t="shared" si="2476"/>
        <v>0</v>
      </c>
      <c r="BC269" s="256"/>
      <c r="BD269" s="66"/>
      <c r="BE269" s="66"/>
      <c r="BF269" s="261"/>
      <c r="BG269" s="66"/>
      <c r="BH269" s="175"/>
      <c r="BI269" s="66"/>
      <c r="BJ269" s="66"/>
      <c r="BK269" s="65" t="str">
        <f t="shared" ref="BK269:BM269" si="2477" xml:space="preserve"> BK268</f>
        <v>Seilrett</v>
      </c>
      <c r="BL269" s="267">
        <f t="shared" si="2477"/>
        <v>0</v>
      </c>
      <c r="BM269" s="267">
        <f t="shared" si="2477"/>
        <v>0</v>
      </c>
      <c r="BN269" s="45">
        <f t="shared" si="2291"/>
        <v>1</v>
      </c>
      <c r="BO269" s="59"/>
      <c r="BP269" s="59"/>
      <c r="BR269" s="49">
        <f t="shared" ref="BR269:BX272" si="2478">IF(O269=0,0,O269*BR$9)</f>
        <v>0</v>
      </c>
      <c r="BS269" s="49">
        <f t="shared" si="2478"/>
        <v>0</v>
      </c>
      <c r="BT269" s="49">
        <f t="shared" si="2478"/>
        <v>0</v>
      </c>
      <c r="BU269" s="49">
        <f t="shared" si="2478"/>
        <v>68</v>
      </c>
      <c r="BV269" s="49">
        <f t="shared" si="2478"/>
        <v>0</v>
      </c>
      <c r="BW269" s="49">
        <f t="shared" si="2478"/>
        <v>0</v>
      </c>
      <c r="BX269" s="49">
        <f t="shared" si="2478"/>
        <v>46</v>
      </c>
      <c r="BY269" s="549">
        <f>IF(COUNT(Q269:U269)&gt;1,MINA(Q269:U269)*BY$9,0)</f>
        <v>-23</v>
      </c>
      <c r="BZ269" s="85">
        <f t="shared" ref="BZ269:CD272" si="2479">IF(V269=0,0,V269*BZ$9)</f>
        <v>0</v>
      </c>
      <c r="CA269" s="85">
        <f t="shared" si="2479"/>
        <v>0</v>
      </c>
      <c r="CB269" s="85">
        <f t="shared" si="2479"/>
        <v>0</v>
      </c>
      <c r="CC269" s="85">
        <f t="shared" si="2479"/>
        <v>0</v>
      </c>
      <c r="CD269" s="85">
        <f t="shared" si="2479"/>
        <v>0</v>
      </c>
      <c r="CE269" s="85">
        <f>IF(AC269=0,0,AC269*CE$9)</f>
        <v>0</v>
      </c>
      <c r="CF269" s="85">
        <f t="shared" ref="CF269:CG272" si="2480">IF(AA269=0,0,AA269*CF$9)</f>
        <v>0</v>
      </c>
      <c r="CG269" s="85">
        <f t="shared" si="2480"/>
        <v>0</v>
      </c>
      <c r="CH269" s="85">
        <f t="shared" ref="CH269:CK272" si="2481">IF(AD269=0,0,AD269*CH$9)</f>
        <v>0</v>
      </c>
      <c r="CI269" s="85">
        <f t="shared" si="2481"/>
        <v>110.675</v>
      </c>
      <c r="CJ269" s="85">
        <f t="shared" si="2481"/>
        <v>0</v>
      </c>
      <c r="CK269" s="85">
        <f t="shared" si="2481"/>
        <v>28.143749999999997</v>
      </c>
      <c r="CL269" s="100">
        <f>SUM(BR269:CK269)</f>
        <v>229.81875000000002</v>
      </c>
      <c r="CM269" s="50"/>
      <c r="CN269" s="106">
        <f>J269</f>
        <v>270</v>
      </c>
      <c r="CO269" s="101">
        <f t="shared" ref="CO269:CO271" si="2482">CL269/CN269</f>
        <v>0.85118055555555561</v>
      </c>
      <c r="CP269" s="51">
        <f>Seilareal/Lwl/Lwl</f>
        <v>0.72862202732332604</v>
      </c>
      <c r="CQ269" s="116">
        <f>Seilareal/Depl^0.667/K$7</f>
        <v>1.4710889724394054</v>
      </c>
      <c r="CR269" s="51">
        <f>Seilareal/Lwl/Lwl/SApRS1</f>
        <v>1.1055522435751792</v>
      </c>
      <c r="CS269" s="204"/>
      <c r="CT269" s="204">
        <f>(ROUND(TBF/CT$6,3)*CT$6)*CT$4</f>
        <v>164.5</v>
      </c>
      <c r="CU269" s="107">
        <f t="shared" si="1267"/>
        <v>1.646988828583684</v>
      </c>
      <c r="CV269" s="62">
        <f t="shared" si="2119"/>
        <v>3.7652927377669441</v>
      </c>
      <c r="CW269" s="62">
        <f t="shared" si="1268"/>
        <v>2.214101892644337</v>
      </c>
      <c r="CX269" s="62">
        <f t="shared" si="2120"/>
        <v>2.0946317561079946</v>
      </c>
      <c r="CY269" s="107">
        <f t="shared" si="1269"/>
        <v>1.0245937954416011</v>
      </c>
      <c r="CZ269" s="168">
        <f t="shared" si="2209"/>
        <v>1.5588235294117647</v>
      </c>
      <c r="DA269" s="159">
        <f>DA268</f>
        <v>1.25</v>
      </c>
      <c r="DB269" s="168">
        <f t="shared" si="2289"/>
        <v>1.459824561403509</v>
      </c>
      <c r="DC269" s="159">
        <f>DC268</f>
        <v>1.57</v>
      </c>
      <c r="DD269" s="190" t="s">
        <v>134</v>
      </c>
      <c r="DE269" s="62">
        <v>1.41</v>
      </c>
      <c r="DF269" s="62">
        <v>1.18</v>
      </c>
      <c r="DG269" s="62">
        <v>1.32</v>
      </c>
      <c r="DH269" s="150">
        <v>1.37</v>
      </c>
      <c r="DI269" s="62">
        <f t="shared" si="2292"/>
        <v>1.9052944181583571</v>
      </c>
      <c r="DJ269" s="47">
        <f t="shared" si="2293"/>
        <v>12.955465587044534</v>
      </c>
      <c r="DK269" s="48">
        <f t="shared" si="2294"/>
        <v>0</v>
      </c>
      <c r="DM269" s="107">
        <f t="shared" si="2295"/>
        <v>1.5634922001413856</v>
      </c>
      <c r="DN269" s="142">
        <f t="shared" si="2448"/>
        <v>-8.349662844229865</v>
      </c>
      <c r="DO269" s="107">
        <f t="shared" si="2297"/>
        <v>6.0195822148159266</v>
      </c>
      <c r="DP269" s="133">
        <f>IF(SeilBeregnet=0,DP268,(SeilBeregnet^0.5/(Depl^0.3333))^DP$3*DP$7)</f>
        <v>3.6789302361157055</v>
      </c>
      <c r="DQ269" s="133">
        <f>IF(SeilBeregnet=0,DQ268,(SeilBeregnet^0.5/Lwl)^DQ$3*DQ$7)</f>
        <v>0</v>
      </c>
      <c r="DR269" s="133">
        <f>IF(SeilBeregnet=0,DR268,(0.1*Loa/Depl^0.3333)^DR$3*DR$7)</f>
        <v>0</v>
      </c>
      <c r="DS269" s="133">
        <f>IF(SeilBeregnet=0,DS268,((Loa)/Bredde)^DS$3*DS$7)</f>
        <v>2.3406519787002207</v>
      </c>
      <c r="DT269" s="107">
        <f>IF(SeilBeregnet=0,DT268,(Lwl)^DT$3)</f>
        <v>2.0946317561079946</v>
      </c>
      <c r="DU269" s="133">
        <f>IF(SeilBeregnet=0,DU268,(Dypg/Loa)^DU$3*5*DU$7)</f>
        <v>1.8114574736479772</v>
      </c>
      <c r="DW269" s="107">
        <f t="shared" si="417"/>
        <v>1.6469888285836842</v>
      </c>
      <c r="DX269" s="107">
        <f t="shared" si="2298"/>
        <v>1.5786364530357724</v>
      </c>
      <c r="DY269" s="122">
        <f>DX269-DW269</f>
        <v>-6.8352375547911848E-2</v>
      </c>
      <c r="DZ269" s="107">
        <f t="shared" si="2299"/>
        <v>1.6082162847026666</v>
      </c>
      <c r="EA269" s="122">
        <f t="shared" si="2449"/>
        <v>-3.8772543881017585E-2</v>
      </c>
      <c r="EB269" s="107">
        <f t="shared" si="2301"/>
        <v>1.6360188647743745</v>
      </c>
      <c r="EC269" s="122">
        <f t="shared" si="2450"/>
        <v>-1.0969963809309702E-2</v>
      </c>
      <c r="ED269" s="107">
        <f t="shared" si="2328"/>
        <v>3.6784613684679499</v>
      </c>
      <c r="EE269" s="107">
        <f t="shared" si="2329"/>
        <v>2.6797900088404343</v>
      </c>
      <c r="EF269" s="107">
        <f t="shared" si="2330"/>
        <v>1.7695233609798884</v>
      </c>
      <c r="EH269" s="107">
        <f t="shared" si="2303"/>
        <v>1.6319267292134789</v>
      </c>
      <c r="EJ269" s="107">
        <f t="shared" si="2331"/>
        <v>3.6784613684679499</v>
      </c>
      <c r="EK269" s="107">
        <f t="shared" si="2332"/>
        <v>2.6800277846463949</v>
      </c>
      <c r="EL269" s="107">
        <f t="shared" si="2333"/>
        <v>2.1401391899601916</v>
      </c>
      <c r="EM269" s="107">
        <f t="shared" si="2304"/>
        <v>1.5886277325966482</v>
      </c>
      <c r="EO269" s="107">
        <f t="shared" si="2334"/>
        <v>6.5091233239660866</v>
      </c>
      <c r="EP269" s="107">
        <f t="shared" si="2335"/>
        <v>3.6784613684679499</v>
      </c>
      <c r="EQ269" s="107">
        <f t="shared" si="2336"/>
        <v>1.7695233609798884</v>
      </c>
      <c r="ER269" s="107">
        <f t="shared" si="2337"/>
        <v>2.0946317561079946</v>
      </c>
      <c r="ES269" s="107">
        <f t="shared" si="2305"/>
        <v>1.5815742781576101</v>
      </c>
      <c r="EU269" s="107">
        <f t="shared" si="2338"/>
        <v>2.0393527067519996</v>
      </c>
      <c r="EV269" s="107">
        <f t="shared" si="2339"/>
        <v>3.6784613684679499</v>
      </c>
      <c r="EW269" s="107">
        <f t="shared" si="2340"/>
        <v>1.1306247493007873</v>
      </c>
      <c r="EX269" s="107">
        <f t="shared" si="2341"/>
        <v>2.1352975404230423</v>
      </c>
      <c r="EY269" s="107">
        <f t="shared" si="2306"/>
        <v>1.4643424072717113</v>
      </c>
      <c r="FA269" s="107">
        <f t="shared" si="2307"/>
        <v>2.0394826735972544</v>
      </c>
      <c r="FB269" s="107">
        <f t="shared" si="2342"/>
        <v>3.6789302361157055</v>
      </c>
      <c r="FC269" s="107">
        <f t="shared" si="2343"/>
        <v>1.1306247493007873</v>
      </c>
      <c r="FD269" s="107">
        <f t="shared" si="2344"/>
        <v>2.1352975404230423</v>
      </c>
      <c r="FE269" s="107">
        <f t="shared" si="2308"/>
        <v>1.6901893927346769</v>
      </c>
      <c r="FF269" s="141">
        <f t="shared" si="2439"/>
        <v>4.3200564150992715</v>
      </c>
      <c r="FG269" s="107">
        <f t="shared" si="2310"/>
        <v>4.7028218589750246</v>
      </c>
      <c r="FH269" s="133">
        <f t="shared" si="2345"/>
        <v>3.6789302361157055</v>
      </c>
      <c r="FI269" s="133">
        <f t="shared" si="2346"/>
        <v>1.2783123237314677</v>
      </c>
      <c r="FJ269" s="107">
        <f t="shared" si="2347"/>
        <v>1.2007660485571867</v>
      </c>
      <c r="FK269" s="107">
        <f t="shared" si="2311"/>
        <v>1.5721159162423797</v>
      </c>
      <c r="FL269" s="141">
        <f t="shared" si="2440"/>
        <v>-7.4872912341304554</v>
      </c>
      <c r="FM269" s="107">
        <f t="shared" si="2313"/>
        <v>6.3071029459761183</v>
      </c>
      <c r="FN269" s="133">
        <f t="shared" si="2348"/>
        <v>3.6789302361157055</v>
      </c>
      <c r="FO269" s="133">
        <f t="shared" si="2349"/>
        <v>0.78752073116019239</v>
      </c>
      <c r="FP269" s="133">
        <f t="shared" si="2350"/>
        <v>2.3406519787002207</v>
      </c>
      <c r="FQ269" s="107">
        <f t="shared" si="2351"/>
        <v>2.0946317561079946</v>
      </c>
      <c r="FR269" s="107">
        <f t="shared" si="2314"/>
        <v>1.6905984493748785</v>
      </c>
      <c r="FS269" s="141">
        <f t="shared" si="2441"/>
        <v>4.3609620791194237</v>
      </c>
      <c r="FT269" s="107">
        <f t="shared" si="2316"/>
        <v>8.6110953366642953</v>
      </c>
      <c r="FU269" s="133">
        <f t="shared" si="2352"/>
        <v>3.6789302361157055</v>
      </c>
      <c r="FV269" s="133">
        <f t="shared" si="2353"/>
        <v>2.3406519787002207</v>
      </c>
      <c r="FW269" s="107">
        <f t="shared" si="2354"/>
        <v>2.0946317561079946</v>
      </c>
      <c r="FY269" s="336">
        <v>1</v>
      </c>
      <c r="FZ269" s="62">
        <f t="shared" si="2074"/>
        <v>1.5340962320077995</v>
      </c>
      <c r="GA269" s="62">
        <f t="shared" si="2075"/>
        <v>1.8114574736479772</v>
      </c>
      <c r="GB269" s="107">
        <f t="shared" si="1270"/>
        <v>1.3103523901125476</v>
      </c>
      <c r="GC269" s="440"/>
      <c r="GD269" s="17"/>
      <c r="GE269" s="442"/>
      <c r="GF269" s="462"/>
      <c r="GG269" s="17"/>
      <c r="GH269" s="17"/>
      <c r="GI269" s="17"/>
      <c r="GJ269" s="17"/>
      <c r="GL269" s="17"/>
      <c r="GM269" s="442"/>
      <c r="GN269" s="8"/>
      <c r="GO269" s="8"/>
      <c r="GP269" s="8"/>
      <c r="GQ269" s="8"/>
      <c r="GS269" s="17"/>
      <c r="GT269" s="17"/>
      <c r="GU269" s="17"/>
      <c r="GV269" s="629"/>
      <c r="GW269" s="17"/>
      <c r="GX269" s="17"/>
      <c r="GY269" s="17"/>
      <c r="GZ269" s="17"/>
    </row>
    <row r="270" spans="1:208" ht="15.6" x14ac:dyDescent="0.3">
      <c r="A270" s="60" t="s">
        <v>138</v>
      </c>
      <c r="B270" s="218"/>
      <c r="C270" s="61" t="str">
        <f>C269</f>
        <v>Bermuda</v>
      </c>
      <c r="D270" s="61"/>
      <c r="E270" s="61"/>
      <c r="F270" s="61"/>
      <c r="G270" s="54"/>
      <c r="H270" s="204">
        <f>IF(StH=0,0,TBFavrundet)</f>
        <v>160</v>
      </c>
      <c r="I270" s="63">
        <f>COUNTA(O270:AG270)</f>
        <v>4</v>
      </c>
      <c r="J270" s="222">
        <f>SUM(O270:AG270)</f>
        <v>250.5</v>
      </c>
      <c r="K270" s="116">
        <f>Seilareal/Depl^0.667/K$7</f>
        <v>1.3648436577632261</v>
      </c>
      <c r="L270" s="116">
        <f>Seilareal/Lwl/Lwl/L$7</f>
        <v>1.0257068037614163</v>
      </c>
      <c r="M270" s="92">
        <f>RiggF</f>
        <v>0.83574351297405181</v>
      </c>
      <c r="N270" s="242">
        <f>StHfaktor</f>
        <v>1.0245937954416011</v>
      </c>
      <c r="O270" s="143"/>
      <c r="P270" s="143"/>
      <c r="Q270" s="143"/>
      <c r="R270" s="165">
        <v>68</v>
      </c>
      <c r="S270" s="143"/>
      <c r="T270" s="143"/>
      <c r="U270" s="165">
        <v>46</v>
      </c>
      <c r="V270" s="560"/>
      <c r="W270" s="560"/>
      <c r="X270" s="143"/>
      <c r="Y270" s="143"/>
      <c r="Z270" s="143"/>
      <c r="AA270" s="143"/>
      <c r="AB270" s="143"/>
      <c r="AC270" s="143"/>
      <c r="AD270" s="143"/>
      <c r="AE270" s="144"/>
      <c r="AF270" s="177">
        <v>97</v>
      </c>
      <c r="AG270" s="552">
        <v>39.5</v>
      </c>
      <c r="AH270" s="555">
        <f t="shared" ref="AH270:AI270" si="2483">AH269</f>
        <v>23.38</v>
      </c>
      <c r="AI270" s="555">
        <f t="shared" si="2483"/>
        <v>23.38</v>
      </c>
      <c r="AJ270" s="337">
        <f t="shared" si="2472"/>
        <v>0</v>
      </c>
      <c r="AK270" s="339"/>
      <c r="AL270" s="337">
        <f t="shared" si="2472"/>
        <v>0</v>
      </c>
      <c r="AM270" s="339"/>
      <c r="AN270" s="267" t="str">
        <f t="shared" ref="AN270" si="2484" xml:space="preserve"> AN269</f>
        <v>Meter</v>
      </c>
      <c r="AO270" s="45">
        <f>VLOOKUP(AN270,Skrogform!$1:$1048576,3,FALSE)</f>
        <v>1</v>
      </c>
      <c r="AP270" s="64">
        <f t="shared" ref="AP270:AZ270" si="2485">AP269</f>
        <v>24.38</v>
      </c>
      <c r="AQ270" s="64">
        <f t="shared" si="2485"/>
        <v>19.25</v>
      </c>
      <c r="AR270" s="64">
        <f t="shared" si="2485"/>
        <v>4.45</v>
      </c>
      <c r="AS270" s="64">
        <f t="shared" si="2485"/>
        <v>3.2</v>
      </c>
      <c r="AT270" s="64">
        <f t="shared" ref="AT270" si="2486">AT269</f>
        <v>70</v>
      </c>
      <c r="AU270" s="64">
        <f t="shared" si="2485"/>
        <v>70</v>
      </c>
      <c r="AV270" s="64">
        <f t="shared" si="2485"/>
        <v>22</v>
      </c>
      <c r="AW270" s="64">
        <f t="shared" si="2485"/>
        <v>0</v>
      </c>
      <c r="AX270" s="256">
        <f>AX269</f>
        <v>0</v>
      </c>
      <c r="AY270" s="256">
        <f t="shared" si="2485"/>
        <v>125</v>
      </c>
      <c r="AZ270" s="256">
        <f t="shared" si="2485"/>
        <v>800</v>
      </c>
      <c r="BA270" s="256">
        <f t="shared" ref="BA270:BB270" si="2487">BA269</f>
        <v>0</v>
      </c>
      <c r="BB270" s="256">
        <f t="shared" si="2487"/>
        <v>0</v>
      </c>
      <c r="BC270" s="256"/>
      <c r="BD270" s="66"/>
      <c r="BE270" s="66"/>
      <c r="BF270" s="261"/>
      <c r="BG270" s="66"/>
      <c r="BH270" s="175"/>
      <c r="BI270" s="66"/>
      <c r="BJ270" s="66"/>
      <c r="BK270" s="65" t="str">
        <f t="shared" ref="BK270:BM270" si="2488" xml:space="preserve"> BK269</f>
        <v>Seilrett</v>
      </c>
      <c r="BL270" s="267">
        <f t="shared" si="2488"/>
        <v>0</v>
      </c>
      <c r="BM270" s="267">
        <f t="shared" si="2488"/>
        <v>0</v>
      </c>
      <c r="BN270" s="45">
        <f t="shared" si="2291"/>
        <v>1</v>
      </c>
      <c r="BO270" s="59"/>
      <c r="BP270" s="59"/>
      <c r="BR270" s="49">
        <f t="shared" si="2478"/>
        <v>0</v>
      </c>
      <c r="BS270" s="49">
        <f t="shared" si="2478"/>
        <v>0</v>
      </c>
      <c r="BT270" s="49">
        <f t="shared" si="2478"/>
        <v>0</v>
      </c>
      <c r="BU270" s="49">
        <f t="shared" si="2478"/>
        <v>68</v>
      </c>
      <c r="BV270" s="49">
        <f t="shared" si="2478"/>
        <v>0</v>
      </c>
      <c r="BW270" s="49">
        <f t="shared" si="2478"/>
        <v>0</v>
      </c>
      <c r="BX270" s="49">
        <f t="shared" si="2478"/>
        <v>46</v>
      </c>
      <c r="BY270" s="549">
        <f>IF(COUNT(Q270:U270)&gt;1,MINA(Q270:U270)*BY$9,0)</f>
        <v>-23</v>
      </c>
      <c r="BZ270" s="85">
        <f t="shared" si="2479"/>
        <v>0</v>
      </c>
      <c r="CA270" s="85">
        <f t="shared" si="2479"/>
        <v>0</v>
      </c>
      <c r="CB270" s="85">
        <f t="shared" si="2479"/>
        <v>0</v>
      </c>
      <c r="CC270" s="85">
        <f t="shared" si="2479"/>
        <v>0</v>
      </c>
      <c r="CD270" s="85">
        <f t="shared" si="2479"/>
        <v>0</v>
      </c>
      <c r="CE270" s="85">
        <f>IF(AC270=0,0,AC270*CE$9)</f>
        <v>0</v>
      </c>
      <c r="CF270" s="85">
        <f t="shared" si="2480"/>
        <v>0</v>
      </c>
      <c r="CG270" s="85">
        <f t="shared" si="2480"/>
        <v>0</v>
      </c>
      <c r="CH270" s="85">
        <f t="shared" si="2481"/>
        <v>0</v>
      </c>
      <c r="CI270" s="85">
        <f t="shared" si="2481"/>
        <v>0</v>
      </c>
      <c r="CJ270" s="85">
        <f t="shared" si="2481"/>
        <v>90.210000000000008</v>
      </c>
      <c r="CK270" s="85">
        <f t="shared" si="2481"/>
        <v>28.143749999999997</v>
      </c>
      <c r="CL270" s="100">
        <f>SUM(BR270:CK270)</f>
        <v>209.35374999999999</v>
      </c>
      <c r="CM270" s="50"/>
      <c r="CN270" s="106">
        <f>J270</f>
        <v>250.5</v>
      </c>
      <c r="CO270" s="101">
        <f t="shared" ref="CO270" si="2489">CL270/CN270</f>
        <v>0.83574351297405181</v>
      </c>
      <c r="CP270" s="51">
        <f>Seilareal/Lwl/Lwl</f>
        <v>0.67599932534997476</v>
      </c>
      <c r="CQ270" s="116">
        <f>Seilareal/Depl^0.667/K$7</f>
        <v>1.3648436577632261</v>
      </c>
      <c r="CR270" s="51">
        <f>Seilareal/Lwl/Lwl/SApRS1</f>
        <v>1.0257068037614163</v>
      </c>
      <c r="CS270" s="204"/>
      <c r="CT270" s="204">
        <f>(ROUND(TBF/CT$6,3)*CT$6)*CT$4</f>
        <v>160</v>
      </c>
      <c r="CU270" s="107">
        <f t="shared" si="1267"/>
        <v>1.5997350421368677</v>
      </c>
      <c r="CV270" s="62">
        <f t="shared" si="2119"/>
        <v>3.5937378176345036</v>
      </c>
      <c r="CW270" s="62">
        <f t="shared" si="1268"/>
        <v>2.214101892644337</v>
      </c>
      <c r="CX270" s="62">
        <f t="shared" si="2120"/>
        <v>2.0946317561079946</v>
      </c>
      <c r="CY270" s="107">
        <f t="shared" si="1269"/>
        <v>1.0245937954416011</v>
      </c>
      <c r="CZ270" s="168">
        <f t="shared" si="2209"/>
        <v>1.5588235294117647</v>
      </c>
      <c r="DA270" s="159">
        <f>DA269</f>
        <v>1.25</v>
      </c>
      <c r="DB270" s="168">
        <f t="shared" si="2289"/>
        <v>1.459824561403509</v>
      </c>
      <c r="DC270" s="159">
        <f>DC269</f>
        <v>1.57</v>
      </c>
      <c r="DD270" s="190" t="s">
        <v>134</v>
      </c>
      <c r="DE270" s="62">
        <v>1.41</v>
      </c>
      <c r="DF270" s="62">
        <v>1.18</v>
      </c>
      <c r="DG270" s="62">
        <v>1.32</v>
      </c>
      <c r="DH270" s="150">
        <v>1.37</v>
      </c>
      <c r="DI270" s="62">
        <f t="shared" si="2292"/>
        <v>1.9052944181583571</v>
      </c>
      <c r="DJ270" s="47">
        <f t="shared" si="2293"/>
        <v>12.955465587044534</v>
      </c>
      <c r="DK270" s="48">
        <f t="shared" si="2294"/>
        <v>0</v>
      </c>
      <c r="DM270" s="107">
        <f t="shared" si="2295"/>
        <v>1.5199555156758855</v>
      </c>
      <c r="DN270" s="142">
        <f t="shared" ref="DN270" si="2490">IF($DY270=0,"-",(DM270-$DW270)*100)</f>
        <v>-7.9779526460981964</v>
      </c>
      <c r="DO270" s="107">
        <f t="shared" si="2297"/>
        <v>5.8519621579477965</v>
      </c>
      <c r="DP270" s="133">
        <f>IF(SeilBeregnet=0,DP269,(SeilBeregnet^0.5/(Depl^0.3333))^DP$3*DP$7)</f>
        <v>3.5113101792475758</v>
      </c>
      <c r="DQ270" s="133">
        <f>IF(SeilBeregnet=0,DQ269,(SeilBeregnet^0.5/Lwl)^DQ$3*DQ$7)</f>
        <v>0</v>
      </c>
      <c r="DR270" s="133">
        <f>IF(SeilBeregnet=0,DR269,(0.1*Loa/Depl^0.3333)^DR$3*DR$7)</f>
        <v>0</v>
      </c>
      <c r="DS270" s="133">
        <f>IF(SeilBeregnet=0,DS269,((Loa)/Bredde)^DS$3*DS$7)</f>
        <v>2.3406519787002207</v>
      </c>
      <c r="DT270" s="107">
        <f>IF(SeilBeregnet=0,DT269,(Lwl)^DT$3)</f>
        <v>2.0946317561079946</v>
      </c>
      <c r="DU270" s="133">
        <f>IF(SeilBeregnet=0,DU269,(Dypg/Loa)^DU$3*5*DU$7)</f>
        <v>1.8114574736479772</v>
      </c>
      <c r="DW270" s="107">
        <f t="shared" si="417"/>
        <v>1.5997350421368675</v>
      </c>
      <c r="DX270" s="107">
        <f t="shared" si="2298"/>
        <v>1.5178394853822161</v>
      </c>
      <c r="DY270" s="122">
        <f>DX270-DW270</f>
        <v>-8.1895556754651322E-2</v>
      </c>
      <c r="DZ270" s="107">
        <f t="shared" si="2299"/>
        <v>1.5537839388439867</v>
      </c>
      <c r="EA270" s="122">
        <f t="shared" ref="EA270" si="2491">IF($DY270=0,"-",DZ270-$DW270)</f>
        <v>-4.5951103292880768E-2</v>
      </c>
      <c r="EB270" s="107">
        <f t="shared" si="2301"/>
        <v>1.574230511579255</v>
      </c>
      <c r="EC270" s="122">
        <f t="shared" ref="EC270" si="2492">IF($DY270=0,"-",EB270-$DW270)</f>
        <v>-2.5504530557612481E-2</v>
      </c>
      <c r="ED270" s="107">
        <f t="shared" si="2328"/>
        <v>3.5108626742288283</v>
      </c>
      <c r="EE270" s="107">
        <f t="shared" si="2329"/>
        <v>2.6797900088404343</v>
      </c>
      <c r="EF270" s="107">
        <f t="shared" si="2330"/>
        <v>1.7695233609798884</v>
      </c>
      <c r="EH270" s="107">
        <f t="shared" si="2303"/>
        <v>1.5740358006621569</v>
      </c>
      <c r="EJ270" s="107">
        <f t="shared" si="2331"/>
        <v>3.5108626742288283</v>
      </c>
      <c r="EK270" s="107">
        <f t="shared" si="2332"/>
        <v>2.6800277846463949</v>
      </c>
      <c r="EL270" s="107">
        <f t="shared" si="2333"/>
        <v>2.1401391899601916</v>
      </c>
      <c r="EM270" s="107">
        <f t="shared" si="2304"/>
        <v>1.5332590420158818</v>
      </c>
      <c r="EO270" s="107">
        <f t="shared" si="2334"/>
        <v>6.2125535192402355</v>
      </c>
      <c r="EP270" s="107">
        <f t="shared" si="2335"/>
        <v>3.5108626742288283</v>
      </c>
      <c r="EQ270" s="107">
        <f t="shared" si="2336"/>
        <v>1.7695233609798884</v>
      </c>
      <c r="ER270" s="107">
        <f t="shared" si="2337"/>
        <v>2.0946317561079946</v>
      </c>
      <c r="ES270" s="107">
        <f t="shared" si="2305"/>
        <v>1.5332848781331034</v>
      </c>
      <c r="EU270" s="107">
        <f t="shared" si="2338"/>
        <v>1.9923524364126595</v>
      </c>
      <c r="EV270" s="107">
        <f t="shared" si="2339"/>
        <v>3.5108626742288283</v>
      </c>
      <c r="EW270" s="107">
        <f t="shared" si="2340"/>
        <v>1.1306247493007873</v>
      </c>
      <c r="EX270" s="107">
        <f t="shared" si="2341"/>
        <v>2.1352975404230423</v>
      </c>
      <c r="EY270" s="107">
        <f t="shared" si="2306"/>
        <v>1.4305942043329738</v>
      </c>
      <c r="FA270" s="107">
        <f t="shared" si="2307"/>
        <v>1.9924794079561006</v>
      </c>
      <c r="FB270" s="107">
        <f t="shared" si="2342"/>
        <v>3.5113101792475758</v>
      </c>
      <c r="FC270" s="107">
        <f t="shared" si="2343"/>
        <v>1.1306247493007873</v>
      </c>
      <c r="FD270" s="107">
        <f t="shared" si="2344"/>
        <v>2.1352975404230423</v>
      </c>
      <c r="FE270" s="107">
        <f t="shared" si="2308"/>
        <v>1.6361586852828045</v>
      </c>
      <c r="FF270" s="141">
        <f t="shared" ref="FF270" si="2493">IF($DY270=0,"-",(FE270-$DW270)*100)</f>
        <v>3.6423643145937046</v>
      </c>
      <c r="FG270" s="107">
        <f t="shared" si="2310"/>
        <v>4.4885510745759252</v>
      </c>
      <c r="FH270" s="133">
        <f t="shared" si="2345"/>
        <v>3.5113101792475758</v>
      </c>
      <c r="FI270" s="133">
        <f t="shared" si="2346"/>
        <v>1.2783123237314677</v>
      </c>
      <c r="FJ270" s="107">
        <f t="shared" si="2347"/>
        <v>1.2007660485571867</v>
      </c>
      <c r="FK270" s="107">
        <f t="shared" si="2311"/>
        <v>1.5213909639978402</v>
      </c>
      <c r="FL270" s="141">
        <f t="shared" ref="FL270" si="2494">IF($DY270=0,"-",(FK270-$DW270)*100)</f>
        <v>-7.8344078139027218</v>
      </c>
      <c r="FM270" s="107">
        <f t="shared" si="2313"/>
        <v>6.1036017331007262</v>
      </c>
      <c r="FN270" s="133">
        <f t="shared" si="2348"/>
        <v>3.5113101792475758</v>
      </c>
      <c r="FO270" s="133">
        <f t="shared" si="2349"/>
        <v>0.7516395751529299</v>
      </c>
      <c r="FP270" s="133">
        <f t="shared" si="2350"/>
        <v>2.3406519787002207</v>
      </c>
      <c r="FQ270" s="107">
        <f t="shared" si="2351"/>
        <v>2.0946317561079946</v>
      </c>
      <c r="FR270" s="107">
        <f t="shared" si="2314"/>
        <v>1.6380027194960556</v>
      </c>
      <c r="FS270" s="141">
        <f t="shared" ref="FS270" si="2495">IF($DY270=0,"-",(FR270-$DW270)*100)</f>
        <v>3.8267677359188124</v>
      </c>
      <c r="FT270" s="107">
        <f t="shared" si="2316"/>
        <v>8.2187551188860652</v>
      </c>
      <c r="FU270" s="133">
        <f t="shared" si="2352"/>
        <v>3.5113101792475758</v>
      </c>
      <c r="FV270" s="133">
        <f t="shared" si="2353"/>
        <v>2.3406519787002207</v>
      </c>
      <c r="FW270" s="107">
        <f t="shared" si="2354"/>
        <v>2.0946317561079946</v>
      </c>
      <c r="FY270" s="336">
        <v>1</v>
      </c>
      <c r="FZ270" s="62">
        <f t="shared" si="2074"/>
        <v>1.5012620235552974</v>
      </c>
      <c r="GA270" s="62">
        <f t="shared" si="2075"/>
        <v>1.8114574736479772</v>
      </c>
      <c r="GB270" s="107">
        <f t="shared" si="1270"/>
        <v>1.2901414232757416</v>
      </c>
      <c r="GC270" s="440"/>
      <c r="GD270" s="17"/>
      <c r="GE270" s="442"/>
      <c r="GF270" s="462"/>
      <c r="GG270" s="17"/>
      <c r="GH270" s="17"/>
      <c r="GI270" s="17"/>
      <c r="GJ270" s="17"/>
      <c r="GL270" s="17"/>
      <c r="GM270" s="442"/>
      <c r="GN270" s="8"/>
      <c r="GO270" s="8"/>
      <c r="GP270" s="8"/>
      <c r="GQ270" s="8"/>
      <c r="GS270" s="17"/>
      <c r="GT270" s="17"/>
      <c r="GU270" s="17"/>
      <c r="GV270" s="629"/>
      <c r="GW270" s="17"/>
      <c r="GX270" s="17"/>
      <c r="GY270" s="17"/>
      <c r="GZ270" s="17"/>
    </row>
    <row r="271" spans="1:208" ht="15.6" x14ac:dyDescent="0.3">
      <c r="A271" s="60" t="s">
        <v>33</v>
      </c>
      <c r="B271" s="218"/>
      <c r="C271" s="61" t="str">
        <f>C269</f>
        <v>Bermuda</v>
      </c>
      <c r="D271" s="61"/>
      <c r="E271" s="61"/>
      <c r="F271" s="61"/>
      <c r="G271" s="54"/>
      <c r="H271" s="204">
        <f>TBFavrundet</f>
        <v>146.5</v>
      </c>
      <c r="I271" s="63">
        <f>COUNTA(O271:AG271)</f>
        <v>2</v>
      </c>
      <c r="J271" s="222">
        <f>SUM(O271:AG271)</f>
        <v>162.5</v>
      </c>
      <c r="K271" s="116">
        <f>Seilareal/Depl^0.667/K$7</f>
        <v>0.88537762230149397</v>
      </c>
      <c r="L271" s="116">
        <f>Seilareal/Lwl/Lwl/L$7</f>
        <v>0.66537866511469124</v>
      </c>
      <c r="M271" s="92">
        <f>RiggF</f>
        <v>0.96415384615384625</v>
      </c>
      <c r="N271" s="242">
        <f>StHfaktor</f>
        <v>1.0245937954416011</v>
      </c>
      <c r="O271" s="143"/>
      <c r="P271" s="143"/>
      <c r="Q271" s="143"/>
      <c r="R271" s="143"/>
      <c r="S271" s="143"/>
      <c r="T271" s="143"/>
      <c r="U271" s="165">
        <v>46</v>
      </c>
      <c r="V271" s="560"/>
      <c r="W271" s="560"/>
      <c r="X271" s="143"/>
      <c r="Y271" s="143"/>
      <c r="Z271" s="143"/>
      <c r="AA271" s="143"/>
      <c r="AB271" s="143"/>
      <c r="AC271" s="143"/>
      <c r="AD271" s="143"/>
      <c r="AE271" s="165">
        <v>116.5</v>
      </c>
      <c r="AF271" s="143"/>
      <c r="AG271" s="553"/>
      <c r="AH271" s="555">
        <f t="shared" ref="AH271:AI271" si="2496">AH269</f>
        <v>23.38</v>
      </c>
      <c r="AI271" s="555">
        <f t="shared" si="2496"/>
        <v>23.38</v>
      </c>
      <c r="AJ271" s="337">
        <f t="shared" si="2472"/>
        <v>0</v>
      </c>
      <c r="AK271" s="339"/>
      <c r="AL271" s="337">
        <f t="shared" si="2472"/>
        <v>0</v>
      </c>
      <c r="AM271" s="339"/>
      <c r="AN271" s="267" t="str">
        <f t="shared" ref="AN271" si="2497" xml:space="preserve"> AN270</f>
        <v>Meter</v>
      </c>
      <c r="AO271" s="45">
        <f>VLOOKUP(AN271,Skrogform!$1:$1048576,3,FALSE)</f>
        <v>1</v>
      </c>
      <c r="AP271" s="64">
        <f t="shared" ref="AP271:AZ271" si="2498">AP270</f>
        <v>24.38</v>
      </c>
      <c r="AQ271" s="64">
        <f t="shared" si="2498"/>
        <v>19.25</v>
      </c>
      <c r="AR271" s="64">
        <f t="shared" si="2498"/>
        <v>4.45</v>
      </c>
      <c r="AS271" s="64">
        <f t="shared" si="2498"/>
        <v>3.2</v>
      </c>
      <c r="AT271" s="64">
        <f t="shared" ref="AT271" si="2499">AT270</f>
        <v>70</v>
      </c>
      <c r="AU271" s="64">
        <f t="shared" si="2498"/>
        <v>70</v>
      </c>
      <c r="AV271" s="64">
        <f t="shared" si="2498"/>
        <v>22</v>
      </c>
      <c r="AW271" s="64">
        <f t="shared" si="2498"/>
        <v>0</v>
      </c>
      <c r="AX271" s="256">
        <f>AX270</f>
        <v>0</v>
      </c>
      <c r="AY271" s="256">
        <f t="shared" si="2498"/>
        <v>125</v>
      </c>
      <c r="AZ271" s="256">
        <f t="shared" si="2498"/>
        <v>800</v>
      </c>
      <c r="BA271" s="256">
        <f t="shared" ref="BA271:BB271" si="2500">BA270</f>
        <v>0</v>
      </c>
      <c r="BB271" s="256">
        <f t="shared" si="2500"/>
        <v>0</v>
      </c>
      <c r="BC271" s="256"/>
      <c r="BD271" s="66"/>
      <c r="BE271" s="66"/>
      <c r="BF271" s="261"/>
      <c r="BG271" s="66"/>
      <c r="BH271" s="175"/>
      <c r="BI271" s="66"/>
      <c r="BJ271" s="66"/>
      <c r="BK271" s="65" t="str">
        <f t="shared" ref="BK271:BM271" si="2501" xml:space="preserve"> BK270</f>
        <v>Seilrett</v>
      </c>
      <c r="BL271" s="267">
        <f t="shared" si="2501"/>
        <v>0</v>
      </c>
      <c r="BM271" s="267">
        <f t="shared" si="2501"/>
        <v>0</v>
      </c>
      <c r="BN271" s="45">
        <f t="shared" si="2291"/>
        <v>1</v>
      </c>
      <c r="BO271" s="59"/>
      <c r="BP271" s="59"/>
      <c r="BR271" s="49">
        <f t="shared" si="2478"/>
        <v>0</v>
      </c>
      <c r="BS271" s="49">
        <f t="shared" si="2478"/>
        <v>0</v>
      </c>
      <c r="BT271" s="49">
        <f t="shared" si="2478"/>
        <v>0</v>
      </c>
      <c r="BU271" s="49">
        <f t="shared" si="2478"/>
        <v>0</v>
      </c>
      <c r="BV271" s="49">
        <f t="shared" si="2478"/>
        <v>0</v>
      </c>
      <c r="BW271" s="49">
        <f t="shared" si="2478"/>
        <v>0</v>
      </c>
      <c r="BX271" s="49">
        <f t="shared" si="2478"/>
        <v>46</v>
      </c>
      <c r="BY271" s="549">
        <f>IF(COUNT(Q271:U271)&gt;1,MINA(Q271:U271)*BY$9,0)</f>
        <v>0</v>
      </c>
      <c r="BZ271" s="85">
        <f t="shared" si="2479"/>
        <v>0</v>
      </c>
      <c r="CA271" s="85">
        <f t="shared" si="2479"/>
        <v>0</v>
      </c>
      <c r="CB271" s="85">
        <f t="shared" si="2479"/>
        <v>0</v>
      </c>
      <c r="CC271" s="85">
        <f t="shared" si="2479"/>
        <v>0</v>
      </c>
      <c r="CD271" s="85">
        <f t="shared" si="2479"/>
        <v>0</v>
      </c>
      <c r="CE271" s="85">
        <f>IF(AC271=0,0,AC271*CE$9)</f>
        <v>0</v>
      </c>
      <c r="CF271" s="85">
        <f t="shared" si="2480"/>
        <v>0</v>
      </c>
      <c r="CG271" s="85">
        <f t="shared" si="2480"/>
        <v>0</v>
      </c>
      <c r="CH271" s="85">
        <f t="shared" si="2481"/>
        <v>0</v>
      </c>
      <c r="CI271" s="85">
        <f t="shared" si="2481"/>
        <v>110.675</v>
      </c>
      <c r="CJ271" s="85">
        <f t="shared" si="2481"/>
        <v>0</v>
      </c>
      <c r="CK271" s="85">
        <f t="shared" si="2481"/>
        <v>0</v>
      </c>
      <c r="CL271" s="100">
        <f>SUM(BR271:CK271)</f>
        <v>156.67500000000001</v>
      </c>
      <c r="CM271" s="50"/>
      <c r="CN271" s="106">
        <f>J271</f>
        <v>162.5</v>
      </c>
      <c r="CO271" s="101">
        <f t="shared" si="2482"/>
        <v>0.96415384615384625</v>
      </c>
      <c r="CP271" s="51">
        <f>Seilareal/Lwl/Lwl</f>
        <v>0.43852251644459439</v>
      </c>
      <c r="CQ271" s="116">
        <f>Seilareal/Depl^0.667/K$7</f>
        <v>0.88537762230149397</v>
      </c>
      <c r="CR271" s="51">
        <f>Seilareal/Lwl/Lwl/SApRS1</f>
        <v>0.66537866511469124</v>
      </c>
      <c r="CS271" s="204"/>
      <c r="CT271" s="204">
        <f>(ROUND(TBF/CT$6,3)*CT$6)*CT$4</f>
        <v>146.5</v>
      </c>
      <c r="CU271" s="107">
        <f t="shared" si="1267"/>
        <v>1.4661875952136063</v>
      </c>
      <c r="CV271" s="62">
        <f t="shared" si="2119"/>
        <v>3.1088936746874167</v>
      </c>
      <c r="CW271" s="62">
        <f t="shared" si="1268"/>
        <v>2.214101892644337</v>
      </c>
      <c r="CX271" s="62">
        <f t="shared" si="2120"/>
        <v>2.0946317561079946</v>
      </c>
      <c r="CY271" s="107">
        <f t="shared" si="1269"/>
        <v>1.0245937954416011</v>
      </c>
      <c r="CZ271" s="168" t="str">
        <f t="shared" ref="CZ271:CZ294" si="2502">IF(DA271=0,"-",IF(CP271="TBF","-",CZ$7*DA271))</f>
        <v>-</v>
      </c>
      <c r="DA271" s="158"/>
      <c r="DB271" s="168" t="str">
        <f t="shared" si="2289"/>
        <v>-</v>
      </c>
      <c r="DC271" s="160"/>
      <c r="DD271" s="190" t="s">
        <v>134</v>
      </c>
      <c r="DE271" s="62">
        <v>1.24</v>
      </c>
      <c r="DF271" s="62">
        <v>1.08</v>
      </c>
      <c r="DG271" s="62">
        <v>1.1599999999999999</v>
      </c>
      <c r="DH271" s="150">
        <v>1.21</v>
      </c>
      <c r="DI271" s="62">
        <f t="shared" si="2292"/>
        <v>1.9052944181583571</v>
      </c>
      <c r="DJ271" s="47">
        <f t="shared" si="2293"/>
        <v>12.955465587044534</v>
      </c>
      <c r="DK271" s="48">
        <f t="shared" si="2294"/>
        <v>0</v>
      </c>
      <c r="DM271" s="107">
        <f t="shared" si="2295"/>
        <v>1.3969132476363721</v>
      </c>
      <c r="DN271" s="141">
        <f>IF($DY271=0,"-",(DM271-$DW271)*100)</f>
        <v>-6.9274347577234385</v>
      </c>
      <c r="DO271" s="107">
        <f t="shared" si="2297"/>
        <v>5.3782386252724876</v>
      </c>
      <c r="DP271" s="133">
        <f>IF(SeilBeregnet=0,DP269,(SeilBeregnet^0.5/(Depl^0.3333))^DP$3*DP$7)</f>
        <v>3.0375866465722665</v>
      </c>
      <c r="DQ271" s="133">
        <f>IF(SeilBeregnet=0,DQ269,(SeilBeregnet^0.5/Lwl)^DQ$3*DQ$7)</f>
        <v>0</v>
      </c>
      <c r="DR271" s="133">
        <f>IF(SeilBeregnet=0,DR269,(0.1*Loa/Depl^0.3333)^DR$3*DR$7)</f>
        <v>0</v>
      </c>
      <c r="DS271" s="133">
        <f>IF(SeilBeregnet=0,DS269,((Loa)/Bredde)^DS$3*DS$7)</f>
        <v>2.3406519787002207</v>
      </c>
      <c r="DT271" s="107">
        <f>IF(SeilBeregnet=0,DT269,(Lwl)^DT$3)</f>
        <v>2.0946317561079946</v>
      </c>
      <c r="DU271" s="133">
        <f>IF(SeilBeregnet=0,DU269,(Dypg/Loa)^DU$3*5*DU$7)</f>
        <v>1.8114574736479772</v>
      </c>
      <c r="DW271" s="107">
        <f t="shared" si="417"/>
        <v>1.4661875952136065</v>
      </c>
      <c r="DX271" s="107">
        <f t="shared" si="2298"/>
        <v>1.3460166449004982</v>
      </c>
      <c r="DY271" s="122">
        <f>DX271-DW271</f>
        <v>-0.12017095031310832</v>
      </c>
      <c r="DZ271" s="107">
        <f t="shared" si="2299"/>
        <v>1.3999486302671353</v>
      </c>
      <c r="EA271" s="122">
        <f>IF($DY271=0,"-",DZ271-$DW271)</f>
        <v>-6.623896494647119E-2</v>
      </c>
      <c r="EB271" s="107">
        <f t="shared" si="2301"/>
        <v>1.3996058425468993</v>
      </c>
      <c r="EC271" s="122">
        <f>IF($DY271=0,"-",EB271-$DW271)</f>
        <v>-6.6581752666707184E-2</v>
      </c>
      <c r="ED271" s="107">
        <f t="shared" si="2328"/>
        <v>3.0371995160711629</v>
      </c>
      <c r="EE271" s="107">
        <f t="shared" si="2329"/>
        <v>2.6797900088404343</v>
      </c>
      <c r="EF271" s="107">
        <f t="shared" si="2330"/>
        <v>1.7695233609798884</v>
      </c>
      <c r="EH271" s="107">
        <f t="shared" si="2303"/>
        <v>1.4104259338264626</v>
      </c>
      <c r="EJ271" s="107">
        <f t="shared" si="2331"/>
        <v>3.0371995160711629</v>
      </c>
      <c r="EK271" s="107">
        <f t="shared" si="2332"/>
        <v>2.6800277846463949</v>
      </c>
      <c r="EL271" s="107">
        <f t="shared" si="2333"/>
        <v>2.1401391899601916</v>
      </c>
      <c r="EM271" s="107">
        <f t="shared" si="2304"/>
        <v>1.3767774598496023</v>
      </c>
      <c r="EO271" s="107">
        <f t="shared" si="2334"/>
        <v>5.3743954956447348</v>
      </c>
      <c r="EP271" s="107">
        <f t="shared" si="2335"/>
        <v>3.0371995160711629</v>
      </c>
      <c r="EQ271" s="107">
        <f t="shared" si="2336"/>
        <v>1.7695233609798884</v>
      </c>
      <c r="ER271" s="107">
        <f t="shared" si="2337"/>
        <v>2.0946317561079946</v>
      </c>
      <c r="ES271" s="107">
        <f t="shared" si="2305"/>
        <v>1.390200069871476</v>
      </c>
      <c r="EU271" s="107">
        <f t="shared" si="2338"/>
        <v>1.8530874079315391</v>
      </c>
      <c r="EV271" s="107">
        <f t="shared" si="2339"/>
        <v>3.0371995160711629</v>
      </c>
      <c r="EW271" s="107">
        <f t="shared" si="2340"/>
        <v>1.1306247493007873</v>
      </c>
      <c r="EX271" s="107">
        <f t="shared" si="2341"/>
        <v>2.1352975404230423</v>
      </c>
      <c r="EY271" s="107">
        <f t="shared" si="2306"/>
        <v>1.3305959615672083</v>
      </c>
      <c r="FA271" s="107">
        <f t="shared" si="2307"/>
        <v>1.8532055041900204</v>
      </c>
      <c r="FB271" s="107">
        <f t="shared" si="2342"/>
        <v>3.0375866465722665</v>
      </c>
      <c r="FC271" s="107">
        <f t="shared" si="2343"/>
        <v>1.1306247493007873</v>
      </c>
      <c r="FD271" s="107">
        <f t="shared" si="2344"/>
        <v>2.1352975404230423</v>
      </c>
      <c r="FE271" s="107">
        <f t="shared" si="2308"/>
        <v>1.4834584769349219</v>
      </c>
      <c r="FF271" s="141">
        <f>IF($DY271=0,"-",(FE271-$DW271)*100)</f>
        <v>1.7270881721315412</v>
      </c>
      <c r="FG271" s="107">
        <f t="shared" si="2310"/>
        <v>3.8829844447154707</v>
      </c>
      <c r="FH271" s="133">
        <f t="shared" si="2345"/>
        <v>3.0375866465722665</v>
      </c>
      <c r="FI271" s="133">
        <f t="shared" si="2346"/>
        <v>1.2783123237314677</v>
      </c>
      <c r="FJ271" s="107">
        <f t="shared" si="2347"/>
        <v>1.2007660485571867</v>
      </c>
      <c r="FK271" s="107">
        <f t="shared" si="2311"/>
        <v>1.3780333967648557</v>
      </c>
      <c r="FL271" s="141">
        <f>IF($DY271=0,"-",(FK271-$DW271)*100)</f>
        <v>-8.815419844875084</v>
      </c>
      <c r="FM271" s="107">
        <f t="shared" si="2313"/>
        <v>5.5284717918020938</v>
      </c>
      <c r="FN271" s="133">
        <f t="shared" si="2348"/>
        <v>3.0375866465722665</v>
      </c>
      <c r="FO271" s="133">
        <f t="shared" si="2349"/>
        <v>0.6502331665296065</v>
      </c>
      <c r="FP271" s="133">
        <f t="shared" si="2350"/>
        <v>2.3406519787002207</v>
      </c>
      <c r="FQ271" s="107">
        <f t="shared" si="2351"/>
        <v>2.0946317561079946</v>
      </c>
      <c r="FR271" s="107">
        <f t="shared" si="2314"/>
        <v>1.4893580081925974</v>
      </c>
      <c r="FS271" s="141">
        <f>IF($DY271=0,"-",(FR271-$DW271)*100)</f>
        <v>2.3170412978990917</v>
      </c>
      <c r="FT271" s="107">
        <f t="shared" si="2316"/>
        <v>7.1099331947727435</v>
      </c>
      <c r="FU271" s="133">
        <f t="shared" si="2352"/>
        <v>3.0375866465722665</v>
      </c>
      <c r="FV271" s="133">
        <f t="shared" si="2353"/>
        <v>2.3406519787002207</v>
      </c>
      <c r="FW271" s="107">
        <f t="shared" si="2354"/>
        <v>2.0946317561079946</v>
      </c>
      <c r="FY271" s="336">
        <v>1</v>
      </c>
      <c r="FZ271" s="62">
        <f t="shared" si="2074"/>
        <v>1.4084668204552666</v>
      </c>
      <c r="GA271" s="62">
        <f t="shared" si="2075"/>
        <v>1.8114574736479772</v>
      </c>
      <c r="GB271" s="107">
        <f t="shared" si="1270"/>
        <v>1.2292979179646211</v>
      </c>
      <c r="GC271" s="440"/>
      <c r="GD271" s="17"/>
      <c r="GE271" s="442"/>
      <c r="GF271" s="462"/>
      <c r="GG271" s="17"/>
      <c r="GH271" s="17"/>
      <c r="GI271" s="17"/>
      <c r="GJ271" s="17"/>
      <c r="GL271" s="17"/>
      <c r="GM271" s="442"/>
      <c r="GN271" s="8"/>
      <c r="GO271" s="8"/>
      <c r="GP271" s="8"/>
      <c r="GQ271" s="8"/>
      <c r="GS271" s="17"/>
      <c r="GT271" s="17"/>
      <c r="GU271" s="17"/>
      <c r="GV271" s="629"/>
      <c r="GW271" s="17"/>
      <c r="GX271" s="17"/>
      <c r="GY271" s="17"/>
      <c r="GZ271" s="17"/>
    </row>
    <row r="272" spans="1:208" ht="15.6" x14ac:dyDescent="0.3">
      <c r="A272" s="60" t="s">
        <v>35</v>
      </c>
      <c r="B272" s="218"/>
      <c r="C272" s="61" t="str">
        <f>C270</f>
        <v>Bermuda</v>
      </c>
      <c r="D272" s="61"/>
      <c r="E272" s="61"/>
      <c r="F272" s="61"/>
      <c r="G272" s="54"/>
      <c r="H272" s="204">
        <f>TBFavrundet</f>
        <v>141</v>
      </c>
      <c r="I272" s="63">
        <f>COUNTA(O272:AG272)</f>
        <v>2</v>
      </c>
      <c r="J272" s="222">
        <f>SUM(O272:AG272)</f>
        <v>143</v>
      </c>
      <c r="K272" s="116">
        <f>Seilareal/Depl^0.667/K$7</f>
        <v>0.77913230762531471</v>
      </c>
      <c r="L272" s="116">
        <f>Seilareal/Lwl/Lwl/L$7</f>
        <v>0.58553322530092833</v>
      </c>
      <c r="M272" s="92">
        <f>RiggF</f>
        <v>0.95251748251748258</v>
      </c>
      <c r="N272" s="242">
        <f>StHfaktor</f>
        <v>1.0245937954416011</v>
      </c>
      <c r="O272" s="143"/>
      <c r="P272" s="143"/>
      <c r="Q272" s="143"/>
      <c r="R272" s="143"/>
      <c r="S272" s="143"/>
      <c r="T272" s="143"/>
      <c r="U272" s="165">
        <v>46</v>
      </c>
      <c r="V272" s="560"/>
      <c r="W272" s="560"/>
      <c r="X272" s="143"/>
      <c r="Y272" s="143"/>
      <c r="Z272" s="143"/>
      <c r="AA272" s="143"/>
      <c r="AB272" s="143"/>
      <c r="AC272" s="143"/>
      <c r="AD272" s="143"/>
      <c r="AE272" s="144"/>
      <c r="AF272" s="177">
        <v>97</v>
      </c>
      <c r="AG272" s="553"/>
      <c r="AH272" s="555">
        <f t="shared" ref="AH272:AI272" si="2503">AH270</f>
        <v>23.38</v>
      </c>
      <c r="AI272" s="555">
        <f t="shared" si="2503"/>
        <v>23.38</v>
      </c>
      <c r="AJ272" s="337">
        <f t="shared" si="2472"/>
        <v>0</v>
      </c>
      <c r="AK272" s="339"/>
      <c r="AL272" s="337">
        <f t="shared" si="2472"/>
        <v>0</v>
      </c>
      <c r="AM272" s="339"/>
      <c r="AN272" s="267" t="str">
        <f t="shared" ref="AN272" si="2504" xml:space="preserve"> AN271</f>
        <v>Meter</v>
      </c>
      <c r="AO272" s="45">
        <f>VLOOKUP(AN272,Skrogform!$1:$1048576,3,FALSE)</f>
        <v>1</v>
      </c>
      <c r="AP272" s="64">
        <f t="shared" ref="AP272:AZ272" si="2505">AP271</f>
        <v>24.38</v>
      </c>
      <c r="AQ272" s="64">
        <f t="shared" si="2505"/>
        <v>19.25</v>
      </c>
      <c r="AR272" s="64">
        <f t="shared" si="2505"/>
        <v>4.45</v>
      </c>
      <c r="AS272" s="64">
        <f t="shared" si="2505"/>
        <v>3.2</v>
      </c>
      <c r="AT272" s="64">
        <f t="shared" ref="AT272" si="2506">AT271</f>
        <v>70</v>
      </c>
      <c r="AU272" s="64">
        <f t="shared" si="2505"/>
        <v>70</v>
      </c>
      <c r="AV272" s="64">
        <f t="shared" si="2505"/>
        <v>22</v>
      </c>
      <c r="AW272" s="64">
        <f t="shared" si="2505"/>
        <v>0</v>
      </c>
      <c r="AX272" s="256">
        <f>AX271</f>
        <v>0</v>
      </c>
      <c r="AY272" s="256">
        <f t="shared" si="2505"/>
        <v>125</v>
      </c>
      <c r="AZ272" s="256">
        <f t="shared" si="2505"/>
        <v>800</v>
      </c>
      <c r="BA272" s="256">
        <f t="shared" ref="BA272:BB272" si="2507">BA271</f>
        <v>0</v>
      </c>
      <c r="BB272" s="256">
        <f t="shared" si="2507"/>
        <v>0</v>
      </c>
      <c r="BC272" s="256"/>
      <c r="BD272" s="66"/>
      <c r="BE272" s="66"/>
      <c r="BF272" s="261"/>
      <c r="BG272" s="66"/>
      <c r="BH272" s="175"/>
      <c r="BI272" s="66"/>
      <c r="BJ272" s="66"/>
      <c r="BK272" s="65" t="str">
        <f t="shared" ref="BK272:BM272" si="2508" xml:space="preserve"> BK271</f>
        <v>Seilrett</v>
      </c>
      <c r="BL272" s="267">
        <f t="shared" si="2508"/>
        <v>0</v>
      </c>
      <c r="BM272" s="267">
        <f t="shared" si="2508"/>
        <v>0</v>
      </c>
      <c r="BN272" s="45">
        <f t="shared" si="2291"/>
        <v>1</v>
      </c>
      <c r="BO272" s="59"/>
      <c r="BP272" s="59"/>
      <c r="BR272" s="49">
        <f t="shared" si="2478"/>
        <v>0</v>
      </c>
      <c r="BS272" s="49">
        <f t="shared" si="2478"/>
        <v>0</v>
      </c>
      <c r="BT272" s="49">
        <f t="shared" si="2478"/>
        <v>0</v>
      </c>
      <c r="BU272" s="49">
        <f t="shared" si="2478"/>
        <v>0</v>
      </c>
      <c r="BV272" s="49">
        <f t="shared" si="2478"/>
        <v>0</v>
      </c>
      <c r="BW272" s="49">
        <f t="shared" si="2478"/>
        <v>0</v>
      </c>
      <c r="BX272" s="49">
        <f t="shared" si="2478"/>
        <v>46</v>
      </c>
      <c r="BY272" s="549">
        <f>IF(COUNT(Q272:U272)&gt;1,MINA(Q272:U272)*BY$9,0)</f>
        <v>0</v>
      </c>
      <c r="BZ272" s="85">
        <f t="shared" si="2479"/>
        <v>0</v>
      </c>
      <c r="CA272" s="85">
        <f t="shared" si="2479"/>
        <v>0</v>
      </c>
      <c r="CB272" s="85">
        <f t="shared" si="2479"/>
        <v>0</v>
      </c>
      <c r="CC272" s="85">
        <f t="shared" si="2479"/>
        <v>0</v>
      </c>
      <c r="CD272" s="85">
        <f t="shared" si="2479"/>
        <v>0</v>
      </c>
      <c r="CE272" s="85">
        <f>IF(AC272=0,0,AC272*CE$9)</f>
        <v>0</v>
      </c>
      <c r="CF272" s="85">
        <f t="shared" si="2480"/>
        <v>0</v>
      </c>
      <c r="CG272" s="85">
        <f t="shared" si="2480"/>
        <v>0</v>
      </c>
      <c r="CH272" s="85">
        <f t="shared" si="2481"/>
        <v>0</v>
      </c>
      <c r="CI272" s="85">
        <f t="shared" si="2481"/>
        <v>0</v>
      </c>
      <c r="CJ272" s="85">
        <f t="shared" si="2481"/>
        <v>90.210000000000008</v>
      </c>
      <c r="CK272" s="85">
        <f t="shared" si="2481"/>
        <v>0</v>
      </c>
      <c r="CL272" s="100">
        <f>SUM(BR272:CK272)</f>
        <v>136.21</v>
      </c>
      <c r="CM272" s="50"/>
      <c r="CN272" s="106">
        <f>J272</f>
        <v>143</v>
      </c>
      <c r="CO272" s="101">
        <f t="shared" ref="CO272" si="2509">CL272/CN272</f>
        <v>0.95251748251748258</v>
      </c>
      <c r="CP272" s="51">
        <f>Seilareal/Lwl/Lwl</f>
        <v>0.38589981447124305</v>
      </c>
      <c r="CQ272" s="116">
        <f>Seilareal/Depl^0.667/K$7</f>
        <v>0.77913230762531471</v>
      </c>
      <c r="CR272" s="51">
        <f>Seilareal/Lwl/Lwl/SApRS1</f>
        <v>0.58553322530092833</v>
      </c>
      <c r="CS272" s="204"/>
      <c r="CT272" s="204">
        <f>(ROUND(TBF/CT$6,3)*CT$6)*CT$4</f>
        <v>141</v>
      </c>
      <c r="CU272" s="107">
        <f t="shared" si="1267"/>
        <v>1.408304309717515</v>
      </c>
      <c r="CV272" s="62">
        <f t="shared" si="2119"/>
        <v>2.8987483473608648</v>
      </c>
      <c r="CW272" s="62">
        <f t="shared" si="1268"/>
        <v>2.214101892644337</v>
      </c>
      <c r="CX272" s="62">
        <f t="shared" si="2120"/>
        <v>2.0946317561079946</v>
      </c>
      <c r="CY272" s="107">
        <f t="shared" si="1269"/>
        <v>1.0245937954416011</v>
      </c>
      <c r="CZ272" s="168" t="str">
        <f t="shared" si="2502"/>
        <v>-</v>
      </c>
      <c r="DA272" s="158"/>
      <c r="DB272" s="168" t="str">
        <f t="shared" si="2289"/>
        <v>-</v>
      </c>
      <c r="DC272" s="160"/>
      <c r="DD272" s="190" t="s">
        <v>134</v>
      </c>
      <c r="DE272" s="62">
        <v>1.24</v>
      </c>
      <c r="DF272" s="62">
        <v>1.08</v>
      </c>
      <c r="DG272" s="62">
        <v>1.1599999999999999</v>
      </c>
      <c r="DH272" s="150">
        <v>1.21</v>
      </c>
      <c r="DI272" s="62">
        <f t="shared" si="2292"/>
        <v>1.9052944181583571</v>
      </c>
      <c r="DJ272" s="47">
        <f t="shared" si="2293"/>
        <v>12.955465587044534</v>
      </c>
      <c r="DK272" s="48">
        <f t="shared" si="2294"/>
        <v>0</v>
      </c>
      <c r="DM272" s="107">
        <f t="shared" si="2295"/>
        <v>1.3435832073166176</v>
      </c>
      <c r="DN272" s="141">
        <f t="shared" ref="DN272" si="2510">IF($DY272=0,"-",(DM272-$DW272)*100)</f>
        <v>-6.4721102400897124</v>
      </c>
      <c r="DO272" s="107">
        <f t="shared" si="2297"/>
        <v>5.1729132886988989</v>
      </c>
      <c r="DP272" s="133">
        <f>IF(SeilBeregnet=0,DP270,(SeilBeregnet^0.5/(Depl^0.3333))^DP$3*DP$7)</f>
        <v>2.8322613099986786</v>
      </c>
      <c r="DQ272" s="133">
        <f>IF(SeilBeregnet=0,DQ270,(SeilBeregnet^0.5/Lwl)^DQ$3*DQ$7)</f>
        <v>0</v>
      </c>
      <c r="DR272" s="133">
        <f>IF(SeilBeregnet=0,DR270,(0.1*Loa/Depl^0.3333)^DR$3*DR$7)</f>
        <v>0</v>
      </c>
      <c r="DS272" s="133">
        <f>IF(SeilBeregnet=0,DS270,((Loa)/Bredde)^DS$3*DS$7)</f>
        <v>2.3406519787002207</v>
      </c>
      <c r="DT272" s="107">
        <f>IF(SeilBeregnet=0,DT270,(Lwl)^DT$3)</f>
        <v>2.0946317561079946</v>
      </c>
      <c r="DU272" s="133">
        <f>IF(SeilBeregnet=0,DU270,(Dypg/Loa)^DU$3*5*DU$7)</f>
        <v>1.8114574736479772</v>
      </c>
      <c r="DW272" s="107">
        <f t="shared" si="417"/>
        <v>1.4083043097175147</v>
      </c>
      <c r="DX272" s="107">
        <f t="shared" si="2298"/>
        <v>1.2715437084312027</v>
      </c>
      <c r="DY272" s="122">
        <f>DX272-DW272</f>
        <v>-0.13676060128631207</v>
      </c>
      <c r="DZ272" s="107">
        <f t="shared" si="2299"/>
        <v>1.3332720049112801</v>
      </c>
      <c r="EA272" s="122">
        <f t="shared" ref="EA272" si="2511">IF($DY272=0,"-",DZ272-$DW272)</f>
        <v>-7.5032304806234684E-2</v>
      </c>
      <c r="EB272" s="107">
        <f t="shared" si="2301"/>
        <v>1.3239185133981177</v>
      </c>
      <c r="EC272" s="122">
        <f t="shared" ref="EC272" si="2512">IF($DY272=0,"-",EB272-$DW272)</f>
        <v>-8.4385796319397022E-2</v>
      </c>
      <c r="ED272" s="107">
        <f t="shared" si="2328"/>
        <v>2.8319003475413829</v>
      </c>
      <c r="EE272" s="107">
        <f t="shared" si="2329"/>
        <v>2.6797900088404343</v>
      </c>
      <c r="EF272" s="107">
        <f t="shared" si="2330"/>
        <v>1.7695233609798884</v>
      </c>
      <c r="EH272" s="107">
        <f t="shared" si="2303"/>
        <v>1.3395127351827643</v>
      </c>
      <c r="EJ272" s="107">
        <f t="shared" si="2331"/>
        <v>2.8319003475413829</v>
      </c>
      <c r="EK272" s="107">
        <f t="shared" si="2332"/>
        <v>2.6800277846463949</v>
      </c>
      <c r="EL272" s="107">
        <f t="shared" si="2333"/>
        <v>2.1401391899601916</v>
      </c>
      <c r="EM272" s="107">
        <f t="shared" si="2304"/>
        <v>1.3089538637862825</v>
      </c>
      <c r="EO272" s="107">
        <f t="shared" si="2334"/>
        <v>5.0111138209415422</v>
      </c>
      <c r="EP272" s="107">
        <f t="shared" si="2335"/>
        <v>2.8319003475413829</v>
      </c>
      <c r="EQ272" s="107">
        <f t="shared" si="2336"/>
        <v>1.7695233609798884</v>
      </c>
      <c r="ER272" s="107">
        <f t="shared" si="2337"/>
        <v>2.0946317561079946</v>
      </c>
      <c r="ES272" s="107">
        <f t="shared" si="2305"/>
        <v>1.3247268657104889</v>
      </c>
      <c r="EU272" s="107">
        <f t="shared" si="2338"/>
        <v>1.789362070818477</v>
      </c>
      <c r="EV272" s="107">
        <f t="shared" si="2339"/>
        <v>2.8319003475413829</v>
      </c>
      <c r="EW272" s="107">
        <f t="shared" si="2340"/>
        <v>1.1306247493007873</v>
      </c>
      <c r="EX272" s="107">
        <f t="shared" si="2341"/>
        <v>2.1352975404230423</v>
      </c>
      <c r="EY272" s="107">
        <f t="shared" si="2306"/>
        <v>1.2848384458400914</v>
      </c>
      <c r="FA272" s="107">
        <f t="shared" si="2307"/>
        <v>1.7894761058956823</v>
      </c>
      <c r="FB272" s="107">
        <f t="shared" si="2342"/>
        <v>2.8322613099986786</v>
      </c>
      <c r="FC272" s="107">
        <f t="shared" si="2343"/>
        <v>1.1306247493007873</v>
      </c>
      <c r="FD272" s="107">
        <f t="shared" si="2344"/>
        <v>2.1352975404230423</v>
      </c>
      <c r="FE272" s="107">
        <f t="shared" si="2308"/>
        <v>1.4172738365037796</v>
      </c>
      <c r="FF272" s="141">
        <f t="shared" ref="FF272" si="2513">IF($DY272=0,"-",(FE272-$DW272)*100)</f>
        <v>0.89695267862648365</v>
      </c>
      <c r="FG272" s="107">
        <f t="shared" si="2310"/>
        <v>3.620514536599142</v>
      </c>
      <c r="FH272" s="133">
        <f t="shared" si="2345"/>
        <v>2.8322613099986786</v>
      </c>
      <c r="FI272" s="133">
        <f t="shared" si="2346"/>
        <v>1.2783123237314677</v>
      </c>
      <c r="FJ272" s="107">
        <f t="shared" si="2347"/>
        <v>1.2007660485571867</v>
      </c>
      <c r="FK272" s="107">
        <f t="shared" si="2311"/>
        <v>1.3158981243703174</v>
      </c>
      <c r="FL272" s="141">
        <f t="shared" ref="FL272" si="2514">IF($DY272=0,"-",(FK272-$DW272)*100)</f>
        <v>-9.2406185347197365</v>
      </c>
      <c r="FM272" s="107">
        <f t="shared" si="2313"/>
        <v>5.2791940155772261</v>
      </c>
      <c r="FN272" s="133">
        <f t="shared" si="2348"/>
        <v>2.8322613099986786</v>
      </c>
      <c r="FO272" s="133">
        <f t="shared" si="2349"/>
        <v>0.60628072687832657</v>
      </c>
      <c r="FP272" s="133">
        <f t="shared" si="2350"/>
        <v>2.3406519787002207</v>
      </c>
      <c r="FQ272" s="107">
        <f t="shared" si="2351"/>
        <v>2.0946317561079946</v>
      </c>
      <c r="FR272" s="107">
        <f t="shared" si="2314"/>
        <v>1.4249311362449355</v>
      </c>
      <c r="FS272" s="141">
        <f t="shared" ref="FS272" si="2515">IF($DY272=0,"-",(FR272-$DW272)*100)</f>
        <v>1.6626826527420757</v>
      </c>
      <c r="FT272" s="107">
        <f t="shared" si="2316"/>
        <v>6.6293380394444865</v>
      </c>
      <c r="FU272" s="133">
        <f t="shared" si="2352"/>
        <v>2.8322613099986786</v>
      </c>
      <c r="FV272" s="133">
        <f t="shared" si="2353"/>
        <v>2.3406519787002207</v>
      </c>
      <c r="FW272" s="107">
        <f t="shared" si="2354"/>
        <v>2.0946317561079946</v>
      </c>
      <c r="FY272" s="336">
        <v>1</v>
      </c>
      <c r="FZ272" s="62">
        <f t="shared" si="2074"/>
        <v>1.3682467237222056</v>
      </c>
      <c r="GA272" s="62">
        <f t="shared" si="2075"/>
        <v>1.8114574736479772</v>
      </c>
      <c r="GB272" s="107">
        <f t="shared" si="1270"/>
        <v>1.2009512015283166</v>
      </c>
      <c r="GC272" s="440"/>
      <c r="GD272" s="17"/>
      <c r="GE272" s="442"/>
      <c r="GF272" s="462"/>
      <c r="GG272" s="17"/>
      <c r="GH272" s="17"/>
      <c r="GI272" s="17"/>
      <c r="GJ272" s="17"/>
      <c r="GL272" s="17"/>
      <c r="GM272" s="442"/>
      <c r="GN272" s="8"/>
      <c r="GO272" s="8"/>
      <c r="GP272" s="8"/>
      <c r="GQ272" s="8"/>
      <c r="GS272" s="17"/>
      <c r="GT272" s="17"/>
      <c r="GU272" s="17"/>
      <c r="GV272" s="629"/>
      <c r="GW272" s="17"/>
      <c r="GX272" s="17"/>
      <c r="GY272" s="17"/>
      <c r="GZ272" s="17"/>
    </row>
    <row r="273" spans="1:208" ht="15.6" x14ac:dyDescent="0.3">
      <c r="A273" s="52" t="s">
        <v>265</v>
      </c>
      <c r="B273" s="218">
        <f t="shared" si="10"/>
        <v>0</v>
      </c>
      <c r="C273" s="53" t="s">
        <v>38</v>
      </c>
      <c r="D273" s="53"/>
      <c r="E273" s="53"/>
      <c r="F273" s="53"/>
      <c r="G273" s="54"/>
      <c r="H273" s="112">
        <f>J274</f>
        <v>0</v>
      </c>
      <c r="I273" s="601">
        <f>H274/100</f>
        <v>0</v>
      </c>
      <c r="J273" s="651" t="str">
        <f>IF(DC274=0,"-",DC274)</f>
        <v>-</v>
      </c>
      <c r="K273" s="123" t="str">
        <f>A273</f>
        <v>Victoria</v>
      </c>
      <c r="L273" s="116"/>
      <c r="M273" s="116"/>
      <c r="N273" s="92"/>
      <c r="O273" s="165"/>
      <c r="P273" s="165"/>
      <c r="Q273" s="165"/>
      <c r="R273" s="165"/>
      <c r="S273" s="165"/>
      <c r="T273" s="165"/>
      <c r="U273" s="165"/>
      <c r="V273" s="560"/>
      <c r="W273" s="560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552"/>
      <c r="AH273" s="244"/>
      <c r="AI273" s="244"/>
      <c r="AJ273" s="554"/>
      <c r="AK273" s="339"/>
      <c r="AL273" s="268"/>
      <c r="AM273" s="339"/>
      <c r="AN273" s="268" t="s">
        <v>214</v>
      </c>
      <c r="AO273" s="45">
        <f>VLOOKUP(AN273,Skrogform!$1:$1048576,3,FALSE)</f>
        <v>1</v>
      </c>
      <c r="AP273" s="55"/>
      <c r="AQ273" s="55"/>
      <c r="AR273" s="55"/>
      <c r="AS273" s="55"/>
      <c r="AT273" s="55"/>
      <c r="AU273" s="55"/>
      <c r="AV273" s="55"/>
      <c r="AW273" s="55"/>
      <c r="AX273" s="253"/>
      <c r="AY273" s="253"/>
      <c r="AZ273" s="254">
        <f>AY273*7</f>
        <v>0</v>
      </c>
      <c r="BA273" s="253"/>
      <c r="BB273" s="253"/>
      <c r="BC273" s="244">
        <f>Depl+Diesel/1000*0.84+Vann/1000</f>
        <v>0</v>
      </c>
      <c r="BD273" s="95" t="e">
        <f>Bredde/(Loa+Lwl)*2</f>
        <v>#DIV/0!</v>
      </c>
      <c r="BE273" s="95" t="e">
        <f>(Kjøl+Ballast)/Depl</f>
        <v>#DIV/0!</v>
      </c>
      <c r="BF273" s="260" t="e">
        <f>BF$7*((Depl-Kjøl-Ballast-VektMotor/1000-VektAnnet/1000)/Lwl/Lwl/Bredde)</f>
        <v>#DIV/0!</v>
      </c>
      <c r="BG273" s="95" t="e">
        <f>BG$7*(Depl/Loa/Lwl/Lwl)</f>
        <v>#DIV/0!</v>
      </c>
      <c r="BH273" s="174" t="e">
        <f>BH$7*(Depl/Loa/Lwl/Bredde)</f>
        <v>#DIV/0!</v>
      </c>
      <c r="BI273" s="95" t="e">
        <f>BI$7*Bredde/(Loa+Lwl)*2</f>
        <v>#DIV/0!</v>
      </c>
      <c r="BJ273" s="95" t="e">
        <f>BJ$7*(Dypg/Lwl)</f>
        <v>#DIV/0!</v>
      </c>
      <c r="BK273" s="56"/>
      <c r="BL273" s="268"/>
      <c r="BM273" s="268"/>
      <c r="BN273" s="45">
        <f t="shared" si="2291"/>
        <v>1</v>
      </c>
      <c r="BO273" s="59"/>
      <c r="BP273" s="59"/>
      <c r="BR273" s="209"/>
      <c r="BS273" s="209"/>
      <c r="BT273" s="209" t="str">
        <f>$A273</f>
        <v>Victoria</v>
      </c>
      <c r="BU273" s="10"/>
      <c r="BV273" s="10"/>
      <c r="BW273" s="10"/>
      <c r="BX273" s="10"/>
      <c r="BY273" s="549"/>
      <c r="BZ273" s="10"/>
      <c r="CA273" s="10"/>
      <c r="CB273" s="209" t="str">
        <f>$A273</f>
        <v>Victoria</v>
      </c>
      <c r="CC273" s="10"/>
      <c r="CD273" s="10"/>
      <c r="CE273" s="10"/>
      <c r="CF273" s="10"/>
      <c r="CG273" s="10"/>
      <c r="CH273" s="10"/>
      <c r="CI273" s="10"/>
      <c r="CJ273" s="10"/>
      <c r="CK273" s="10"/>
      <c r="CL273" s="209"/>
      <c r="CM273" s="10"/>
      <c r="CN273" s="209" t="str">
        <f>$A273</f>
        <v>Victoria</v>
      </c>
      <c r="CO273" s="207"/>
      <c r="CP273" s="207"/>
      <c r="CQ273" s="116"/>
      <c r="CR273" s="207"/>
      <c r="CS273" s="203"/>
      <c r="CT273" s="203" t="s">
        <v>23</v>
      </c>
      <c r="CU273" s="107" t="str">
        <f t="shared" si="83"/>
        <v>-</v>
      </c>
      <c r="CV273" s="62" t="str">
        <f t="shared" si="2119"/>
        <v>-</v>
      </c>
      <c r="CW273" s="62" t="str">
        <f t="shared" si="84"/>
        <v>-</v>
      </c>
      <c r="CX273" s="62" t="str">
        <f t="shared" si="2120"/>
        <v>-</v>
      </c>
      <c r="CY273" s="107" t="str">
        <f t="shared" si="85"/>
        <v>-</v>
      </c>
      <c r="CZ273" s="168" t="str">
        <f>IF(DA273=0,"-",IF(CP273="TBF","-",CZ$7*DA273))</f>
        <v>-</v>
      </c>
      <c r="DA273" s="158"/>
      <c r="DB273" s="168" t="str">
        <f>IF(DC273=0,"-",IF(CT273="TBF","-",DB$7*DC273))</f>
        <v>-</v>
      </c>
      <c r="DC273" s="160"/>
      <c r="DD273" s="190" t="s">
        <v>134</v>
      </c>
      <c r="DE273" s="29" t="s">
        <v>23</v>
      </c>
      <c r="DF273" s="29" t="s">
        <v>23</v>
      </c>
      <c r="DG273" s="29" t="s">
        <v>23</v>
      </c>
      <c r="DH273" s="149">
        <v>2022</v>
      </c>
      <c r="DI273" s="62" t="str">
        <f t="shared" si="1374"/>
        <v>-</v>
      </c>
      <c r="DJ273" s="47">
        <f t="shared" si="1375"/>
        <v>0</v>
      </c>
      <c r="DK273" s="48">
        <f>DJ$7*IF(DJ273&lt;DJ$5,-0.04,IF(DJ273&lt;DJ$5*1.1,-0.03,IF(DJ273&lt;DJ$5*1.2,-0.02,IF(DJ273&lt;DJ$5*1.3,-0.01,0))))</f>
        <v>0</v>
      </c>
      <c r="DM273" s="107" t="str">
        <f t="shared" si="2295"/>
        <v>-</v>
      </c>
      <c r="DN273" s="141" t="str">
        <f>IF($DY273=0,"-",(DM273-$DW273)*100)</f>
        <v>-</v>
      </c>
      <c r="DO273" s="107">
        <f>SUM(DP273:DS273)^DO$3+DO$7</f>
        <v>5.3942336202899952</v>
      </c>
      <c r="DP273" s="133">
        <f>IF(SeilBeregnet=0,DP86,(SeilBeregnet^0.5/(Depl^0.3333))^DP$3*DP$7)</f>
        <v>3.5296306636135579</v>
      </c>
      <c r="DQ273" s="133">
        <f>IF(SeilBeregnet=0,DQ86,(SeilBeregnet^0.5/Lwl)^DQ$3*DQ$7)</f>
        <v>0</v>
      </c>
      <c r="DR273" s="133">
        <f>IF(SeilBeregnet=0,DR86,(0.1*Loa/Depl^0.3333)^DR$3*DR$7)</f>
        <v>0</v>
      </c>
      <c r="DS273" s="133">
        <f>IF(SeilBeregnet=0,DS86,((Loa)/Bredde)^DS$3*DS$7)</f>
        <v>1.8646029566764373</v>
      </c>
      <c r="DT273" s="107">
        <f>IF(SeilBeregnet=0,DT86,(Lwl)^DT$3)</f>
        <v>1.8859172433475835</v>
      </c>
      <c r="DU273" s="133">
        <f>IF(SeilBeregnet=0,DU86,(Dypg/Loa)^DU$3*5*DU$7)</f>
        <v>2.0446520502738266</v>
      </c>
      <c r="DW273" s="107" t="str">
        <f t="shared" si="1241"/>
        <v>-</v>
      </c>
      <c r="DX273" s="107" t="str">
        <f t="shared" si="1376"/>
        <v>-</v>
      </c>
      <c r="DZ273" s="107" t="str">
        <f t="shared" si="1377"/>
        <v>-</v>
      </c>
      <c r="EA273" s="122" t="str">
        <f>IF($DY273=0,"-",DZ273-$DW273)</f>
        <v>-</v>
      </c>
      <c r="EB273" s="107" t="str">
        <f>IF(SeilBeregnet=0,"-",EB$7*(EB$4*ED273*EE273*EF273*PropF+EB$6)+ErfaringsF+Dyp_F)</f>
        <v>-</v>
      </c>
      <c r="EC273" s="122" t="str">
        <f>IF($DY273=0,"-",EB273-$DW273)</f>
        <v>-</v>
      </c>
      <c r="ED273" s="107">
        <f>IF(SeilBeregnet=0,ED86,SeilBeregnet^0.5/Depl^0.33333)</f>
        <v>3.5292816882603932</v>
      </c>
      <c r="EE273" s="107">
        <f>IF(SeilBeregnet=0,EE86,Lwl^0.3333)</f>
        <v>2.3298436208665341</v>
      </c>
      <c r="EF273" s="107">
        <f>IF(SeilBeregnet=0,EF86,((Loa+Lwl)/Bredde)^EF$3)</f>
        <v>1.5916961163398649</v>
      </c>
      <c r="EH273" s="107" t="str">
        <f>IF(SeilBeregnet=0,"-",EH$7*(EH$4*EJ273*EK273*EL273*PropF+EH$6)+ErfaringsF+Dyp_F)</f>
        <v>-</v>
      </c>
      <c r="EJ273" s="107">
        <f>IF(SeilBeregnet=0,EJ86,SeilBeregnet^0.5/Depl^0.33333)</f>
        <v>3.5292816882603932</v>
      </c>
      <c r="EK273" s="107">
        <f>IF(SeilBeregnet=0,EK86,Lwl^EK$3)</f>
        <v>2.3300209979525235</v>
      </c>
      <c r="EL273" s="107">
        <f>IF(SeilBeregnet=0,EL86,((Loa+Lwl)/Bredde)^EL$3)</f>
        <v>1.8583176886572534</v>
      </c>
      <c r="EM273" s="107" t="str">
        <f>IF(SeilBeregnet=0,"-",EM$7*(EM$4*EO273+EM$6)*ER273*PropF+ErfaringsF+Dyp_F)</f>
        <v>-</v>
      </c>
      <c r="EO273" s="107">
        <f>IF(SeilBeregnet=0,EO86,(EP273*EQ273)^EO$3)</f>
        <v>5.6175439566734697</v>
      </c>
      <c r="EP273" s="107">
        <f>IF(SeilBeregnet=0,EP86,SeilBeregnet^0.5/Depl^0.33333)</f>
        <v>3.5292816882603932</v>
      </c>
      <c r="EQ273" s="107">
        <f>IF(SeilBeregnet=0,EQ86,((Loa+Lwl)/Bredde)^EQ$3)</f>
        <v>1.5916961163398649</v>
      </c>
      <c r="ER273" s="107">
        <f>IF(SeilBeregnet=0,ER86,Lwl^ER$3)</f>
        <v>1.8859172433475835</v>
      </c>
      <c r="ES273" s="107" t="str">
        <f t="shared" si="2305"/>
        <v>-</v>
      </c>
      <c r="EU273" s="107">
        <f>IF(SeilBeregnet=0,EU86,(EV:EV*EW:EW)^EU$3)</f>
        <v>1.8945424180832782</v>
      </c>
      <c r="EV273" s="107">
        <f>IF(SeilBeregnet=0,EV86,SeilBeregnet^0.5/Depl^0.33333)</f>
        <v>3.5292816882603932</v>
      </c>
      <c r="EW273" s="107">
        <f>IF(SeilBeregnet=0,EW86,((Loa+Lwl)/Bredde/6)^EW$3)</f>
        <v>1.0170032575909294</v>
      </c>
      <c r="EX273" s="107">
        <f>IF(SeilBeregnet=0,EX86,(Lwl*0.7+Loa*0.3)^EX$3)</f>
        <v>1.9111244003334622</v>
      </c>
      <c r="EY273" s="107" t="str">
        <f t="shared" si="2306"/>
        <v>-</v>
      </c>
      <c r="FA273" s="107">
        <f t="shared" si="2307"/>
        <v>1.8946360819397012</v>
      </c>
      <c r="FB273" s="107">
        <f>IF(SeilBeregnet=0,FB86,SeilBeregnet^0.5/Depl^0.3333)</f>
        <v>3.5296306636135579</v>
      </c>
      <c r="FC273" s="107">
        <f>IF(SeilBeregnet=0,FC86,((Loa+Lwl)/Bredde/6)^FC$3)</f>
        <v>1.0170032575909294</v>
      </c>
      <c r="FD273" s="107">
        <f>IF(SeilBeregnet=0,FD86,(Lwl*0.7+Loa*0.3)^FD$3)</f>
        <v>1.9111244003334622</v>
      </c>
      <c r="FE273" s="107" t="str">
        <f t="shared" si="2308"/>
        <v>-</v>
      </c>
      <c r="FF273" s="141" t="str">
        <f>IF($DY273=0,"-",(FE273-$DW273)*100)</f>
        <v>-</v>
      </c>
      <c r="FG273" s="107">
        <f t="shared" si="2310"/>
        <v>3.6506815565964832</v>
      </c>
      <c r="FH273" s="133">
        <f>IF(SeilBeregnet=0,FH86,(SeilBeregnet^0.5/(Depl^0.3333))^FH$3)</f>
        <v>3.5296306636135579</v>
      </c>
      <c r="FI273" s="133">
        <f>IF(SeilBeregnet=0,FI86,((Loa+Lwl)/Bredde/6)^FI$3)</f>
        <v>1.0342956259505622</v>
      </c>
      <c r="FJ273" s="107">
        <f>IF(SeilBeregnet=0,FJ86,(Lwl*0.07+Loa*0.03)^FJ$3)</f>
        <v>1.0747042278871302</v>
      </c>
      <c r="FK273" s="107" t="str">
        <f t="shared" si="2311"/>
        <v>-</v>
      </c>
      <c r="FL273" s="141" t="str">
        <f>IF($DY273=0,"-",(FK273-$DW273)*100)</f>
        <v>-</v>
      </c>
      <c r="FM273" s="107">
        <f t="shared" si="2313"/>
        <v>5.7312082247210734</v>
      </c>
      <c r="FN273" s="133">
        <f>IF(SeilBeregnet=0,FN86,(SeilBeregnet^0.5/(Depl^0.3333))^FN$3)</f>
        <v>3.5296306636135579</v>
      </c>
      <c r="FO273" s="133">
        <f>IF(SeilBeregnet=0,FO86,(SeilBeregnet^0.5/Lwl*FO$7)^FO$3)</f>
        <v>0.8369746044310783</v>
      </c>
      <c r="FP273" s="133">
        <f>IF(SeilBeregnet=0,FP86,((Loa)/Bredde)^FP$3*FP$7)</f>
        <v>1.8646029566764373</v>
      </c>
      <c r="FQ273" s="107">
        <f>IF(SeilBeregnet=0,FQ86,(Lwl)^FQ$3)</f>
        <v>1.8859172433475835</v>
      </c>
      <c r="FR273" s="107" t="str">
        <f t="shared" si="2314"/>
        <v>-</v>
      </c>
      <c r="FS273" s="141" t="str">
        <f>IF($DY273=0,"-",(FR273-$DW273)*100)</f>
        <v>-</v>
      </c>
      <c r="FT273" s="107">
        <f t="shared" si="2316"/>
        <v>6.5813597713496552</v>
      </c>
      <c r="FU273" s="133">
        <f>IF(SeilBeregnet=0,FU86,(SeilBeregnet^0.5/(Depl^0.3333))^FU$3)</f>
        <v>3.5296306636135579</v>
      </c>
      <c r="FV273" s="133">
        <f>IF(SeilBeregnet=0,FV86,(Loa/Bredde)^FV$3)</f>
        <v>1.8646029566764373</v>
      </c>
      <c r="FW273" s="107">
        <f>IF(SeilBeregnet=0,FW86,Lwl^FW$3)</f>
        <v>1.8859172433475835</v>
      </c>
      <c r="FY273" s="336">
        <v>1</v>
      </c>
      <c r="FZ273" s="62" t="str">
        <f t="shared" si="2074"/>
        <v>-</v>
      </c>
      <c r="GA273" s="62">
        <f t="shared" si="2075"/>
        <v>2</v>
      </c>
      <c r="GB273" s="107" t="str">
        <f t="shared" si="1270"/>
        <v>-</v>
      </c>
      <c r="GC273" s="441" t="s">
        <v>616</v>
      </c>
      <c r="GD273" s="57" t="s">
        <v>2</v>
      </c>
      <c r="GE273" s="436" t="s">
        <v>617</v>
      </c>
      <c r="GF273" s="75" t="s">
        <v>618</v>
      </c>
      <c r="GG273" s="57" t="s">
        <v>619</v>
      </c>
      <c r="GH273" s="57" t="s">
        <v>620</v>
      </c>
      <c r="GI273" s="57" t="s">
        <v>413</v>
      </c>
      <c r="GJ273" s="57" t="s">
        <v>478</v>
      </c>
      <c r="GL273" s="57" t="s">
        <v>478</v>
      </c>
      <c r="GM273" s="436" t="s">
        <v>478</v>
      </c>
      <c r="GN273" s="58" t="s">
        <v>478</v>
      </c>
      <c r="GO273" s="58" t="s">
        <v>478</v>
      </c>
      <c r="GP273" s="58" t="s">
        <v>478</v>
      </c>
      <c r="GQ273" s="58" t="s">
        <v>478</v>
      </c>
      <c r="GS273" s="57"/>
      <c r="GT273" s="57"/>
      <c r="GU273" s="57"/>
      <c r="GV273" s="632"/>
      <c r="GW273" s="57"/>
      <c r="GX273" s="57"/>
      <c r="GY273" s="57"/>
      <c r="GZ273" s="57"/>
    </row>
    <row r="274" spans="1:208" ht="15.6" x14ac:dyDescent="0.3">
      <c r="A274" s="60" t="s">
        <v>33</v>
      </c>
      <c r="B274" s="218"/>
      <c r="C274" s="61" t="str">
        <f>C273</f>
        <v>Bermuda</v>
      </c>
      <c r="D274" s="61"/>
      <c r="E274" s="61"/>
      <c r="F274" s="61"/>
      <c r="G274" s="54"/>
      <c r="H274" s="204">
        <f>IF(StH=0,0,TBFavrundet)</f>
        <v>0</v>
      </c>
      <c r="I274" s="63">
        <f>COUNTA(O274:AG274)</f>
        <v>0</v>
      </c>
      <c r="J274" s="222">
        <f>SUM(O274:AG274)</f>
        <v>0</v>
      </c>
      <c r="K274" s="116" t="e">
        <f>Seilareal/Depl^0.667/K$7</f>
        <v>#DIV/0!</v>
      </c>
      <c r="L274" s="116" t="e">
        <f>Seilareal/Lwl/Lwl/L$7</f>
        <v>#DIV/0!</v>
      </c>
      <c r="M274" s="92" t="e">
        <f>RiggF</f>
        <v>#DIV/0!</v>
      </c>
      <c r="N274" s="242" t="str">
        <f>StHfaktor</f>
        <v>-</v>
      </c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551"/>
      <c r="AH274" s="557">
        <f t="shared" ref="AH274:AI274" si="2516">AH273</f>
        <v>0</v>
      </c>
      <c r="AI274" s="557">
        <f t="shared" si="2516"/>
        <v>0</v>
      </c>
      <c r="AJ274" s="337">
        <f t="shared" ref="AJ274:AL275" si="2517" xml:space="preserve"> AJ273</f>
        <v>0</v>
      </c>
      <c r="AK274" s="339"/>
      <c r="AL274" s="337">
        <f t="shared" si="2517"/>
        <v>0</v>
      </c>
      <c r="AM274" s="339"/>
      <c r="AN274" s="267" t="str">
        <f t="shared" ref="AN274:AN275" si="2518" xml:space="preserve"> AN273</f>
        <v>Meter</v>
      </c>
      <c r="AO274" s="45">
        <f>VLOOKUP(AN274,Skrogform!$1:$1048576,3,FALSE)</f>
        <v>1</v>
      </c>
      <c r="AP274" s="64">
        <f t="shared" ref="AP274:AZ274" si="2519">AP273</f>
        <v>0</v>
      </c>
      <c r="AQ274" s="64">
        <f t="shared" si="2519"/>
        <v>0</v>
      </c>
      <c r="AR274" s="64">
        <f t="shared" si="2519"/>
        <v>0</v>
      </c>
      <c r="AS274" s="64">
        <f t="shared" si="2519"/>
        <v>0</v>
      </c>
      <c r="AT274" s="64">
        <f t="shared" ref="AT274" si="2520">AT273</f>
        <v>0</v>
      </c>
      <c r="AU274" s="64">
        <f t="shared" si="2519"/>
        <v>0</v>
      </c>
      <c r="AV274" s="64">
        <f t="shared" si="2519"/>
        <v>0</v>
      </c>
      <c r="AW274" s="64">
        <f t="shared" si="2519"/>
        <v>0</v>
      </c>
      <c r="AX274" s="256">
        <f>AX273</f>
        <v>0</v>
      </c>
      <c r="AY274" s="256">
        <f t="shared" si="2519"/>
        <v>0</v>
      </c>
      <c r="AZ274" s="256">
        <f t="shared" si="2519"/>
        <v>0</v>
      </c>
      <c r="BA274" s="256">
        <f t="shared" ref="BA274:BB274" si="2521">BA273</f>
        <v>0</v>
      </c>
      <c r="BB274" s="256">
        <f t="shared" si="2521"/>
        <v>0</v>
      </c>
      <c r="BC274" s="256"/>
      <c r="BD274" s="66"/>
      <c r="BE274" s="66"/>
      <c r="BF274" s="261"/>
      <c r="BG274" s="66"/>
      <c r="BH274" s="175"/>
      <c r="BI274" s="66"/>
      <c r="BJ274" s="66"/>
      <c r="BK274" s="65">
        <f t="shared" ref="BK274:BM274" si="2522" xml:space="preserve"> BK273</f>
        <v>0</v>
      </c>
      <c r="BL274" s="267">
        <f t="shared" si="2522"/>
        <v>0</v>
      </c>
      <c r="BM274" s="267">
        <f t="shared" si="2522"/>
        <v>0</v>
      </c>
      <c r="BN274" s="45">
        <f t="shared" si="2291"/>
        <v>1</v>
      </c>
      <c r="BO274" s="59"/>
      <c r="BP274" s="59"/>
      <c r="BR274" s="49">
        <f t="shared" ref="BR274:BX275" si="2523">IF(O274=0,0,O274*BR$9)</f>
        <v>0</v>
      </c>
      <c r="BS274" s="49">
        <f t="shared" si="2523"/>
        <v>0</v>
      </c>
      <c r="BT274" s="49">
        <f t="shared" si="2523"/>
        <v>0</v>
      </c>
      <c r="BU274" s="49">
        <f t="shared" si="2523"/>
        <v>0</v>
      </c>
      <c r="BV274" s="49">
        <f t="shared" si="2523"/>
        <v>0</v>
      </c>
      <c r="BW274" s="49">
        <f t="shared" si="2523"/>
        <v>0</v>
      </c>
      <c r="BX274" s="49">
        <f t="shared" si="2523"/>
        <v>0</v>
      </c>
      <c r="BY274" s="549">
        <f>IF(COUNT(Q274:U274)&gt;1,MINA(Q274:U274)*BY$9,0)</f>
        <v>0</v>
      </c>
      <c r="BZ274" s="85">
        <f t="shared" ref="BZ274:CD275" si="2524">IF(V274=0,0,V274*BZ$9)</f>
        <v>0</v>
      </c>
      <c r="CA274" s="85">
        <f t="shared" si="2524"/>
        <v>0</v>
      </c>
      <c r="CB274" s="85">
        <f t="shared" si="2524"/>
        <v>0</v>
      </c>
      <c r="CC274" s="85">
        <f t="shared" si="2524"/>
        <v>0</v>
      </c>
      <c r="CD274" s="85">
        <f t="shared" si="2524"/>
        <v>0</v>
      </c>
      <c r="CE274" s="85">
        <f>IF(AC274=0,0,AC274*CE$9)</f>
        <v>0</v>
      </c>
      <c r="CF274" s="85">
        <f>IF(AA274=0,0,AA274*CF$9)</f>
        <v>0</v>
      </c>
      <c r="CG274" s="85">
        <f>IF(AB274=0,0,AB274*CG$9)</f>
        <v>0</v>
      </c>
      <c r="CH274" s="85">
        <f t="shared" ref="CH274:CK275" si="2525">IF(AD274=0,0,AD274*CH$9)</f>
        <v>0</v>
      </c>
      <c r="CI274" s="85">
        <f t="shared" si="2525"/>
        <v>0</v>
      </c>
      <c r="CJ274" s="85">
        <f t="shared" si="2525"/>
        <v>0</v>
      </c>
      <c r="CK274" s="85">
        <f t="shared" si="2525"/>
        <v>0</v>
      </c>
      <c r="CL274" s="100">
        <f>SUM(BR274:CK274)</f>
        <v>0</v>
      </c>
      <c r="CM274" s="50"/>
      <c r="CN274" s="104">
        <f>J274</f>
        <v>0</v>
      </c>
      <c r="CO274" s="101" t="e">
        <f>CL274/CN274</f>
        <v>#DIV/0!</v>
      </c>
      <c r="CP274" s="51" t="e">
        <f>Seilareal/Lwl/Lwl</f>
        <v>#DIV/0!</v>
      </c>
      <c r="CQ274" s="116" t="e">
        <f>Seilareal/Depl^0.667/K$7</f>
        <v>#DIV/0!</v>
      </c>
      <c r="CR274" s="51" t="e">
        <f>Seilareal/Lwl/Lwl/SApRS1</f>
        <v>#DIV/0!</v>
      </c>
      <c r="CS274" s="204"/>
      <c r="CT274" s="204" t="e">
        <f>(ROUND(TBF/CT$6,3)*CT$6)*CT$4</f>
        <v>#VALUE!</v>
      </c>
      <c r="CU274" s="107" t="str">
        <f t="shared" si="83"/>
        <v>-</v>
      </c>
      <c r="CV274" s="62" t="str">
        <f t="shared" si="2119"/>
        <v>-</v>
      </c>
      <c r="CW274" s="62" t="str">
        <f t="shared" si="84"/>
        <v>-</v>
      </c>
      <c r="CX274" s="62" t="str">
        <f t="shared" si="2120"/>
        <v>-</v>
      </c>
      <c r="CY274" s="107" t="str">
        <f t="shared" si="85"/>
        <v>-</v>
      </c>
      <c r="CZ274" s="168" t="str">
        <f>IF(DA274=0,"-",IF(CP274="TBF","-",CZ$7*DA274))</f>
        <v>-</v>
      </c>
      <c r="DA274" s="159">
        <f>DA273</f>
        <v>0</v>
      </c>
      <c r="DB274" s="168" t="str">
        <f>IF(DC274=0,"-",IF(CT274="TBF","-",DB$7*DC274))</f>
        <v>-</v>
      </c>
      <c r="DC274" s="159">
        <f>DC273</f>
        <v>0</v>
      </c>
      <c r="DD274" s="190" t="s">
        <v>134</v>
      </c>
      <c r="DE274" s="62" t="s">
        <v>102</v>
      </c>
      <c r="DF274" s="62" t="s">
        <v>102</v>
      </c>
      <c r="DG274" s="62" t="s">
        <v>102</v>
      </c>
      <c r="DH274" s="150" t="s">
        <v>102</v>
      </c>
      <c r="DI274" s="62" t="str">
        <f t="shared" si="1374"/>
        <v>-</v>
      </c>
      <c r="DJ274" s="47">
        <f t="shared" si="1375"/>
        <v>0</v>
      </c>
      <c r="DK274" s="48">
        <f>DJ$7*IF(DJ274&lt;DJ$5,-0.04,IF(DJ274&lt;DJ$5*1.1,-0.03,IF(DJ274&lt;DJ$5*1.2,-0.02,IF(DJ274&lt;DJ$5*1.3,-0.01,0))))</f>
        <v>0</v>
      </c>
      <c r="DM274" s="107" t="str">
        <f t="shared" si="2295"/>
        <v>-</v>
      </c>
      <c r="DN274" s="141" t="str">
        <f>IF($DY274=0,"-",(DM274-$DW274)*100)</f>
        <v>-</v>
      </c>
      <c r="DO274" s="107">
        <f>SUM(DP274:DS274)^DO$3+DO$7</f>
        <v>5.3942336202899952</v>
      </c>
      <c r="DP274" s="133">
        <f>IF(SeilBeregnet=0,DP273,(SeilBeregnet^0.5/(Depl^0.3333))^DP$3*DP$7)</f>
        <v>3.5296306636135579</v>
      </c>
      <c r="DQ274" s="133">
        <f>IF(SeilBeregnet=0,DQ273,(SeilBeregnet^0.5/Lwl)^DQ$3*DQ$7)</f>
        <v>0</v>
      </c>
      <c r="DR274" s="133">
        <f>IF(SeilBeregnet=0,DR273,(0.1*Loa/Depl^0.3333)^DR$3*DR$7)</f>
        <v>0</v>
      </c>
      <c r="DS274" s="133">
        <f>IF(SeilBeregnet=0,DS273,((Loa)/Bredde)^DS$3*DS$7)</f>
        <v>1.8646029566764373</v>
      </c>
      <c r="DT274" s="107">
        <f>IF(SeilBeregnet=0,DT273,(Lwl)^DT$3)</f>
        <v>1.8859172433475835</v>
      </c>
      <c r="DU274" s="133">
        <f>IF(SeilBeregnet=0,DU273,(Dypg/Loa)^DU$3*5*DU$7)</f>
        <v>2.0446520502738266</v>
      </c>
      <c r="DW274" s="107" t="str">
        <f t="shared" si="1241"/>
        <v>-</v>
      </c>
      <c r="DX274" s="107" t="str">
        <f t="shared" si="1376"/>
        <v>-</v>
      </c>
      <c r="DZ274" s="107" t="str">
        <f t="shared" si="1377"/>
        <v>-</v>
      </c>
      <c r="EA274" s="122" t="str">
        <f>IF($DY274=0,"-",DZ274-$DW274)</f>
        <v>-</v>
      </c>
      <c r="EB274" s="107" t="str">
        <f>IF(SeilBeregnet=0,"-",EB$7*(EB$4*ED274*EE274*EF274*PropF+EB$6)+ErfaringsF+Dyp_F)</f>
        <v>-</v>
      </c>
      <c r="EC274" s="122" t="str">
        <f>IF($DY274=0,"-",EB274-$DW274)</f>
        <v>-</v>
      </c>
      <c r="ED274" s="107">
        <f>IF(SeilBeregnet=0,ED273,SeilBeregnet^0.5/Depl^0.33333)</f>
        <v>3.5292816882603932</v>
      </c>
      <c r="EE274" s="107">
        <f>IF(SeilBeregnet=0,EE273,Lwl^0.3333)</f>
        <v>2.3298436208665341</v>
      </c>
      <c r="EF274" s="107">
        <f>IF(SeilBeregnet=0,EF273,((Loa+Lwl)/Bredde)^EF$3)</f>
        <v>1.5916961163398649</v>
      </c>
      <c r="EH274" s="107" t="str">
        <f>IF(SeilBeregnet=0,"-",EH$7*(EH$4*EJ274*EK274*EL274*PropF+EH$6)+ErfaringsF+Dyp_F)</f>
        <v>-</v>
      </c>
      <c r="EJ274" s="107">
        <f>IF(SeilBeregnet=0,EJ273,SeilBeregnet^0.5/Depl^0.33333)</f>
        <v>3.5292816882603932</v>
      </c>
      <c r="EK274" s="107">
        <f>IF(SeilBeregnet=0,EK273,Lwl^EK$3)</f>
        <v>2.3300209979525235</v>
      </c>
      <c r="EL274" s="107">
        <f>IF(SeilBeregnet=0,EL273,((Loa+Lwl)/Bredde)^EL$3)</f>
        <v>1.8583176886572534</v>
      </c>
      <c r="EM274" s="107" t="str">
        <f>IF(SeilBeregnet=0,"-",EM$7*(EM$4*EO274+EM$6)*ER274*PropF+ErfaringsF+Dyp_F)</f>
        <v>-</v>
      </c>
      <c r="EO274" s="107">
        <f>IF(SeilBeregnet=0,EO273,(EP274*EQ274)^EO$3)</f>
        <v>5.6175439566734697</v>
      </c>
      <c r="EP274" s="107">
        <f>IF(SeilBeregnet=0,EP273,SeilBeregnet^0.5/Depl^0.33333)</f>
        <v>3.5292816882603932</v>
      </c>
      <c r="EQ274" s="107">
        <f>IF(SeilBeregnet=0,EQ273,((Loa+Lwl)/Bredde)^EQ$3)</f>
        <v>1.5916961163398649</v>
      </c>
      <c r="ER274" s="107">
        <f>IF(SeilBeregnet=0,ER273,Lwl^ER$3)</f>
        <v>1.8859172433475835</v>
      </c>
      <c r="ES274" s="107" t="str">
        <f t="shared" si="2305"/>
        <v>-</v>
      </c>
      <c r="EU274" s="107">
        <f>IF(SeilBeregnet=0,EU273,(EV:EV*EW:EW)^EU$3)</f>
        <v>1.8945424180832782</v>
      </c>
      <c r="EV274" s="107">
        <f>IF(SeilBeregnet=0,EV273,SeilBeregnet^0.5/Depl^0.33333)</f>
        <v>3.5292816882603932</v>
      </c>
      <c r="EW274" s="107">
        <f>IF(SeilBeregnet=0,EW273,((Loa+Lwl)/Bredde/6)^EW$3)</f>
        <v>1.0170032575909294</v>
      </c>
      <c r="EX274" s="107">
        <f>IF(SeilBeregnet=0,EX273,(Lwl*0.7+Loa*0.3)^EX$3)</f>
        <v>1.9111244003334622</v>
      </c>
      <c r="EY274" s="107" t="str">
        <f t="shared" si="2306"/>
        <v>-</v>
      </c>
      <c r="FA274" s="107">
        <f t="shared" si="2307"/>
        <v>1.8946360819397012</v>
      </c>
      <c r="FB274" s="107">
        <f>IF(SeilBeregnet=0,FB273,SeilBeregnet^0.5/Depl^0.3333)</f>
        <v>3.5296306636135579</v>
      </c>
      <c r="FC274" s="107">
        <f>IF(SeilBeregnet=0,FC273,((Loa+Lwl)/Bredde/6)^FC$3)</f>
        <v>1.0170032575909294</v>
      </c>
      <c r="FD274" s="107">
        <f>IF(SeilBeregnet=0,FD273,(Lwl*0.7+Loa*0.3)^FD$3)</f>
        <v>1.9111244003334622</v>
      </c>
      <c r="FE274" s="107" t="str">
        <f t="shared" si="2308"/>
        <v>-</v>
      </c>
      <c r="FF274" s="141" t="str">
        <f>IF($DY274=0,"-",(FE274-$DW274)*100)</f>
        <v>-</v>
      </c>
      <c r="FG274" s="107">
        <f t="shared" si="2310"/>
        <v>3.6506815565964832</v>
      </c>
      <c r="FH274" s="133">
        <f>IF(SeilBeregnet=0,FH273,(SeilBeregnet^0.5/(Depl^0.3333))^FH$3)</f>
        <v>3.5296306636135579</v>
      </c>
      <c r="FI274" s="133">
        <f>IF(SeilBeregnet=0,FI273,((Loa+Lwl)/Bredde/6)^FI$3)</f>
        <v>1.0342956259505622</v>
      </c>
      <c r="FJ274" s="107">
        <f>IF(SeilBeregnet=0,FJ273,(Lwl*0.07+Loa*0.03)^FJ$3)</f>
        <v>1.0747042278871302</v>
      </c>
      <c r="FK274" s="107" t="str">
        <f t="shared" si="2311"/>
        <v>-</v>
      </c>
      <c r="FL274" s="141" t="str">
        <f>IF($DY274=0,"-",(FK274-$DW274)*100)</f>
        <v>-</v>
      </c>
      <c r="FM274" s="107">
        <f t="shared" si="2313"/>
        <v>5.7312082247210734</v>
      </c>
      <c r="FN274" s="133">
        <f>IF(SeilBeregnet=0,FN273,(SeilBeregnet^0.5/(Depl^0.3333))^FN$3)</f>
        <v>3.5296306636135579</v>
      </c>
      <c r="FO274" s="133">
        <f>IF(SeilBeregnet=0,FO273,(SeilBeregnet^0.5/Lwl*FO$7)^FO$3)</f>
        <v>0.8369746044310783</v>
      </c>
      <c r="FP274" s="133">
        <f>IF(SeilBeregnet=0,FP273,((Loa)/Bredde)^FP$3*FP$7)</f>
        <v>1.8646029566764373</v>
      </c>
      <c r="FQ274" s="107">
        <f>IF(SeilBeregnet=0,FQ273,(Lwl)^FQ$3)</f>
        <v>1.8859172433475835</v>
      </c>
      <c r="FR274" s="107" t="str">
        <f t="shared" si="2314"/>
        <v>-</v>
      </c>
      <c r="FS274" s="141" t="str">
        <f>IF($DY274=0,"-",(FR274-$DW274)*100)</f>
        <v>-</v>
      </c>
      <c r="FT274" s="107">
        <f t="shared" si="2316"/>
        <v>6.5813597713496552</v>
      </c>
      <c r="FU274" s="133">
        <f>IF(SeilBeregnet=0,FU273,(SeilBeregnet^0.5/(Depl^0.3333))^FU$3)</f>
        <v>3.5296306636135579</v>
      </c>
      <c r="FV274" s="133">
        <f>IF(SeilBeregnet=0,FV273,(Loa/Bredde)^FV$3)</f>
        <v>1.8646029566764373</v>
      </c>
      <c r="FW274" s="107">
        <f>IF(SeilBeregnet=0,FW273,Lwl^FW$3)</f>
        <v>1.8859172433475835</v>
      </c>
      <c r="FY274" s="336">
        <v>1</v>
      </c>
      <c r="FZ274" s="62" t="str">
        <f t="shared" si="2074"/>
        <v>-</v>
      </c>
      <c r="GA274" s="62">
        <f t="shared" si="2075"/>
        <v>2</v>
      </c>
      <c r="GB274" s="107" t="str">
        <f t="shared" si="1270"/>
        <v>-</v>
      </c>
      <c r="GC274" s="440"/>
      <c r="GD274" s="17"/>
      <c r="GE274" s="442"/>
      <c r="GF274" s="462"/>
      <c r="GG274" s="17"/>
      <c r="GH274" s="17"/>
      <c r="GI274" s="17"/>
      <c r="GJ274" s="17"/>
      <c r="GL274" s="17"/>
      <c r="GM274" s="442"/>
      <c r="GN274" s="8"/>
      <c r="GO274" s="8"/>
      <c r="GP274" s="8"/>
      <c r="GQ274" s="8"/>
      <c r="GS274" s="17"/>
      <c r="GT274" s="17"/>
      <c r="GU274" s="17"/>
      <c r="GV274" s="629"/>
      <c r="GW274" s="17"/>
      <c r="GX274" s="17"/>
      <c r="GY274" s="17"/>
      <c r="GZ274" s="17"/>
    </row>
    <row r="275" spans="1:208" ht="15.6" x14ac:dyDescent="0.3">
      <c r="A275" s="60"/>
      <c r="B275" s="218"/>
      <c r="C275" s="61" t="str">
        <f t="shared" ref="C275" si="2526">C274</f>
        <v>Bermuda</v>
      </c>
      <c r="D275" s="61"/>
      <c r="E275" s="61"/>
      <c r="F275" s="61"/>
      <c r="G275" s="54"/>
      <c r="H275" s="204">
        <f>IF(StH=0,0,TBFavrundet)</f>
        <v>0</v>
      </c>
      <c r="I275" s="63">
        <f>COUNTA(O275:AG275)</f>
        <v>0</v>
      </c>
      <c r="J275" s="222">
        <f>SUM(O275:AG275)</f>
        <v>0</v>
      </c>
      <c r="K275" s="116" t="e">
        <f>Seilareal/Depl^0.667/K$7</f>
        <v>#DIV/0!</v>
      </c>
      <c r="L275" s="116" t="e">
        <f>Seilareal/Lwl/Lwl/L$7</f>
        <v>#DIV/0!</v>
      </c>
      <c r="M275" s="92" t="e">
        <f>RiggF</f>
        <v>#DIV/0!</v>
      </c>
      <c r="N275" s="242" t="str">
        <f>StHfaktor</f>
        <v>-</v>
      </c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551"/>
      <c r="AH275" s="557">
        <f t="shared" ref="AH275:AI275" si="2527">AH274</f>
        <v>0</v>
      </c>
      <c r="AI275" s="557">
        <f t="shared" si="2527"/>
        <v>0</v>
      </c>
      <c r="AJ275" s="337">
        <f t="shared" si="2517"/>
        <v>0</v>
      </c>
      <c r="AK275" s="339"/>
      <c r="AL275" s="337">
        <f t="shared" si="2517"/>
        <v>0</v>
      </c>
      <c r="AM275" s="339"/>
      <c r="AN275" s="267" t="str">
        <f t="shared" si="2518"/>
        <v>Meter</v>
      </c>
      <c r="AO275" s="45">
        <f>VLOOKUP(AN275,Skrogform!$1:$1048576,3,FALSE)</f>
        <v>1</v>
      </c>
      <c r="AP275" s="64">
        <f t="shared" ref="AP275:AZ275" si="2528">AP274</f>
        <v>0</v>
      </c>
      <c r="AQ275" s="64">
        <f t="shared" si="2528"/>
        <v>0</v>
      </c>
      <c r="AR275" s="64">
        <f t="shared" si="2528"/>
        <v>0</v>
      </c>
      <c r="AS275" s="64">
        <f t="shared" si="2528"/>
        <v>0</v>
      </c>
      <c r="AT275" s="64">
        <f t="shared" ref="AT275" si="2529">AT274</f>
        <v>0</v>
      </c>
      <c r="AU275" s="64">
        <f t="shared" si="2528"/>
        <v>0</v>
      </c>
      <c r="AV275" s="64">
        <f t="shared" si="2528"/>
        <v>0</v>
      </c>
      <c r="AW275" s="64">
        <f t="shared" si="2528"/>
        <v>0</v>
      </c>
      <c r="AX275" s="256">
        <f>AX274</f>
        <v>0</v>
      </c>
      <c r="AY275" s="256">
        <f t="shared" si="2528"/>
        <v>0</v>
      </c>
      <c r="AZ275" s="256">
        <f t="shared" si="2528"/>
        <v>0</v>
      </c>
      <c r="BA275" s="256">
        <f t="shared" ref="BA275:BB275" si="2530">BA274</f>
        <v>0</v>
      </c>
      <c r="BB275" s="256">
        <f t="shared" si="2530"/>
        <v>0</v>
      </c>
      <c r="BC275" s="256"/>
      <c r="BD275" s="66"/>
      <c r="BE275" s="66"/>
      <c r="BF275" s="261"/>
      <c r="BG275" s="66"/>
      <c r="BH275" s="175"/>
      <c r="BI275" s="66"/>
      <c r="BJ275" s="66"/>
      <c r="BK275" s="65">
        <f t="shared" ref="BK275:BM275" si="2531" xml:space="preserve"> BK274</f>
        <v>0</v>
      </c>
      <c r="BL275" s="267">
        <f t="shared" si="2531"/>
        <v>0</v>
      </c>
      <c r="BM275" s="267">
        <f t="shared" si="2531"/>
        <v>0</v>
      </c>
      <c r="BN275" s="45">
        <f t="shared" si="2291"/>
        <v>1</v>
      </c>
      <c r="BO275" s="59"/>
      <c r="BP275" s="59"/>
      <c r="BR275" s="49">
        <f t="shared" si="2523"/>
        <v>0</v>
      </c>
      <c r="BS275" s="49">
        <f t="shared" si="2523"/>
        <v>0</v>
      </c>
      <c r="BT275" s="49">
        <f t="shared" si="2523"/>
        <v>0</v>
      </c>
      <c r="BU275" s="49">
        <f t="shared" si="2523"/>
        <v>0</v>
      </c>
      <c r="BV275" s="49">
        <f t="shared" si="2523"/>
        <v>0</v>
      </c>
      <c r="BW275" s="49">
        <f t="shared" si="2523"/>
        <v>0</v>
      </c>
      <c r="BX275" s="49">
        <f t="shared" si="2523"/>
        <v>0</v>
      </c>
      <c r="BY275" s="549">
        <f>IF(COUNT(Q275:U275)&gt;1,MINA(Q275:U275)*BY$9,0)</f>
        <v>0</v>
      </c>
      <c r="BZ275" s="85">
        <f t="shared" si="2524"/>
        <v>0</v>
      </c>
      <c r="CA275" s="85">
        <f t="shared" si="2524"/>
        <v>0</v>
      </c>
      <c r="CB275" s="85">
        <f t="shared" si="2524"/>
        <v>0</v>
      </c>
      <c r="CC275" s="85">
        <f t="shared" si="2524"/>
        <v>0</v>
      </c>
      <c r="CD275" s="85">
        <f t="shared" si="2524"/>
        <v>0</v>
      </c>
      <c r="CE275" s="85">
        <f>IF(AC275=0,0,AC275*CE$9)</f>
        <v>0</v>
      </c>
      <c r="CF275" s="85">
        <f>IF(AA275=0,0,AA275*CF$9)</f>
        <v>0</v>
      </c>
      <c r="CG275" s="85">
        <f>IF(AB275=0,0,AB275*CG$9)</f>
        <v>0</v>
      </c>
      <c r="CH275" s="85">
        <f t="shared" si="2525"/>
        <v>0</v>
      </c>
      <c r="CI275" s="85">
        <f t="shared" si="2525"/>
        <v>0</v>
      </c>
      <c r="CJ275" s="85">
        <f t="shared" si="2525"/>
        <v>0</v>
      </c>
      <c r="CK275" s="85">
        <f t="shared" si="2525"/>
        <v>0</v>
      </c>
      <c r="CL275" s="100">
        <f>SUM(BR275:CK275)</f>
        <v>0</v>
      </c>
      <c r="CM275" s="50"/>
      <c r="CN275" s="104">
        <f>J275</f>
        <v>0</v>
      </c>
      <c r="CO275" s="101" t="e">
        <f>CL275/CN275</f>
        <v>#DIV/0!</v>
      </c>
      <c r="CP275" s="51" t="e">
        <f>Seilareal/Lwl/Lwl</f>
        <v>#DIV/0!</v>
      </c>
      <c r="CQ275" s="116" t="e">
        <f>Seilareal/Depl^0.667/K$7</f>
        <v>#DIV/0!</v>
      </c>
      <c r="CR275" s="51" t="e">
        <f>Seilareal/Lwl/Lwl/SApRS1</f>
        <v>#DIV/0!</v>
      </c>
      <c r="CS275" s="204"/>
      <c r="CT275" s="204" t="e">
        <f>(ROUND(TBF/CT$6,3)*CT$6)*CT$4</f>
        <v>#VALUE!</v>
      </c>
      <c r="CU275" s="107" t="str">
        <f t="shared" si="83"/>
        <v>-</v>
      </c>
      <c r="CV275" s="62" t="str">
        <f t="shared" si="2119"/>
        <v>-</v>
      </c>
      <c r="CW275" s="62" t="str">
        <f t="shared" si="84"/>
        <v>-</v>
      </c>
      <c r="CX275" s="62" t="str">
        <f t="shared" si="2120"/>
        <v>-</v>
      </c>
      <c r="CY275" s="107" t="str">
        <f t="shared" si="85"/>
        <v>-</v>
      </c>
      <c r="CZ275" s="168" t="str">
        <f>IF(DA275=0,"-",IF(CP275="TBF","-",CZ$7*DA275))</f>
        <v>-</v>
      </c>
      <c r="DA275" s="158"/>
      <c r="DB275" s="168" t="str">
        <f>IF(DC275=0,"-",IF(CT275="TBF","-",DB$7*DC275))</f>
        <v>-</v>
      </c>
      <c r="DC275" s="160"/>
      <c r="DD275" s="190" t="s">
        <v>134</v>
      </c>
      <c r="DE275" s="62" t="s">
        <v>102</v>
      </c>
      <c r="DF275" s="62" t="s">
        <v>102</v>
      </c>
      <c r="DG275" s="62" t="s">
        <v>102</v>
      </c>
      <c r="DH275" s="150" t="s">
        <v>102</v>
      </c>
      <c r="DI275" s="62" t="str">
        <f t="shared" si="1374"/>
        <v>-</v>
      </c>
      <c r="DJ275" s="47">
        <f t="shared" si="1375"/>
        <v>0</v>
      </c>
      <c r="DK275" s="48">
        <f>DJ$7*IF(DJ275&lt;DJ$5,-0.04,IF(DJ275&lt;DJ$5*1.1,-0.03,IF(DJ275&lt;DJ$5*1.2,-0.02,IF(DJ275&lt;DJ$5*1.3,-0.01,0))))</f>
        <v>0</v>
      </c>
      <c r="DM275" s="107" t="str">
        <f t="shared" si="2295"/>
        <v>-</v>
      </c>
      <c r="DN275" s="141" t="str">
        <f>IF($DY275=0,"-",(DM275-$DW275)*100)</f>
        <v>-</v>
      </c>
      <c r="DO275" s="107">
        <f>SUM(DP275:DS275)^DO$3+DO$7</f>
        <v>5.3942336202899952</v>
      </c>
      <c r="DP275" s="133">
        <f>IF(SeilBeregnet=0,DP274,(SeilBeregnet^0.5/(Depl^0.3333))^DP$3*DP$7)</f>
        <v>3.5296306636135579</v>
      </c>
      <c r="DQ275" s="133">
        <f>IF(SeilBeregnet=0,DQ274,(SeilBeregnet^0.5/Lwl)^DQ$3*DQ$7)</f>
        <v>0</v>
      </c>
      <c r="DR275" s="133">
        <f>IF(SeilBeregnet=0,DR274,(0.1*Loa/Depl^0.3333)^DR$3*DR$7)</f>
        <v>0</v>
      </c>
      <c r="DS275" s="133">
        <f>IF(SeilBeregnet=0,DS274,((Loa)/Bredde)^DS$3*DS$7)</f>
        <v>1.8646029566764373</v>
      </c>
      <c r="DT275" s="107">
        <f>IF(SeilBeregnet=0,DT274,(Lwl)^DT$3)</f>
        <v>1.8859172433475835</v>
      </c>
      <c r="DU275" s="133">
        <f>IF(SeilBeregnet=0,DU274,(Dypg/Loa)^DU$3*5*DU$7)</f>
        <v>2.0446520502738266</v>
      </c>
      <c r="DW275" s="107" t="str">
        <f t="shared" si="1241"/>
        <v>-</v>
      </c>
      <c r="DX275" s="107" t="str">
        <f t="shared" si="1376"/>
        <v>-</v>
      </c>
      <c r="DZ275" s="107" t="str">
        <f t="shared" si="1377"/>
        <v>-</v>
      </c>
      <c r="EA275" s="122" t="str">
        <f>IF($DY275=0,"-",DZ275-$DW275)</f>
        <v>-</v>
      </c>
      <c r="EB275" s="107" t="str">
        <f>IF(SeilBeregnet=0,"-",EB$7*(EB$4*ED275*EE275*EF275*PropF+EB$6)+ErfaringsF+Dyp_F)</f>
        <v>-</v>
      </c>
      <c r="EC275" s="122" t="str">
        <f>IF($DY275=0,"-",EB275-$DW275)</f>
        <v>-</v>
      </c>
      <c r="ED275" s="107">
        <f>IF(SeilBeregnet=0,ED274,SeilBeregnet^0.5/Depl^0.33333)</f>
        <v>3.5292816882603932</v>
      </c>
      <c r="EE275" s="107">
        <f>IF(SeilBeregnet=0,EE274,Lwl^0.3333)</f>
        <v>2.3298436208665341</v>
      </c>
      <c r="EF275" s="107">
        <f>IF(SeilBeregnet=0,EF274,((Loa+Lwl)/Bredde)^EF$3)</f>
        <v>1.5916961163398649</v>
      </c>
      <c r="EH275" s="107" t="str">
        <f>IF(SeilBeregnet=0,"-",EH$7*(EH$4*EJ275*EK275*EL275*PropF+EH$6)+ErfaringsF+Dyp_F)</f>
        <v>-</v>
      </c>
      <c r="EJ275" s="107">
        <f>IF(SeilBeregnet=0,EJ274,SeilBeregnet^0.5/Depl^0.33333)</f>
        <v>3.5292816882603932</v>
      </c>
      <c r="EK275" s="107">
        <f>IF(SeilBeregnet=0,EK274,Lwl^EK$3)</f>
        <v>2.3300209979525235</v>
      </c>
      <c r="EL275" s="107">
        <f>IF(SeilBeregnet=0,EL274,((Loa+Lwl)/Bredde)^EL$3)</f>
        <v>1.8583176886572534</v>
      </c>
      <c r="EM275" s="107" t="str">
        <f>IF(SeilBeregnet=0,"-",EM$7*(EM$4*EO275+EM$6)*ER275*PropF+ErfaringsF+Dyp_F)</f>
        <v>-</v>
      </c>
      <c r="EO275" s="107">
        <f>IF(SeilBeregnet=0,EO274,(EP275*EQ275)^EO$3)</f>
        <v>5.6175439566734697</v>
      </c>
      <c r="EP275" s="107">
        <f>IF(SeilBeregnet=0,EP274,SeilBeregnet^0.5/Depl^0.33333)</f>
        <v>3.5292816882603932</v>
      </c>
      <c r="EQ275" s="107">
        <f>IF(SeilBeregnet=0,EQ274,((Loa+Lwl)/Bredde)^EQ$3)</f>
        <v>1.5916961163398649</v>
      </c>
      <c r="ER275" s="107">
        <f>IF(SeilBeregnet=0,ER274,Lwl^ER$3)</f>
        <v>1.8859172433475835</v>
      </c>
      <c r="ES275" s="107" t="str">
        <f t="shared" si="2305"/>
        <v>-</v>
      </c>
      <c r="EU275" s="107">
        <f>IF(SeilBeregnet=0,EU274,(EV:EV*EW:EW)^EU$3)</f>
        <v>1.8945424180832782</v>
      </c>
      <c r="EV275" s="107">
        <f>IF(SeilBeregnet=0,EV274,SeilBeregnet^0.5/Depl^0.33333)</f>
        <v>3.5292816882603932</v>
      </c>
      <c r="EW275" s="107">
        <f>IF(SeilBeregnet=0,EW274,((Loa+Lwl)/Bredde/6)^EW$3)</f>
        <v>1.0170032575909294</v>
      </c>
      <c r="EX275" s="107">
        <f>IF(SeilBeregnet=0,EX274,(Lwl*0.7+Loa*0.3)^EX$3)</f>
        <v>1.9111244003334622</v>
      </c>
      <c r="EY275" s="107" t="str">
        <f t="shared" si="2306"/>
        <v>-</v>
      </c>
      <c r="FA275" s="107">
        <f t="shared" si="2307"/>
        <v>1.8946360819397012</v>
      </c>
      <c r="FB275" s="107">
        <f>IF(SeilBeregnet=0,FB274,SeilBeregnet^0.5/Depl^0.3333)</f>
        <v>3.5296306636135579</v>
      </c>
      <c r="FC275" s="107">
        <f>IF(SeilBeregnet=0,FC274,((Loa+Lwl)/Bredde/6)^FC$3)</f>
        <v>1.0170032575909294</v>
      </c>
      <c r="FD275" s="107">
        <f>IF(SeilBeregnet=0,FD274,(Lwl*0.7+Loa*0.3)^FD$3)</f>
        <v>1.9111244003334622</v>
      </c>
      <c r="FE275" s="107" t="str">
        <f t="shared" si="2308"/>
        <v>-</v>
      </c>
      <c r="FF275" s="141" t="str">
        <f>IF($DY275=0,"-",(FE275-$DW275)*100)</f>
        <v>-</v>
      </c>
      <c r="FG275" s="107">
        <f t="shared" si="2310"/>
        <v>3.6506815565964832</v>
      </c>
      <c r="FH275" s="133">
        <f>IF(SeilBeregnet=0,FH274,(SeilBeregnet^0.5/(Depl^0.3333))^FH$3)</f>
        <v>3.5296306636135579</v>
      </c>
      <c r="FI275" s="133">
        <f>IF(SeilBeregnet=0,FI274,((Loa+Lwl)/Bredde/6)^FI$3)</f>
        <v>1.0342956259505622</v>
      </c>
      <c r="FJ275" s="107">
        <f>IF(SeilBeregnet=0,FJ274,(Lwl*0.07+Loa*0.03)^FJ$3)</f>
        <v>1.0747042278871302</v>
      </c>
      <c r="FK275" s="107" t="str">
        <f t="shared" si="2311"/>
        <v>-</v>
      </c>
      <c r="FL275" s="141" t="str">
        <f>IF($DY275=0,"-",(FK275-$DW275)*100)</f>
        <v>-</v>
      </c>
      <c r="FM275" s="107">
        <f t="shared" si="2313"/>
        <v>5.7312082247210734</v>
      </c>
      <c r="FN275" s="133">
        <f>IF(SeilBeregnet=0,FN274,(SeilBeregnet^0.5/(Depl^0.3333))^FN$3)</f>
        <v>3.5296306636135579</v>
      </c>
      <c r="FO275" s="133">
        <f>IF(SeilBeregnet=0,FO274,(SeilBeregnet^0.5/Lwl*FO$7)^FO$3)</f>
        <v>0.8369746044310783</v>
      </c>
      <c r="FP275" s="133">
        <f>IF(SeilBeregnet=0,FP274,((Loa)/Bredde)^FP$3*FP$7)</f>
        <v>1.8646029566764373</v>
      </c>
      <c r="FQ275" s="107">
        <f>IF(SeilBeregnet=0,FQ274,(Lwl)^FQ$3)</f>
        <v>1.8859172433475835</v>
      </c>
      <c r="FR275" s="107" t="str">
        <f t="shared" si="2314"/>
        <v>-</v>
      </c>
      <c r="FS275" s="141" t="str">
        <f>IF($DY275=0,"-",(FR275-$DW275)*100)</f>
        <v>-</v>
      </c>
      <c r="FT275" s="107">
        <f t="shared" si="2316"/>
        <v>6.5813597713496552</v>
      </c>
      <c r="FU275" s="133">
        <f>IF(SeilBeregnet=0,FU274,(SeilBeregnet^0.5/(Depl^0.3333))^FU$3)</f>
        <v>3.5296306636135579</v>
      </c>
      <c r="FV275" s="133">
        <f>IF(SeilBeregnet=0,FV274,(Loa/Bredde)^FV$3)</f>
        <v>1.8646029566764373</v>
      </c>
      <c r="FW275" s="107">
        <f>IF(SeilBeregnet=0,FW274,Lwl^FW$3)</f>
        <v>1.8859172433475835</v>
      </c>
      <c r="FY275" s="336">
        <v>1</v>
      </c>
      <c r="FZ275" s="62" t="str">
        <f t="shared" si="2074"/>
        <v>-</v>
      </c>
      <c r="GA275" s="62">
        <f t="shared" si="2075"/>
        <v>2</v>
      </c>
      <c r="GB275" s="107" t="str">
        <f t="shared" si="1270"/>
        <v>-</v>
      </c>
      <c r="GC275" s="440"/>
      <c r="GD275" s="17"/>
      <c r="GE275" s="442"/>
      <c r="GF275" s="462"/>
      <c r="GG275" s="17"/>
      <c r="GH275" s="17"/>
      <c r="GI275" s="17"/>
      <c r="GJ275" s="17"/>
      <c r="GL275" s="17"/>
      <c r="GM275" s="442"/>
      <c r="GN275" s="8"/>
      <c r="GO275" s="8"/>
      <c r="GP275" s="8"/>
      <c r="GQ275" s="8"/>
      <c r="GS275" s="17"/>
      <c r="GT275" s="17"/>
      <c r="GU275" s="17"/>
      <c r="GV275" s="629"/>
      <c r="GW275" s="17"/>
      <c r="GX275" s="17"/>
      <c r="GY275" s="17"/>
      <c r="GZ275" s="17"/>
    </row>
    <row r="276" spans="1:208" ht="15.6" x14ac:dyDescent="0.3">
      <c r="A276" s="52" t="s">
        <v>945</v>
      </c>
      <c r="B276" s="218">
        <f t="shared" si="10"/>
        <v>0</v>
      </c>
      <c r="C276" s="53" t="s">
        <v>38</v>
      </c>
      <c r="D276" s="53"/>
      <c r="E276" s="53"/>
      <c r="F276" s="53"/>
      <c r="G276" s="54"/>
      <c r="H276" s="112">
        <f>J277</f>
        <v>0</v>
      </c>
      <c r="I276" s="601">
        <f>H277/100</f>
        <v>0</v>
      </c>
      <c r="J276" s="651" t="str">
        <f>IF(DC277=0,"-",DC277)</f>
        <v>-</v>
      </c>
      <c r="K276" s="123" t="str">
        <f>A276</f>
        <v>Båtnavn-</v>
      </c>
      <c r="L276" s="116"/>
      <c r="M276" s="116"/>
      <c r="N276" s="92"/>
      <c r="O276" s="165"/>
      <c r="P276" s="165"/>
      <c r="Q276" s="165"/>
      <c r="R276" s="165"/>
      <c r="S276" s="165"/>
      <c r="T276" s="165"/>
      <c r="U276" s="165"/>
      <c r="V276" s="560"/>
      <c r="W276" s="560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552"/>
      <c r="AH276" s="244"/>
      <c r="AI276" s="244"/>
      <c r="AJ276" s="554"/>
      <c r="AK276" s="339"/>
      <c r="AL276" s="268"/>
      <c r="AM276" s="339"/>
      <c r="AN276" s="268" t="s">
        <v>214</v>
      </c>
      <c r="AO276" s="45">
        <f>VLOOKUP(AN276,Skrogform!$1:$1048576,3,FALSE)</f>
        <v>1</v>
      </c>
      <c r="AP276" s="55"/>
      <c r="AQ276" s="55"/>
      <c r="AR276" s="55"/>
      <c r="AS276" s="55"/>
      <c r="AT276" s="55"/>
      <c r="AU276" s="55"/>
      <c r="AV276" s="55"/>
      <c r="AW276" s="55"/>
      <c r="AX276" s="253"/>
      <c r="AY276" s="253"/>
      <c r="AZ276" s="254">
        <f>AY276*7</f>
        <v>0</v>
      </c>
      <c r="BA276" s="253"/>
      <c r="BB276" s="253"/>
      <c r="BC276" s="244">
        <f>Depl+Diesel/1000*0.84+Vann/1000</f>
        <v>0</v>
      </c>
      <c r="BD276" s="95" t="e">
        <f>Bredde/(Loa+Lwl)*2</f>
        <v>#DIV/0!</v>
      </c>
      <c r="BE276" s="95" t="e">
        <f>(Kjøl+Ballast)/Depl</f>
        <v>#DIV/0!</v>
      </c>
      <c r="BF276" s="260" t="e">
        <f>BF$7*((Depl-Kjøl-Ballast-VektMotor/1000-VektAnnet/1000)/Lwl/Lwl/Bredde)</f>
        <v>#DIV/0!</v>
      </c>
      <c r="BG276" s="95" t="e">
        <f>BG$7*(Depl/Loa/Lwl/Lwl)</f>
        <v>#DIV/0!</v>
      </c>
      <c r="BH276" s="174" t="e">
        <f>BH$7*(Depl/Loa/Lwl/Bredde)</f>
        <v>#DIV/0!</v>
      </c>
      <c r="BI276" s="95" t="e">
        <f>BI$7*Bredde/(Loa+Lwl)*2</f>
        <v>#DIV/0!</v>
      </c>
      <c r="BJ276" s="95" t="e">
        <f>BJ$7*(Dypg/Lwl)</f>
        <v>#DIV/0!</v>
      </c>
      <c r="BK276" s="56"/>
      <c r="BL276" s="268"/>
      <c r="BM276" s="268"/>
      <c r="BN276" s="45">
        <f t="shared" si="2291"/>
        <v>1</v>
      </c>
      <c r="BO276" s="59"/>
      <c r="BP276" s="59"/>
      <c r="BR276" s="209"/>
      <c r="BS276" s="209"/>
      <c r="BT276" s="209" t="str">
        <f>$A276</f>
        <v>Båtnavn-</v>
      </c>
      <c r="BU276" s="10"/>
      <c r="BV276" s="10"/>
      <c r="BW276" s="10"/>
      <c r="BX276" s="10"/>
      <c r="BY276" s="549"/>
      <c r="BZ276" s="10"/>
      <c r="CA276" s="10"/>
      <c r="CB276" s="209" t="str">
        <f>$A276</f>
        <v>Båtnavn-</v>
      </c>
      <c r="CC276" s="10"/>
      <c r="CD276" s="10"/>
      <c r="CE276" s="10"/>
      <c r="CF276" s="10"/>
      <c r="CG276" s="10"/>
      <c r="CH276" s="10"/>
      <c r="CI276" s="10"/>
      <c r="CJ276" s="10"/>
      <c r="CK276" s="10"/>
      <c r="CL276" s="209"/>
      <c r="CM276" s="10"/>
      <c r="CN276" s="209" t="str">
        <f>$A276</f>
        <v>Båtnavn-</v>
      </c>
      <c r="CO276" s="207"/>
      <c r="CP276" s="207"/>
      <c r="CQ276" s="116"/>
      <c r="CR276" s="207"/>
      <c r="CS276" s="203"/>
      <c r="CT276" s="203" t="s">
        <v>23</v>
      </c>
      <c r="CU276" s="107" t="str">
        <f t="shared" si="1267"/>
        <v>-</v>
      </c>
      <c r="CV276" s="62" t="str">
        <f t="shared" si="2119"/>
        <v>-</v>
      </c>
      <c r="CW276" s="62" t="str">
        <f t="shared" si="1268"/>
        <v>-</v>
      </c>
      <c r="CX276" s="62" t="str">
        <f t="shared" si="2120"/>
        <v>-</v>
      </c>
      <c r="CY276" s="107" t="str">
        <f t="shared" si="1269"/>
        <v>-</v>
      </c>
      <c r="CZ276" s="168" t="str">
        <f t="shared" si="2502"/>
        <v>-</v>
      </c>
      <c r="DA276" s="158"/>
      <c r="DB276" s="168" t="str">
        <f t="shared" si="2289"/>
        <v>-</v>
      </c>
      <c r="DC276" s="160"/>
      <c r="DD276" s="190" t="s">
        <v>134</v>
      </c>
      <c r="DE276" s="29" t="s">
        <v>23</v>
      </c>
      <c r="DF276" s="29" t="s">
        <v>23</v>
      </c>
      <c r="DG276" s="29" t="s">
        <v>23</v>
      </c>
      <c r="DH276" s="149">
        <v>2022</v>
      </c>
      <c r="DI276" s="62" t="str">
        <f t="shared" si="2292"/>
        <v>-</v>
      </c>
      <c r="DJ276" s="47">
        <f t="shared" si="2293"/>
        <v>0</v>
      </c>
      <c r="DK276" s="48">
        <f t="shared" si="2294"/>
        <v>0</v>
      </c>
      <c r="DM276" s="107" t="str">
        <f t="shared" si="2295"/>
        <v>-</v>
      </c>
      <c r="DN276" s="141" t="str">
        <f t="shared" ref="DN276:DN280" si="2532">IF($DY276=0,"-",(DM276-$DW276)*100)</f>
        <v>-</v>
      </c>
      <c r="DO276" s="107">
        <f t="shared" si="2297"/>
        <v>0</v>
      </c>
      <c r="DP276" s="133">
        <f>IF(SeilBeregnet=0,DP249,(SeilBeregnet^0.5/(Depl^0.3333))^DP$3*DP$7)</f>
        <v>0</v>
      </c>
      <c r="DQ276" s="133">
        <f>IF(SeilBeregnet=0,DQ249,(SeilBeregnet^0.5/Lwl)^DQ$3*DQ$7)</f>
        <v>0</v>
      </c>
      <c r="DR276" s="133">
        <f>IF(SeilBeregnet=0,DR249,(0.1*Loa/Depl^0.3333)^DR$3*DR$7)</f>
        <v>0</v>
      </c>
      <c r="DS276" s="133">
        <f>IF(SeilBeregnet=0,DS249,((Loa)/Bredde)^DS$3*DS$7)</f>
        <v>0</v>
      </c>
      <c r="DT276" s="107">
        <f>IF(SeilBeregnet=0,DT249,(Lwl)^DT$3)</f>
        <v>0</v>
      </c>
      <c r="DU276" s="133">
        <f>IF(SeilBeregnet=0,DU249,(Dypg/Loa)^DU$3*5*DU$7)</f>
        <v>0</v>
      </c>
      <c r="DW276" s="107" t="str">
        <f t="shared" si="1241"/>
        <v>-</v>
      </c>
      <c r="DX276" s="107" t="str">
        <f t="shared" si="2298"/>
        <v>-</v>
      </c>
      <c r="DZ276" s="107" t="str">
        <f t="shared" si="2299"/>
        <v>-</v>
      </c>
      <c r="EA276" s="122" t="str">
        <f t="shared" ref="EA276:EA280" si="2533">IF($DY276=0,"-",DZ276-$DW276)</f>
        <v>-</v>
      </c>
      <c r="EB276" s="107" t="str">
        <f t="shared" si="2301"/>
        <v>-</v>
      </c>
      <c r="EC276" s="122" t="str">
        <f t="shared" ref="EC276:EC280" si="2534">IF($DY276=0,"-",EB276-$DW276)</f>
        <v>-</v>
      </c>
      <c r="ED276" s="107">
        <f>IF(SeilBeregnet=0,ED249,SeilBeregnet^0.5/Depl^0.33333)</f>
        <v>0</v>
      </c>
      <c r="EE276" s="107">
        <f>IF(SeilBeregnet=0,EE249,Lwl^0.3333)</f>
        <v>0</v>
      </c>
      <c r="EF276" s="107">
        <f>IF(SeilBeregnet=0,EF249,((Loa+Lwl)/Bredde)^EF$3)</f>
        <v>0</v>
      </c>
      <c r="EH276" s="107" t="str">
        <f t="shared" si="2303"/>
        <v>-</v>
      </c>
      <c r="EJ276" s="107">
        <f>IF(SeilBeregnet=0,EJ249,SeilBeregnet^0.5/Depl^0.33333)</f>
        <v>0</v>
      </c>
      <c r="EK276" s="107">
        <f>IF(SeilBeregnet=0,EK249,Lwl^EK$3)</f>
        <v>0</v>
      </c>
      <c r="EL276" s="107">
        <f>IF(SeilBeregnet=0,EL249,((Loa+Lwl)/Bredde)^EL$3)</f>
        <v>0</v>
      </c>
      <c r="EM276" s="107" t="str">
        <f t="shared" si="2304"/>
        <v>-</v>
      </c>
      <c r="EO276" s="107">
        <f>IF(SeilBeregnet=0,EO249,(EP276*EQ276)^EO$3)</f>
        <v>0</v>
      </c>
      <c r="EP276" s="107">
        <f>IF(SeilBeregnet=0,EP249,SeilBeregnet^0.5/Depl^0.33333)</f>
        <v>0</v>
      </c>
      <c r="EQ276" s="107">
        <f>IF(SeilBeregnet=0,EQ249,((Loa+Lwl)/Bredde)^EQ$3)</f>
        <v>0</v>
      </c>
      <c r="ER276" s="107">
        <f>IF(SeilBeregnet=0,ER249,Lwl^ER$3)</f>
        <v>0</v>
      </c>
      <c r="ES276" s="107" t="str">
        <f t="shared" si="2305"/>
        <v>-</v>
      </c>
      <c r="EU276" s="107">
        <f>IF(SeilBeregnet=0,EU249,(EV:EV*EW:EW)^EU$3)</f>
        <v>0</v>
      </c>
      <c r="EV276" s="107">
        <f>IF(SeilBeregnet=0,EV249,SeilBeregnet^0.5/Depl^0.33333)</f>
        <v>0</v>
      </c>
      <c r="EW276" s="107">
        <f>IF(SeilBeregnet=0,EW249,((Loa+Lwl)/Bredde/6)^EW$3)</f>
        <v>0</v>
      </c>
      <c r="EX276" s="107">
        <f>IF(SeilBeregnet=0,EX249,(Lwl*0.7+Loa*0.3)^EX$3)</f>
        <v>0</v>
      </c>
      <c r="EY276" s="107" t="str">
        <f t="shared" si="2306"/>
        <v>-</v>
      </c>
      <c r="FA276" s="107">
        <f t="shared" si="2307"/>
        <v>0</v>
      </c>
      <c r="FB276" s="107">
        <f>IF(SeilBeregnet=0,FB249,SeilBeregnet^0.5/Depl^0.3333)</f>
        <v>0</v>
      </c>
      <c r="FC276" s="107">
        <f>IF(SeilBeregnet=0,FC249,((Loa+Lwl)/Bredde/6)^FC$3)</f>
        <v>0</v>
      </c>
      <c r="FD276" s="107">
        <f>IF(SeilBeregnet=0,FD249,(Lwl*0.7+Loa*0.3)^FD$3)</f>
        <v>0</v>
      </c>
      <c r="FE276" s="107" t="str">
        <f t="shared" si="2308"/>
        <v>-</v>
      </c>
      <c r="FF276" s="141" t="str">
        <f t="shared" ref="FF276:FF280" si="2535">IF($DY276=0,"-",(FE276-$DW276)*100)</f>
        <v>-</v>
      </c>
      <c r="FG276" s="107">
        <f t="shared" si="2310"/>
        <v>0</v>
      </c>
      <c r="FH276" s="133">
        <f>IF(SeilBeregnet=0,FH249,(SeilBeregnet^0.5/(Depl^0.3333))^FH$3)</f>
        <v>0</v>
      </c>
      <c r="FI276" s="133">
        <f>IF(SeilBeregnet=0,FI249,((Loa+Lwl)/Bredde/6)^FI$3)</f>
        <v>0</v>
      </c>
      <c r="FJ276" s="107">
        <f>IF(SeilBeregnet=0,FJ249,(Lwl*0.07+Loa*0.03)^FJ$3)</f>
        <v>0</v>
      </c>
      <c r="FK276" s="107" t="str">
        <f t="shared" si="2311"/>
        <v>-</v>
      </c>
      <c r="FL276" s="141" t="str">
        <f t="shared" ref="FL276:FL280" si="2536">IF($DY276=0,"-",(FK276-$DW276)*100)</f>
        <v>-</v>
      </c>
      <c r="FM276" s="107">
        <f t="shared" si="2313"/>
        <v>-0.5</v>
      </c>
      <c r="FN276" s="133">
        <f>IF(SeilBeregnet=0,FN249,(SeilBeregnet^0.5/(Depl^0.3333))^FN$3)</f>
        <v>0</v>
      </c>
      <c r="FO276" s="133">
        <f>IF(SeilBeregnet=0,FO249,(SeilBeregnet^0.5/Lwl*FO$7)^FO$3)</f>
        <v>0</v>
      </c>
      <c r="FP276" s="133">
        <f>IF(SeilBeregnet=0,FP249,((Loa)/Bredde)^FP$3*FP$7)</f>
        <v>0</v>
      </c>
      <c r="FQ276" s="107">
        <f>IF(SeilBeregnet=0,FQ249,(Lwl)^FQ$3)</f>
        <v>0</v>
      </c>
      <c r="FR276" s="107" t="str">
        <f t="shared" si="2314"/>
        <v>-</v>
      </c>
      <c r="FS276" s="141" t="str">
        <f t="shared" ref="FS276:FS280" si="2537">IF($DY276=0,"-",(FR276-$DW276)*100)</f>
        <v>-</v>
      </c>
      <c r="FT276" s="107">
        <f t="shared" si="2316"/>
        <v>0</v>
      </c>
      <c r="FU276" s="133">
        <f>IF(SeilBeregnet=0,FU249,(SeilBeregnet^0.5/(Depl^0.3333))^FU$3)</f>
        <v>0</v>
      </c>
      <c r="FV276" s="133">
        <f>IF(SeilBeregnet=0,FV249,(Loa/Bredde)^FV$3)</f>
        <v>0</v>
      </c>
      <c r="FW276" s="107">
        <f>IF(SeilBeregnet=0,FW249,Lwl^FW$3)</f>
        <v>0</v>
      </c>
      <c r="FY276" s="336">
        <v>1</v>
      </c>
      <c r="FZ276" s="62" t="str">
        <f t="shared" si="2074"/>
        <v>-</v>
      </c>
      <c r="GA276" s="62">
        <f t="shared" si="2075"/>
        <v>2</v>
      </c>
      <c r="GB276" s="107" t="str">
        <f t="shared" si="1270"/>
        <v>-</v>
      </c>
      <c r="GC276" s="441"/>
      <c r="GD276" s="57"/>
      <c r="GE276" s="436"/>
      <c r="GF276" s="75"/>
      <c r="GG276" s="57"/>
      <c r="GH276" s="57"/>
      <c r="GI276" s="57"/>
      <c r="GJ276" s="57"/>
      <c r="GL276" s="57" t="s">
        <v>478</v>
      </c>
      <c r="GM276" s="436" t="s">
        <v>478</v>
      </c>
      <c r="GN276" s="58" t="s">
        <v>478</v>
      </c>
      <c r="GO276" s="58" t="s">
        <v>478</v>
      </c>
      <c r="GP276" s="58" t="s">
        <v>478</v>
      </c>
      <c r="GQ276" s="58" t="s">
        <v>478</v>
      </c>
      <c r="GS276" s="57"/>
      <c r="GT276" s="57"/>
      <c r="GU276" s="57"/>
      <c r="GV276" s="632"/>
      <c r="GW276" s="57"/>
      <c r="GX276" s="57"/>
      <c r="GY276" s="57"/>
      <c r="GZ276" s="57"/>
    </row>
    <row r="277" spans="1:208" ht="15.6" x14ac:dyDescent="0.3">
      <c r="A277" s="60" t="s">
        <v>33</v>
      </c>
      <c r="B277" s="218"/>
      <c r="C277" s="61" t="str">
        <f>C276</f>
        <v>Bermuda</v>
      </c>
      <c r="D277" s="61"/>
      <c r="E277" s="61"/>
      <c r="F277" s="61"/>
      <c r="G277" s="54"/>
      <c r="H277" s="204">
        <f>IF(StH=0,0,TBFavrundet)</f>
        <v>0</v>
      </c>
      <c r="I277" s="63">
        <f>COUNTA(O277:AG277)</f>
        <v>0</v>
      </c>
      <c r="J277" s="222">
        <f>SUM(O277:AG277)</f>
        <v>0</v>
      </c>
      <c r="K277" s="116" t="e">
        <f>Seilareal/Depl^0.667/K$7</f>
        <v>#DIV/0!</v>
      </c>
      <c r="L277" s="116" t="e">
        <f>Seilareal/Lwl/Lwl/L$7</f>
        <v>#DIV/0!</v>
      </c>
      <c r="M277" s="92" t="e">
        <f>RiggF</f>
        <v>#DIV/0!</v>
      </c>
      <c r="N277" s="242" t="str">
        <f>StHfaktor</f>
        <v>-</v>
      </c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551"/>
      <c r="AH277" s="557">
        <f t="shared" ref="AH277" si="2538">AH276</f>
        <v>0</v>
      </c>
      <c r="AI277" s="557">
        <f t="shared" ref="AI277:AP280" si="2539">AI276</f>
        <v>0</v>
      </c>
      <c r="AJ277" s="337">
        <f t="shared" ref="AJ277:AL279" si="2540" xml:space="preserve"> AJ276</f>
        <v>0</v>
      </c>
      <c r="AK277" s="339"/>
      <c r="AL277" s="337">
        <f t="shared" si="2540"/>
        <v>0</v>
      </c>
      <c r="AM277" s="339"/>
      <c r="AN277" s="267" t="str">
        <f t="shared" ref="AN277" si="2541" xml:space="preserve"> AN276</f>
        <v>Meter</v>
      </c>
      <c r="AO277" s="45">
        <f>VLOOKUP(AN277,Skrogform!$1:$1048576,3,FALSE)</f>
        <v>1</v>
      </c>
      <c r="AP277" s="64">
        <f t="shared" si="2539"/>
        <v>0</v>
      </c>
      <c r="AQ277" s="64">
        <f t="shared" ref="AQ277:AZ277" si="2542">AQ276</f>
        <v>0</v>
      </c>
      <c r="AR277" s="64">
        <f t="shared" si="2542"/>
        <v>0</v>
      </c>
      <c r="AS277" s="64">
        <f t="shared" si="2542"/>
        <v>0</v>
      </c>
      <c r="AT277" s="64">
        <f t="shared" ref="AT277" si="2543">AT276</f>
        <v>0</v>
      </c>
      <c r="AU277" s="64">
        <f t="shared" si="2542"/>
        <v>0</v>
      </c>
      <c r="AV277" s="64">
        <f t="shared" si="2542"/>
        <v>0</v>
      </c>
      <c r="AW277" s="64">
        <f t="shared" si="2542"/>
        <v>0</v>
      </c>
      <c r="AX277" s="256">
        <f>AX276</f>
        <v>0</v>
      </c>
      <c r="AY277" s="256">
        <f t="shared" si="2542"/>
        <v>0</v>
      </c>
      <c r="AZ277" s="256">
        <f t="shared" si="2542"/>
        <v>0</v>
      </c>
      <c r="BA277" s="256">
        <f t="shared" ref="BA277:BB277" si="2544">BA276</f>
        <v>0</v>
      </c>
      <c r="BB277" s="256">
        <f t="shared" si="2544"/>
        <v>0</v>
      </c>
      <c r="BC277" s="256"/>
      <c r="BD277" s="66"/>
      <c r="BE277" s="66"/>
      <c r="BF277" s="261"/>
      <c r="BG277" s="66"/>
      <c r="BH277" s="175"/>
      <c r="BI277" s="66"/>
      <c r="BJ277" s="66"/>
      <c r="BK277" s="65">
        <f t="shared" ref="BK277:BM277" si="2545" xml:space="preserve"> BK276</f>
        <v>0</v>
      </c>
      <c r="BL277" s="267">
        <f t="shared" si="2545"/>
        <v>0</v>
      </c>
      <c r="BM277" s="267">
        <f t="shared" si="2545"/>
        <v>0</v>
      </c>
      <c r="BN277" s="45">
        <f t="shared" si="2291"/>
        <v>1</v>
      </c>
      <c r="BO277" s="59"/>
      <c r="BP277" s="59"/>
      <c r="BR277" s="49">
        <f t="shared" ref="BR277:BX280" si="2546">IF(O277=0,0,O277*BR$9)</f>
        <v>0</v>
      </c>
      <c r="BS277" s="49">
        <f t="shared" si="2546"/>
        <v>0</v>
      </c>
      <c r="BT277" s="49">
        <f t="shared" si="2546"/>
        <v>0</v>
      </c>
      <c r="BU277" s="49">
        <f t="shared" si="2546"/>
        <v>0</v>
      </c>
      <c r="BV277" s="49">
        <f t="shared" si="2546"/>
        <v>0</v>
      </c>
      <c r="BW277" s="49">
        <f t="shared" si="2546"/>
        <v>0</v>
      </c>
      <c r="BX277" s="49">
        <f t="shared" si="2546"/>
        <v>0</v>
      </c>
      <c r="BY277" s="549">
        <f>IF(COUNT(Q277:U277)&gt;1,MINA(Q277:U277)*BY$9,0)</f>
        <v>0</v>
      </c>
      <c r="BZ277" s="85">
        <f t="shared" ref="BZ277:CD280" si="2547">IF(V277=0,0,V277*BZ$9)</f>
        <v>0</v>
      </c>
      <c r="CA277" s="85">
        <f t="shared" si="2547"/>
        <v>0</v>
      </c>
      <c r="CB277" s="85">
        <f t="shared" si="2547"/>
        <v>0</v>
      </c>
      <c r="CC277" s="85">
        <f t="shared" si="2547"/>
        <v>0</v>
      </c>
      <c r="CD277" s="85">
        <f t="shared" si="2547"/>
        <v>0</v>
      </c>
      <c r="CE277" s="85">
        <f>IF(AC277=0,0,AC277*CE$9)</f>
        <v>0</v>
      </c>
      <c r="CF277" s="85">
        <f t="shared" ref="CF277:CG280" si="2548">IF(AA277=0,0,AA277*CF$9)</f>
        <v>0</v>
      </c>
      <c r="CG277" s="85">
        <f t="shared" si="2548"/>
        <v>0</v>
      </c>
      <c r="CH277" s="85">
        <f t="shared" ref="CH277:CK280" si="2549">IF(AD277=0,0,AD277*CH$9)</f>
        <v>0</v>
      </c>
      <c r="CI277" s="85">
        <f t="shared" si="2549"/>
        <v>0</v>
      </c>
      <c r="CJ277" s="85">
        <f t="shared" si="2549"/>
        <v>0</v>
      </c>
      <c r="CK277" s="85">
        <f t="shared" si="2549"/>
        <v>0</v>
      </c>
      <c r="CL277" s="100">
        <f>SUM(BR277:CK277)</f>
        <v>0</v>
      </c>
      <c r="CM277" s="50"/>
      <c r="CN277" s="104">
        <f>J277</f>
        <v>0</v>
      </c>
      <c r="CO277" s="101" t="e">
        <f>CL277/CN277</f>
        <v>#DIV/0!</v>
      </c>
      <c r="CP277" s="51" t="e">
        <f>Seilareal/Lwl/Lwl</f>
        <v>#DIV/0!</v>
      </c>
      <c r="CQ277" s="116" t="e">
        <f>Seilareal/Depl^0.667/K$7</f>
        <v>#DIV/0!</v>
      </c>
      <c r="CR277" s="51" t="e">
        <f>Seilareal/Lwl/Lwl/SApRS1</f>
        <v>#DIV/0!</v>
      </c>
      <c r="CS277" s="204"/>
      <c r="CT277" s="204" t="e">
        <f>(ROUND(TBF/CT$6,3)*CT$6)*CT$4</f>
        <v>#VALUE!</v>
      </c>
      <c r="CU277" s="107" t="str">
        <f t="shared" si="1267"/>
        <v>-</v>
      </c>
      <c r="CV277" s="62" t="str">
        <f t="shared" si="2119"/>
        <v>-</v>
      </c>
      <c r="CW277" s="62" t="str">
        <f t="shared" si="1268"/>
        <v>-</v>
      </c>
      <c r="CX277" s="62" t="str">
        <f t="shared" si="2120"/>
        <v>-</v>
      </c>
      <c r="CY277" s="107" t="str">
        <f t="shared" si="1269"/>
        <v>-</v>
      </c>
      <c r="CZ277" s="168" t="str">
        <f t="shared" si="2502"/>
        <v>-</v>
      </c>
      <c r="DA277" s="159">
        <f>DA276</f>
        <v>0</v>
      </c>
      <c r="DB277" s="168" t="str">
        <f t="shared" si="2289"/>
        <v>-</v>
      </c>
      <c r="DC277" s="159">
        <f>DC276</f>
        <v>0</v>
      </c>
      <c r="DD277" s="190" t="s">
        <v>134</v>
      </c>
      <c r="DE277" s="62" t="s">
        <v>102</v>
      </c>
      <c r="DF277" s="62" t="s">
        <v>102</v>
      </c>
      <c r="DG277" s="62" t="s">
        <v>102</v>
      </c>
      <c r="DH277" s="150" t="s">
        <v>102</v>
      </c>
      <c r="DI277" s="62" t="str">
        <f t="shared" si="2292"/>
        <v>-</v>
      </c>
      <c r="DJ277" s="47">
        <f t="shared" si="2293"/>
        <v>0</v>
      </c>
      <c r="DK277" s="48">
        <f t="shared" si="2294"/>
        <v>0</v>
      </c>
      <c r="DM277" s="107" t="str">
        <f t="shared" si="2295"/>
        <v>-</v>
      </c>
      <c r="DN277" s="141" t="str">
        <f t="shared" si="2532"/>
        <v>-</v>
      </c>
      <c r="DO277" s="107">
        <f t="shared" si="2297"/>
        <v>0</v>
      </c>
      <c r="DP277" s="133">
        <f>IF(SeilBeregnet=0,DP276,(SeilBeregnet^0.5/(Depl^0.3333))^DP$3*DP$7)</f>
        <v>0</v>
      </c>
      <c r="DQ277" s="133">
        <f>IF(SeilBeregnet=0,DQ276,(SeilBeregnet^0.5/Lwl)^DQ$3*DQ$7)</f>
        <v>0</v>
      </c>
      <c r="DR277" s="133">
        <f>IF(SeilBeregnet=0,DR276,(0.1*Loa/Depl^0.3333)^DR$3*DR$7)</f>
        <v>0</v>
      </c>
      <c r="DS277" s="133">
        <f>IF(SeilBeregnet=0,DS276,((Loa)/Bredde)^DS$3*DS$7)</f>
        <v>0</v>
      </c>
      <c r="DT277" s="107">
        <f>IF(SeilBeregnet=0,DT276,(Lwl)^DT$3)</f>
        <v>0</v>
      </c>
      <c r="DU277" s="133">
        <f>IF(SeilBeregnet=0,DU276,(Dypg/Loa)^DU$3*5*DU$7)</f>
        <v>0</v>
      </c>
      <c r="DW277" s="107" t="str">
        <f t="shared" si="1241"/>
        <v>-</v>
      </c>
      <c r="DX277" s="107" t="str">
        <f t="shared" si="2298"/>
        <v>-</v>
      </c>
      <c r="DZ277" s="107" t="str">
        <f t="shared" si="2299"/>
        <v>-</v>
      </c>
      <c r="EA277" s="122" t="str">
        <f t="shared" si="2533"/>
        <v>-</v>
      </c>
      <c r="EB277" s="107" t="str">
        <f t="shared" si="2301"/>
        <v>-</v>
      </c>
      <c r="EC277" s="122" t="str">
        <f t="shared" si="2534"/>
        <v>-</v>
      </c>
      <c r="ED277" s="107">
        <f>IF(SeilBeregnet=0,ED276,SeilBeregnet^0.5/Depl^0.33333)</f>
        <v>0</v>
      </c>
      <c r="EE277" s="107">
        <f>IF(SeilBeregnet=0,EE276,Lwl^0.3333)</f>
        <v>0</v>
      </c>
      <c r="EF277" s="107">
        <f>IF(SeilBeregnet=0,EF276,((Loa+Lwl)/Bredde)^EF$3)</f>
        <v>0</v>
      </c>
      <c r="EH277" s="107" t="str">
        <f t="shared" si="2303"/>
        <v>-</v>
      </c>
      <c r="EJ277" s="107">
        <f>IF(SeilBeregnet=0,EJ276,SeilBeregnet^0.5/Depl^0.33333)</f>
        <v>0</v>
      </c>
      <c r="EK277" s="107">
        <f>IF(SeilBeregnet=0,EK276,Lwl^EK$3)</f>
        <v>0</v>
      </c>
      <c r="EL277" s="107">
        <f>IF(SeilBeregnet=0,EL276,((Loa+Lwl)/Bredde)^EL$3)</f>
        <v>0</v>
      </c>
      <c r="EM277" s="107" t="str">
        <f t="shared" si="2304"/>
        <v>-</v>
      </c>
      <c r="EO277" s="107">
        <f>IF(SeilBeregnet=0,EO276,(EP277*EQ277)^EO$3)</f>
        <v>0</v>
      </c>
      <c r="EP277" s="107">
        <f>IF(SeilBeregnet=0,EP276,SeilBeregnet^0.5/Depl^0.33333)</f>
        <v>0</v>
      </c>
      <c r="EQ277" s="107">
        <f>IF(SeilBeregnet=0,EQ276,((Loa+Lwl)/Bredde)^EQ$3)</f>
        <v>0</v>
      </c>
      <c r="ER277" s="107">
        <f>IF(SeilBeregnet=0,ER276,Lwl^ER$3)</f>
        <v>0</v>
      </c>
      <c r="ES277" s="107" t="str">
        <f t="shared" si="2305"/>
        <v>-</v>
      </c>
      <c r="EU277" s="107">
        <f>IF(SeilBeregnet=0,EU276,(EV:EV*EW:EW)^EU$3)</f>
        <v>0</v>
      </c>
      <c r="EV277" s="107">
        <f>IF(SeilBeregnet=0,EV276,SeilBeregnet^0.5/Depl^0.33333)</f>
        <v>0</v>
      </c>
      <c r="EW277" s="107">
        <f>IF(SeilBeregnet=0,EW276,((Loa+Lwl)/Bredde/6)^EW$3)</f>
        <v>0</v>
      </c>
      <c r="EX277" s="107">
        <f>IF(SeilBeregnet=0,EX276,(Lwl*0.7+Loa*0.3)^EX$3)</f>
        <v>0</v>
      </c>
      <c r="EY277" s="107" t="str">
        <f t="shared" si="2306"/>
        <v>-</v>
      </c>
      <c r="FA277" s="107">
        <f t="shared" si="2307"/>
        <v>0</v>
      </c>
      <c r="FB277" s="107">
        <f>IF(SeilBeregnet=0,FB276,SeilBeregnet^0.5/Depl^0.3333)</f>
        <v>0</v>
      </c>
      <c r="FC277" s="107">
        <f>IF(SeilBeregnet=0,FC276,((Loa+Lwl)/Bredde/6)^FC$3)</f>
        <v>0</v>
      </c>
      <c r="FD277" s="107">
        <f>IF(SeilBeregnet=0,FD276,(Lwl*0.7+Loa*0.3)^FD$3)</f>
        <v>0</v>
      </c>
      <c r="FE277" s="107" t="str">
        <f t="shared" si="2308"/>
        <v>-</v>
      </c>
      <c r="FF277" s="141" t="str">
        <f t="shared" si="2535"/>
        <v>-</v>
      </c>
      <c r="FG277" s="107">
        <f t="shared" si="2310"/>
        <v>0</v>
      </c>
      <c r="FH277" s="133">
        <f>IF(SeilBeregnet=0,FH276,(SeilBeregnet^0.5/(Depl^0.3333))^FH$3)</f>
        <v>0</v>
      </c>
      <c r="FI277" s="133">
        <f>IF(SeilBeregnet=0,FI276,((Loa+Lwl)/Bredde/6)^FI$3)</f>
        <v>0</v>
      </c>
      <c r="FJ277" s="107">
        <f>IF(SeilBeregnet=0,FJ276,(Lwl*0.07+Loa*0.03)^FJ$3)</f>
        <v>0</v>
      </c>
      <c r="FK277" s="107" t="str">
        <f t="shared" si="2311"/>
        <v>-</v>
      </c>
      <c r="FL277" s="141" t="str">
        <f t="shared" si="2536"/>
        <v>-</v>
      </c>
      <c r="FM277" s="107">
        <f t="shared" si="2313"/>
        <v>-0.5</v>
      </c>
      <c r="FN277" s="133">
        <f>IF(SeilBeregnet=0,FN276,(SeilBeregnet^0.5/(Depl^0.3333))^FN$3)</f>
        <v>0</v>
      </c>
      <c r="FO277" s="133">
        <f>IF(SeilBeregnet=0,FO276,(SeilBeregnet^0.5/Lwl*FO$7)^FO$3)</f>
        <v>0</v>
      </c>
      <c r="FP277" s="133">
        <f>IF(SeilBeregnet=0,FP276,((Loa)/Bredde)^FP$3*FP$7)</f>
        <v>0</v>
      </c>
      <c r="FQ277" s="107">
        <f>IF(SeilBeregnet=0,FQ276,(Lwl)^FQ$3)</f>
        <v>0</v>
      </c>
      <c r="FR277" s="107" t="str">
        <f t="shared" si="2314"/>
        <v>-</v>
      </c>
      <c r="FS277" s="141" t="str">
        <f t="shared" si="2537"/>
        <v>-</v>
      </c>
      <c r="FT277" s="107">
        <f t="shared" si="2316"/>
        <v>0</v>
      </c>
      <c r="FU277" s="133">
        <f>IF(SeilBeregnet=0,FU276,(SeilBeregnet^0.5/(Depl^0.3333))^FU$3)</f>
        <v>0</v>
      </c>
      <c r="FV277" s="133">
        <f>IF(SeilBeregnet=0,FV276,(Loa/Bredde)^FV$3)</f>
        <v>0</v>
      </c>
      <c r="FW277" s="107">
        <f>IF(SeilBeregnet=0,FW276,Lwl^FW$3)</f>
        <v>0</v>
      </c>
      <c r="FY277" s="336">
        <v>1</v>
      </c>
      <c r="FZ277" s="62" t="str">
        <f t="shared" si="2074"/>
        <v>-</v>
      </c>
      <c r="GA277" s="62">
        <f t="shared" si="2075"/>
        <v>2</v>
      </c>
      <c r="GB277" s="107" t="str">
        <f t="shared" si="1270"/>
        <v>-</v>
      </c>
      <c r="GC277" s="440"/>
      <c r="GD277" s="17"/>
      <c r="GE277" s="442"/>
      <c r="GF277" s="462"/>
      <c r="GG277" s="17"/>
      <c r="GH277" s="17"/>
      <c r="GI277" s="17"/>
      <c r="GJ277" s="17"/>
      <c r="GL277" s="17"/>
      <c r="GM277" s="442"/>
      <c r="GN277" s="8"/>
      <c r="GO277" s="8"/>
      <c r="GP277" s="8"/>
      <c r="GQ277" s="8"/>
      <c r="GS277" s="17"/>
      <c r="GT277" s="17"/>
      <c r="GU277" s="17"/>
      <c r="GV277" s="629"/>
      <c r="GW277" s="17"/>
      <c r="GX277" s="17"/>
      <c r="GY277" s="17"/>
      <c r="GZ277" s="17"/>
    </row>
    <row r="278" spans="1:208" ht="15.6" x14ac:dyDescent="0.3">
      <c r="A278" s="60"/>
      <c r="B278" s="218"/>
      <c r="C278" s="61" t="str">
        <f t="shared" ref="C278:C280" si="2550">C277</f>
        <v>Bermuda</v>
      </c>
      <c r="D278" s="61"/>
      <c r="E278" s="61"/>
      <c r="F278" s="61"/>
      <c r="G278" s="54"/>
      <c r="H278" s="204">
        <f>IF(StH=0,0,TBFavrundet)</f>
        <v>0</v>
      </c>
      <c r="I278" s="63">
        <f>COUNTA(O278:AG278)</f>
        <v>0</v>
      </c>
      <c r="J278" s="222">
        <f>SUM(O278:AG278)</f>
        <v>0</v>
      </c>
      <c r="K278" s="116" t="e">
        <f>Seilareal/Depl^0.667/K$7</f>
        <v>#DIV/0!</v>
      </c>
      <c r="L278" s="116" t="e">
        <f>Seilareal/Lwl/Lwl/L$7</f>
        <v>#DIV/0!</v>
      </c>
      <c r="M278" s="92" t="e">
        <f>RiggF</f>
        <v>#DIV/0!</v>
      </c>
      <c r="N278" s="242" t="str">
        <f>StHfaktor</f>
        <v>-</v>
      </c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551"/>
      <c r="AH278" s="557">
        <f t="shared" ref="AH278" si="2551">AH277</f>
        <v>0</v>
      </c>
      <c r="AI278" s="557">
        <f t="shared" si="2539"/>
        <v>0</v>
      </c>
      <c r="AJ278" s="337">
        <f t="shared" si="2540"/>
        <v>0</v>
      </c>
      <c r="AK278" s="339"/>
      <c r="AL278" s="337">
        <f t="shared" si="2540"/>
        <v>0</v>
      </c>
      <c r="AM278" s="339"/>
      <c r="AN278" s="267" t="str">
        <f t="shared" ref="AN278" si="2552" xml:space="preserve"> AN277</f>
        <v>Meter</v>
      </c>
      <c r="AO278" s="45">
        <f>VLOOKUP(AN278,Skrogform!$1:$1048576,3,FALSE)</f>
        <v>1</v>
      </c>
      <c r="AP278" s="64">
        <f t="shared" si="2539"/>
        <v>0</v>
      </c>
      <c r="AQ278" s="64">
        <f t="shared" ref="AQ278:AZ278" si="2553">AQ277</f>
        <v>0</v>
      </c>
      <c r="AR278" s="64">
        <f t="shared" si="2553"/>
        <v>0</v>
      </c>
      <c r="AS278" s="64">
        <f t="shared" si="2553"/>
        <v>0</v>
      </c>
      <c r="AT278" s="64">
        <f t="shared" ref="AT278" si="2554">AT277</f>
        <v>0</v>
      </c>
      <c r="AU278" s="64">
        <f t="shared" si="2553"/>
        <v>0</v>
      </c>
      <c r="AV278" s="64">
        <f t="shared" si="2553"/>
        <v>0</v>
      </c>
      <c r="AW278" s="64">
        <f t="shared" si="2553"/>
        <v>0</v>
      </c>
      <c r="AX278" s="256">
        <f>AX277</f>
        <v>0</v>
      </c>
      <c r="AY278" s="256">
        <f t="shared" si="2553"/>
        <v>0</v>
      </c>
      <c r="AZ278" s="256">
        <f t="shared" si="2553"/>
        <v>0</v>
      </c>
      <c r="BA278" s="256">
        <f t="shared" ref="BA278:BB278" si="2555">BA277</f>
        <v>0</v>
      </c>
      <c r="BB278" s="256">
        <f t="shared" si="2555"/>
        <v>0</v>
      </c>
      <c r="BC278" s="256"/>
      <c r="BD278" s="66"/>
      <c r="BE278" s="66"/>
      <c r="BF278" s="261"/>
      <c r="BG278" s="66"/>
      <c r="BH278" s="175"/>
      <c r="BI278" s="66"/>
      <c r="BJ278" s="66"/>
      <c r="BK278" s="65">
        <f t="shared" ref="BK278:BM278" si="2556" xml:space="preserve"> BK277</f>
        <v>0</v>
      </c>
      <c r="BL278" s="267">
        <f t="shared" si="2556"/>
        <v>0</v>
      </c>
      <c r="BM278" s="267">
        <f t="shared" si="2556"/>
        <v>0</v>
      </c>
      <c r="BN278" s="45">
        <f t="shared" si="2291"/>
        <v>1</v>
      </c>
      <c r="BO278" s="59"/>
      <c r="BP278" s="59"/>
      <c r="BR278" s="49">
        <f t="shared" si="2546"/>
        <v>0</v>
      </c>
      <c r="BS278" s="49">
        <f t="shared" si="2546"/>
        <v>0</v>
      </c>
      <c r="BT278" s="49">
        <f t="shared" si="2546"/>
        <v>0</v>
      </c>
      <c r="BU278" s="49">
        <f t="shared" si="2546"/>
        <v>0</v>
      </c>
      <c r="BV278" s="49">
        <f t="shared" si="2546"/>
        <v>0</v>
      </c>
      <c r="BW278" s="49">
        <f t="shared" si="2546"/>
        <v>0</v>
      </c>
      <c r="BX278" s="49">
        <f t="shared" si="2546"/>
        <v>0</v>
      </c>
      <c r="BY278" s="549">
        <f>IF(COUNT(Q278:U278)&gt;1,MINA(Q278:U278)*BY$9,0)</f>
        <v>0</v>
      </c>
      <c r="BZ278" s="85">
        <f t="shared" si="2547"/>
        <v>0</v>
      </c>
      <c r="CA278" s="85">
        <f t="shared" si="2547"/>
        <v>0</v>
      </c>
      <c r="CB278" s="85">
        <f t="shared" si="2547"/>
        <v>0</v>
      </c>
      <c r="CC278" s="85">
        <f t="shared" si="2547"/>
        <v>0</v>
      </c>
      <c r="CD278" s="85">
        <f t="shared" si="2547"/>
        <v>0</v>
      </c>
      <c r="CE278" s="85">
        <f>IF(AC278=0,0,AC278*CE$9)</f>
        <v>0</v>
      </c>
      <c r="CF278" s="85">
        <f t="shared" si="2548"/>
        <v>0</v>
      </c>
      <c r="CG278" s="85">
        <f t="shared" si="2548"/>
        <v>0</v>
      </c>
      <c r="CH278" s="85">
        <f t="shared" si="2549"/>
        <v>0</v>
      </c>
      <c r="CI278" s="85">
        <f t="shared" si="2549"/>
        <v>0</v>
      </c>
      <c r="CJ278" s="85">
        <f t="shared" si="2549"/>
        <v>0</v>
      </c>
      <c r="CK278" s="85">
        <f t="shared" si="2549"/>
        <v>0</v>
      </c>
      <c r="CL278" s="100">
        <f>SUM(BR278:CK278)</f>
        <v>0</v>
      </c>
      <c r="CM278" s="50"/>
      <c r="CN278" s="104">
        <f>J278</f>
        <v>0</v>
      </c>
      <c r="CO278" s="101" t="e">
        <f>CL278/CN278</f>
        <v>#DIV/0!</v>
      </c>
      <c r="CP278" s="51" t="e">
        <f>Seilareal/Lwl/Lwl</f>
        <v>#DIV/0!</v>
      </c>
      <c r="CQ278" s="116" t="e">
        <f>Seilareal/Depl^0.667/K$7</f>
        <v>#DIV/0!</v>
      </c>
      <c r="CR278" s="51" t="e">
        <f>Seilareal/Lwl/Lwl/SApRS1</f>
        <v>#DIV/0!</v>
      </c>
      <c r="CS278" s="204"/>
      <c r="CT278" s="204" t="e">
        <f>(ROUND(TBF/CT$6,3)*CT$6)*CT$4</f>
        <v>#VALUE!</v>
      </c>
      <c r="CU278" s="107" t="str">
        <f t="shared" si="1267"/>
        <v>-</v>
      </c>
      <c r="CV278" s="62" t="str">
        <f t="shared" si="2119"/>
        <v>-</v>
      </c>
      <c r="CW278" s="62" t="str">
        <f t="shared" si="1268"/>
        <v>-</v>
      </c>
      <c r="CX278" s="62" t="str">
        <f t="shared" si="2120"/>
        <v>-</v>
      </c>
      <c r="CY278" s="107" t="str">
        <f t="shared" si="1269"/>
        <v>-</v>
      </c>
      <c r="CZ278" s="168" t="str">
        <f t="shared" si="2502"/>
        <v>-</v>
      </c>
      <c r="DA278" s="158"/>
      <c r="DB278" s="168" t="str">
        <f t="shared" si="2289"/>
        <v>-</v>
      </c>
      <c r="DC278" s="160"/>
      <c r="DD278" s="190" t="s">
        <v>134</v>
      </c>
      <c r="DE278" s="62" t="s">
        <v>102</v>
      </c>
      <c r="DF278" s="62" t="s">
        <v>102</v>
      </c>
      <c r="DG278" s="62" t="s">
        <v>102</v>
      </c>
      <c r="DH278" s="150" t="s">
        <v>102</v>
      </c>
      <c r="DI278" s="62" t="str">
        <f t="shared" si="2292"/>
        <v>-</v>
      </c>
      <c r="DJ278" s="47">
        <f t="shared" si="2293"/>
        <v>0</v>
      </c>
      <c r="DK278" s="48">
        <f t="shared" si="2294"/>
        <v>0</v>
      </c>
      <c r="DM278" s="107" t="str">
        <f t="shared" si="2295"/>
        <v>-</v>
      </c>
      <c r="DN278" s="141" t="str">
        <f t="shared" si="2532"/>
        <v>-</v>
      </c>
      <c r="DO278" s="107">
        <f t="shared" si="2297"/>
        <v>0</v>
      </c>
      <c r="DP278" s="133">
        <f>IF(SeilBeregnet=0,DP277,(SeilBeregnet^0.5/(Depl^0.3333))^DP$3*DP$7)</f>
        <v>0</v>
      </c>
      <c r="DQ278" s="133">
        <f>IF(SeilBeregnet=0,DQ277,(SeilBeregnet^0.5/Lwl)^DQ$3*DQ$7)</f>
        <v>0</v>
      </c>
      <c r="DR278" s="133">
        <f>IF(SeilBeregnet=0,DR277,(0.1*Loa/Depl^0.3333)^DR$3*DR$7)</f>
        <v>0</v>
      </c>
      <c r="DS278" s="133">
        <f>IF(SeilBeregnet=0,DS277,((Loa)/Bredde)^DS$3*DS$7)</f>
        <v>0</v>
      </c>
      <c r="DT278" s="107">
        <f>IF(SeilBeregnet=0,DT277,(Lwl)^DT$3)</f>
        <v>0</v>
      </c>
      <c r="DU278" s="133">
        <f>IF(SeilBeregnet=0,DU277,(Dypg/Loa)^DU$3*5*DU$7)</f>
        <v>0</v>
      </c>
      <c r="DW278" s="107" t="str">
        <f t="shared" si="1241"/>
        <v>-</v>
      </c>
      <c r="DX278" s="107" t="str">
        <f t="shared" si="2298"/>
        <v>-</v>
      </c>
      <c r="DZ278" s="107" t="str">
        <f t="shared" si="2299"/>
        <v>-</v>
      </c>
      <c r="EA278" s="122" t="str">
        <f t="shared" si="2533"/>
        <v>-</v>
      </c>
      <c r="EB278" s="107" t="str">
        <f t="shared" si="2301"/>
        <v>-</v>
      </c>
      <c r="EC278" s="122" t="str">
        <f t="shared" si="2534"/>
        <v>-</v>
      </c>
      <c r="ED278" s="107">
        <f>IF(SeilBeregnet=0,ED277,SeilBeregnet^0.5/Depl^0.33333)</f>
        <v>0</v>
      </c>
      <c r="EE278" s="107">
        <f>IF(SeilBeregnet=0,EE277,Lwl^0.3333)</f>
        <v>0</v>
      </c>
      <c r="EF278" s="107">
        <f>IF(SeilBeregnet=0,EF277,((Loa+Lwl)/Bredde)^EF$3)</f>
        <v>0</v>
      </c>
      <c r="EH278" s="107" t="str">
        <f t="shared" si="2303"/>
        <v>-</v>
      </c>
      <c r="EJ278" s="107">
        <f>IF(SeilBeregnet=0,EJ277,SeilBeregnet^0.5/Depl^0.33333)</f>
        <v>0</v>
      </c>
      <c r="EK278" s="107">
        <f>IF(SeilBeregnet=0,EK277,Lwl^EK$3)</f>
        <v>0</v>
      </c>
      <c r="EL278" s="107">
        <f>IF(SeilBeregnet=0,EL277,((Loa+Lwl)/Bredde)^EL$3)</f>
        <v>0</v>
      </c>
      <c r="EM278" s="107" t="str">
        <f t="shared" si="2304"/>
        <v>-</v>
      </c>
      <c r="EO278" s="107">
        <f>IF(SeilBeregnet=0,EO277,(EP278*EQ278)^EO$3)</f>
        <v>0</v>
      </c>
      <c r="EP278" s="107">
        <f>IF(SeilBeregnet=0,EP277,SeilBeregnet^0.5/Depl^0.33333)</f>
        <v>0</v>
      </c>
      <c r="EQ278" s="107">
        <f>IF(SeilBeregnet=0,EQ277,((Loa+Lwl)/Bredde)^EQ$3)</f>
        <v>0</v>
      </c>
      <c r="ER278" s="107">
        <f>IF(SeilBeregnet=0,ER277,Lwl^ER$3)</f>
        <v>0</v>
      </c>
      <c r="ES278" s="107" t="str">
        <f t="shared" si="2305"/>
        <v>-</v>
      </c>
      <c r="EU278" s="107">
        <f>IF(SeilBeregnet=0,EU277,(EV:EV*EW:EW)^EU$3)</f>
        <v>0</v>
      </c>
      <c r="EV278" s="107">
        <f>IF(SeilBeregnet=0,EV277,SeilBeregnet^0.5/Depl^0.33333)</f>
        <v>0</v>
      </c>
      <c r="EW278" s="107">
        <f>IF(SeilBeregnet=0,EW277,((Loa+Lwl)/Bredde/6)^EW$3)</f>
        <v>0</v>
      </c>
      <c r="EX278" s="107">
        <f>IF(SeilBeregnet=0,EX277,(Lwl*0.7+Loa*0.3)^EX$3)</f>
        <v>0</v>
      </c>
      <c r="EY278" s="107" t="str">
        <f t="shared" si="2306"/>
        <v>-</v>
      </c>
      <c r="FA278" s="107">
        <f t="shared" si="2307"/>
        <v>0</v>
      </c>
      <c r="FB278" s="107">
        <f>IF(SeilBeregnet=0,FB277,SeilBeregnet^0.5/Depl^0.3333)</f>
        <v>0</v>
      </c>
      <c r="FC278" s="107">
        <f>IF(SeilBeregnet=0,FC277,((Loa+Lwl)/Bredde/6)^FC$3)</f>
        <v>0</v>
      </c>
      <c r="FD278" s="107">
        <f>IF(SeilBeregnet=0,FD277,(Lwl*0.7+Loa*0.3)^FD$3)</f>
        <v>0</v>
      </c>
      <c r="FE278" s="107" t="str">
        <f t="shared" si="2308"/>
        <v>-</v>
      </c>
      <c r="FF278" s="141" t="str">
        <f t="shared" si="2535"/>
        <v>-</v>
      </c>
      <c r="FG278" s="107">
        <f t="shared" si="2310"/>
        <v>0</v>
      </c>
      <c r="FH278" s="133">
        <f>IF(SeilBeregnet=0,FH277,(SeilBeregnet^0.5/(Depl^0.3333))^FH$3)</f>
        <v>0</v>
      </c>
      <c r="FI278" s="133">
        <f>IF(SeilBeregnet=0,FI277,((Loa+Lwl)/Bredde/6)^FI$3)</f>
        <v>0</v>
      </c>
      <c r="FJ278" s="107">
        <f>IF(SeilBeregnet=0,FJ277,(Lwl*0.07+Loa*0.03)^FJ$3)</f>
        <v>0</v>
      </c>
      <c r="FK278" s="107" t="str">
        <f t="shared" si="2311"/>
        <v>-</v>
      </c>
      <c r="FL278" s="141" t="str">
        <f t="shared" si="2536"/>
        <v>-</v>
      </c>
      <c r="FM278" s="107">
        <f t="shared" si="2313"/>
        <v>-0.5</v>
      </c>
      <c r="FN278" s="133">
        <f>IF(SeilBeregnet=0,FN277,(SeilBeregnet^0.5/(Depl^0.3333))^FN$3)</f>
        <v>0</v>
      </c>
      <c r="FO278" s="133">
        <f>IF(SeilBeregnet=0,FO277,(SeilBeregnet^0.5/Lwl*FO$7)^FO$3)</f>
        <v>0</v>
      </c>
      <c r="FP278" s="133">
        <f>IF(SeilBeregnet=0,FP277,((Loa)/Bredde)^FP$3*FP$7)</f>
        <v>0</v>
      </c>
      <c r="FQ278" s="107">
        <f>IF(SeilBeregnet=0,FQ277,(Lwl)^FQ$3)</f>
        <v>0</v>
      </c>
      <c r="FR278" s="107" t="str">
        <f t="shared" si="2314"/>
        <v>-</v>
      </c>
      <c r="FS278" s="141" t="str">
        <f t="shared" si="2537"/>
        <v>-</v>
      </c>
      <c r="FT278" s="107">
        <f t="shared" si="2316"/>
        <v>0</v>
      </c>
      <c r="FU278" s="133">
        <f>IF(SeilBeregnet=0,FU277,(SeilBeregnet^0.5/(Depl^0.3333))^FU$3)</f>
        <v>0</v>
      </c>
      <c r="FV278" s="133">
        <f>IF(SeilBeregnet=0,FV277,(Loa/Bredde)^FV$3)</f>
        <v>0</v>
      </c>
      <c r="FW278" s="107">
        <f>IF(SeilBeregnet=0,FW277,Lwl^FW$3)</f>
        <v>0</v>
      </c>
      <c r="FY278" s="336">
        <v>1</v>
      </c>
      <c r="FZ278" s="62" t="str">
        <f t="shared" si="2074"/>
        <v>-</v>
      </c>
      <c r="GA278" s="62">
        <f t="shared" si="2075"/>
        <v>2</v>
      </c>
      <c r="GB278" s="107" t="str">
        <f t="shared" si="1270"/>
        <v>-</v>
      </c>
      <c r="GC278" s="440"/>
      <c r="GD278" s="17"/>
      <c r="GE278" s="442"/>
      <c r="GF278" s="462"/>
      <c r="GG278" s="17"/>
      <c r="GH278" s="17"/>
      <c r="GI278" s="17"/>
      <c r="GJ278" s="17"/>
      <c r="GL278" s="17"/>
      <c r="GM278" s="442"/>
      <c r="GN278" s="8"/>
      <c r="GO278" s="8"/>
      <c r="GP278" s="8"/>
      <c r="GQ278" s="8"/>
      <c r="GS278" s="17"/>
      <c r="GT278" s="17"/>
      <c r="GU278" s="17"/>
      <c r="GV278" s="629"/>
      <c r="GW278" s="17"/>
      <c r="GX278" s="17"/>
      <c r="GY278" s="17"/>
      <c r="GZ278" s="17"/>
    </row>
    <row r="279" spans="1:208" ht="15.6" x14ac:dyDescent="0.3">
      <c r="A279" s="60"/>
      <c r="B279" s="218"/>
      <c r="C279" s="61" t="str">
        <f t="shared" si="2550"/>
        <v>Bermuda</v>
      </c>
      <c r="D279" s="61"/>
      <c r="E279" s="61"/>
      <c r="F279" s="61"/>
      <c r="G279" s="54"/>
      <c r="H279" s="204">
        <f>IF(StH=0,0,TBFavrundet)</f>
        <v>0</v>
      </c>
      <c r="I279" s="63">
        <f t="shared" ref="I279:I280" si="2557">COUNTA(O279:AG279)</f>
        <v>0</v>
      </c>
      <c r="J279" s="222">
        <f t="shared" ref="J279:J280" si="2558">SUM(O279:AG279)</f>
        <v>0</v>
      </c>
      <c r="K279" s="116" t="e">
        <f>Seilareal/Depl^0.667/K$7</f>
        <v>#DIV/0!</v>
      </c>
      <c r="L279" s="116" t="e">
        <f>Seilareal/Lwl/Lwl/L$7</f>
        <v>#DIV/0!</v>
      </c>
      <c r="M279" s="92" t="e">
        <f>RiggF</f>
        <v>#DIV/0!</v>
      </c>
      <c r="N279" s="242" t="str">
        <f>StHfaktor</f>
        <v>-</v>
      </c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551"/>
      <c r="AH279" s="557">
        <f t="shared" ref="AH279" si="2559">AH278</f>
        <v>0</v>
      </c>
      <c r="AI279" s="557">
        <f t="shared" si="2539"/>
        <v>0</v>
      </c>
      <c r="AJ279" s="337">
        <f t="shared" si="2540"/>
        <v>0</v>
      </c>
      <c r="AK279" s="339"/>
      <c r="AL279" s="337">
        <f t="shared" si="2540"/>
        <v>0</v>
      </c>
      <c r="AM279" s="339"/>
      <c r="AN279" s="267" t="str">
        <f t="shared" ref="AN279" si="2560" xml:space="preserve"> AN278</f>
        <v>Meter</v>
      </c>
      <c r="AO279" s="45">
        <f>VLOOKUP(AN279,Skrogform!$1:$1048576,3,FALSE)</f>
        <v>1</v>
      </c>
      <c r="AP279" s="64">
        <f t="shared" si="2539"/>
        <v>0</v>
      </c>
      <c r="AQ279" s="64">
        <f t="shared" ref="AQ279:AZ279" si="2561">AQ278</f>
        <v>0</v>
      </c>
      <c r="AR279" s="64">
        <f t="shared" si="2561"/>
        <v>0</v>
      </c>
      <c r="AS279" s="64">
        <f t="shared" si="2561"/>
        <v>0</v>
      </c>
      <c r="AT279" s="64">
        <f t="shared" ref="AT279" si="2562">AT278</f>
        <v>0</v>
      </c>
      <c r="AU279" s="64">
        <f t="shared" si="2561"/>
        <v>0</v>
      </c>
      <c r="AV279" s="64">
        <f t="shared" si="2561"/>
        <v>0</v>
      </c>
      <c r="AW279" s="64">
        <f t="shared" si="2561"/>
        <v>0</v>
      </c>
      <c r="AX279" s="256">
        <f>AX278</f>
        <v>0</v>
      </c>
      <c r="AY279" s="256">
        <f t="shared" si="2561"/>
        <v>0</v>
      </c>
      <c r="AZ279" s="256">
        <f t="shared" si="2561"/>
        <v>0</v>
      </c>
      <c r="BA279" s="256">
        <f t="shared" ref="BA279:BB279" si="2563">BA278</f>
        <v>0</v>
      </c>
      <c r="BB279" s="256">
        <f t="shared" si="2563"/>
        <v>0</v>
      </c>
      <c r="BC279" s="256"/>
      <c r="BD279" s="66"/>
      <c r="BE279" s="66"/>
      <c r="BF279" s="261"/>
      <c r="BG279" s="66"/>
      <c r="BH279" s="175"/>
      <c r="BI279" s="66"/>
      <c r="BJ279" s="66"/>
      <c r="BK279" s="65">
        <f t="shared" ref="BK279:BM279" si="2564" xml:space="preserve"> BK278</f>
        <v>0</v>
      </c>
      <c r="BL279" s="267">
        <f t="shared" si="2564"/>
        <v>0</v>
      </c>
      <c r="BM279" s="267">
        <f t="shared" si="2564"/>
        <v>0</v>
      </c>
      <c r="BN279" s="45">
        <f t="shared" si="2291"/>
        <v>1</v>
      </c>
      <c r="BO279" s="59"/>
      <c r="BP279" s="59"/>
      <c r="BR279" s="49">
        <f t="shared" si="2546"/>
        <v>0</v>
      </c>
      <c r="BS279" s="49">
        <f t="shared" si="2546"/>
        <v>0</v>
      </c>
      <c r="BT279" s="49">
        <f t="shared" si="2546"/>
        <v>0</v>
      </c>
      <c r="BU279" s="49">
        <f t="shared" si="2546"/>
        <v>0</v>
      </c>
      <c r="BV279" s="49">
        <f t="shared" si="2546"/>
        <v>0</v>
      </c>
      <c r="BW279" s="49">
        <f t="shared" si="2546"/>
        <v>0</v>
      </c>
      <c r="BX279" s="49">
        <f t="shared" si="2546"/>
        <v>0</v>
      </c>
      <c r="BY279" s="549">
        <f>IF(COUNT(Q279:U279)&gt;1,MINA(Q279:U279)*BY$9,0)</f>
        <v>0</v>
      </c>
      <c r="BZ279" s="85">
        <f t="shared" si="2547"/>
        <v>0</v>
      </c>
      <c r="CA279" s="85">
        <f t="shared" si="2547"/>
        <v>0</v>
      </c>
      <c r="CB279" s="85">
        <f t="shared" si="2547"/>
        <v>0</v>
      </c>
      <c r="CC279" s="85">
        <f t="shared" si="2547"/>
        <v>0</v>
      </c>
      <c r="CD279" s="85">
        <f t="shared" si="2547"/>
        <v>0</v>
      </c>
      <c r="CE279" s="85">
        <f>IF(AC279=0,0,AC279*CE$9)</f>
        <v>0</v>
      </c>
      <c r="CF279" s="85">
        <f t="shared" si="2548"/>
        <v>0</v>
      </c>
      <c r="CG279" s="85">
        <f t="shared" si="2548"/>
        <v>0</v>
      </c>
      <c r="CH279" s="85">
        <f t="shared" si="2549"/>
        <v>0</v>
      </c>
      <c r="CI279" s="85">
        <f t="shared" si="2549"/>
        <v>0</v>
      </c>
      <c r="CJ279" s="85">
        <f t="shared" si="2549"/>
        <v>0</v>
      </c>
      <c r="CK279" s="85">
        <f t="shared" si="2549"/>
        <v>0</v>
      </c>
      <c r="CL279" s="100">
        <f>SUM(BR279:CK279)</f>
        <v>0</v>
      </c>
      <c r="CM279" s="50"/>
      <c r="CN279" s="104">
        <f>J279</f>
        <v>0</v>
      </c>
      <c r="CO279" s="101" t="e">
        <f>CL279/CN279</f>
        <v>#DIV/0!</v>
      </c>
      <c r="CP279" s="51" t="e">
        <f>Seilareal/Lwl/Lwl</f>
        <v>#DIV/0!</v>
      </c>
      <c r="CQ279" s="116" t="e">
        <f>Seilareal/Depl^0.667/K$7</f>
        <v>#DIV/0!</v>
      </c>
      <c r="CR279" s="51" t="e">
        <f>Seilareal/Lwl/Lwl/SApRS1</f>
        <v>#DIV/0!</v>
      </c>
      <c r="CS279" s="204"/>
      <c r="CT279" s="204" t="e">
        <f>(ROUND(TBF/CT$6,3)*CT$6)*CT$4</f>
        <v>#VALUE!</v>
      </c>
      <c r="CU279" s="107" t="str">
        <f t="shared" si="1267"/>
        <v>-</v>
      </c>
      <c r="CV279" s="62" t="str">
        <f t="shared" si="2119"/>
        <v>-</v>
      </c>
      <c r="CW279" s="62" t="str">
        <f t="shared" si="1268"/>
        <v>-</v>
      </c>
      <c r="CX279" s="62" t="str">
        <f t="shared" si="2120"/>
        <v>-</v>
      </c>
      <c r="CY279" s="107" t="str">
        <f t="shared" si="1269"/>
        <v>-</v>
      </c>
      <c r="CZ279" s="168" t="str">
        <f t="shared" si="2502"/>
        <v>-</v>
      </c>
      <c r="DA279" s="158"/>
      <c r="DB279" s="168" t="str">
        <f t="shared" si="2289"/>
        <v>-</v>
      </c>
      <c r="DC279" s="160"/>
      <c r="DD279" s="190" t="s">
        <v>134</v>
      </c>
      <c r="DE279" s="62" t="s">
        <v>102</v>
      </c>
      <c r="DF279" s="62" t="s">
        <v>102</v>
      </c>
      <c r="DG279" s="62" t="s">
        <v>102</v>
      </c>
      <c r="DH279" s="150" t="s">
        <v>102</v>
      </c>
      <c r="DI279" s="62" t="str">
        <f t="shared" si="2292"/>
        <v>-</v>
      </c>
      <c r="DJ279" s="47">
        <f t="shared" si="2293"/>
        <v>0</v>
      </c>
      <c r="DK279" s="48">
        <f t="shared" si="2294"/>
        <v>0</v>
      </c>
      <c r="DM279" s="107" t="str">
        <f t="shared" si="2295"/>
        <v>-</v>
      </c>
      <c r="DN279" s="141" t="str">
        <f t="shared" si="2532"/>
        <v>-</v>
      </c>
      <c r="DO279" s="107">
        <f t="shared" si="2297"/>
        <v>0</v>
      </c>
      <c r="DP279" s="133">
        <f>IF(SeilBeregnet=0,DP278,(SeilBeregnet^0.5/(Depl^0.3333))^DP$3*DP$7)</f>
        <v>0</v>
      </c>
      <c r="DQ279" s="133">
        <f>IF(SeilBeregnet=0,DQ278,(SeilBeregnet^0.5/Lwl)^DQ$3*DQ$7)</f>
        <v>0</v>
      </c>
      <c r="DR279" s="133">
        <f>IF(SeilBeregnet=0,DR278,(0.1*Loa/Depl^0.3333)^DR$3*DR$7)</f>
        <v>0</v>
      </c>
      <c r="DS279" s="133">
        <f>IF(SeilBeregnet=0,DS278,((Loa)/Bredde)^DS$3*DS$7)</f>
        <v>0</v>
      </c>
      <c r="DT279" s="107">
        <f>IF(SeilBeregnet=0,DT278,(Lwl)^DT$3)</f>
        <v>0</v>
      </c>
      <c r="DU279" s="133">
        <f>IF(SeilBeregnet=0,DU278,(Dypg/Loa)^DU$3*5*DU$7)</f>
        <v>0</v>
      </c>
      <c r="DW279" s="107" t="str">
        <f t="shared" si="1241"/>
        <v>-</v>
      </c>
      <c r="DX279" s="107" t="str">
        <f t="shared" si="2298"/>
        <v>-</v>
      </c>
      <c r="DZ279" s="107" t="str">
        <f t="shared" si="2299"/>
        <v>-</v>
      </c>
      <c r="EA279" s="122" t="str">
        <f t="shared" si="2533"/>
        <v>-</v>
      </c>
      <c r="EB279" s="107" t="str">
        <f t="shared" si="2301"/>
        <v>-</v>
      </c>
      <c r="EC279" s="122" t="str">
        <f t="shared" si="2534"/>
        <v>-</v>
      </c>
      <c r="ED279" s="107">
        <f>IF(SeilBeregnet=0,ED278,SeilBeregnet^0.5/Depl^0.33333)</f>
        <v>0</v>
      </c>
      <c r="EE279" s="107">
        <f>IF(SeilBeregnet=0,EE278,Lwl^0.3333)</f>
        <v>0</v>
      </c>
      <c r="EF279" s="107">
        <f>IF(SeilBeregnet=0,EF278,((Loa+Lwl)/Bredde)^EF$3)</f>
        <v>0</v>
      </c>
      <c r="EH279" s="107" t="str">
        <f t="shared" si="2303"/>
        <v>-</v>
      </c>
      <c r="EJ279" s="107">
        <f>IF(SeilBeregnet=0,EJ278,SeilBeregnet^0.5/Depl^0.33333)</f>
        <v>0</v>
      </c>
      <c r="EK279" s="107">
        <f>IF(SeilBeregnet=0,EK278,Lwl^EK$3)</f>
        <v>0</v>
      </c>
      <c r="EL279" s="107">
        <f>IF(SeilBeregnet=0,EL278,((Loa+Lwl)/Bredde)^EL$3)</f>
        <v>0</v>
      </c>
      <c r="EM279" s="107" t="str">
        <f t="shared" si="2304"/>
        <v>-</v>
      </c>
      <c r="EO279" s="107">
        <f>IF(SeilBeregnet=0,EO278,(EP279*EQ279)^EO$3)</f>
        <v>0</v>
      </c>
      <c r="EP279" s="107">
        <f>IF(SeilBeregnet=0,EP278,SeilBeregnet^0.5/Depl^0.33333)</f>
        <v>0</v>
      </c>
      <c r="EQ279" s="107">
        <f>IF(SeilBeregnet=0,EQ278,((Loa+Lwl)/Bredde)^EQ$3)</f>
        <v>0</v>
      </c>
      <c r="ER279" s="107">
        <f>IF(SeilBeregnet=0,ER278,Lwl^ER$3)</f>
        <v>0</v>
      </c>
      <c r="ES279" s="107" t="str">
        <f t="shared" si="2305"/>
        <v>-</v>
      </c>
      <c r="EU279" s="107">
        <f>IF(SeilBeregnet=0,EU278,(EV:EV*EW:EW)^EU$3)</f>
        <v>0</v>
      </c>
      <c r="EV279" s="107">
        <f>IF(SeilBeregnet=0,EV278,SeilBeregnet^0.5/Depl^0.33333)</f>
        <v>0</v>
      </c>
      <c r="EW279" s="107">
        <f>IF(SeilBeregnet=0,EW278,((Loa+Lwl)/Bredde/6)^EW$3)</f>
        <v>0</v>
      </c>
      <c r="EX279" s="107">
        <f>IF(SeilBeregnet=0,EX278,(Lwl*0.7+Loa*0.3)^EX$3)</f>
        <v>0</v>
      </c>
      <c r="EY279" s="107" t="str">
        <f t="shared" si="2306"/>
        <v>-</v>
      </c>
      <c r="FA279" s="107">
        <f t="shared" si="2307"/>
        <v>0</v>
      </c>
      <c r="FB279" s="107">
        <f>IF(SeilBeregnet=0,FB278,SeilBeregnet^0.5/Depl^0.3333)</f>
        <v>0</v>
      </c>
      <c r="FC279" s="107">
        <f>IF(SeilBeregnet=0,FC278,((Loa+Lwl)/Bredde/6)^FC$3)</f>
        <v>0</v>
      </c>
      <c r="FD279" s="107">
        <f>IF(SeilBeregnet=0,FD278,(Lwl*0.7+Loa*0.3)^FD$3)</f>
        <v>0</v>
      </c>
      <c r="FE279" s="107" t="str">
        <f t="shared" si="2308"/>
        <v>-</v>
      </c>
      <c r="FF279" s="141" t="str">
        <f t="shared" si="2535"/>
        <v>-</v>
      </c>
      <c r="FG279" s="107">
        <f t="shared" si="2310"/>
        <v>0</v>
      </c>
      <c r="FH279" s="133">
        <f>IF(SeilBeregnet=0,FH278,(SeilBeregnet^0.5/(Depl^0.3333))^FH$3)</f>
        <v>0</v>
      </c>
      <c r="FI279" s="133">
        <f>IF(SeilBeregnet=0,FI278,((Loa+Lwl)/Bredde/6)^FI$3)</f>
        <v>0</v>
      </c>
      <c r="FJ279" s="107">
        <f>IF(SeilBeregnet=0,FJ278,(Lwl*0.07+Loa*0.03)^FJ$3)</f>
        <v>0</v>
      </c>
      <c r="FK279" s="107" t="str">
        <f t="shared" si="2311"/>
        <v>-</v>
      </c>
      <c r="FL279" s="141" t="str">
        <f t="shared" si="2536"/>
        <v>-</v>
      </c>
      <c r="FM279" s="107">
        <f t="shared" si="2313"/>
        <v>-0.5</v>
      </c>
      <c r="FN279" s="133">
        <f>IF(SeilBeregnet=0,FN278,(SeilBeregnet^0.5/(Depl^0.3333))^FN$3)</f>
        <v>0</v>
      </c>
      <c r="FO279" s="133">
        <f>IF(SeilBeregnet=0,FO278,(SeilBeregnet^0.5/Lwl*FO$7)^FO$3)</f>
        <v>0</v>
      </c>
      <c r="FP279" s="133">
        <f>IF(SeilBeregnet=0,FP278,((Loa)/Bredde)^FP$3*FP$7)</f>
        <v>0</v>
      </c>
      <c r="FQ279" s="107">
        <f>IF(SeilBeregnet=0,FQ278,(Lwl)^FQ$3)</f>
        <v>0</v>
      </c>
      <c r="FR279" s="107" t="str">
        <f t="shared" si="2314"/>
        <v>-</v>
      </c>
      <c r="FS279" s="141" t="str">
        <f t="shared" si="2537"/>
        <v>-</v>
      </c>
      <c r="FT279" s="107">
        <f t="shared" si="2316"/>
        <v>0</v>
      </c>
      <c r="FU279" s="133">
        <f>IF(SeilBeregnet=0,FU278,(SeilBeregnet^0.5/(Depl^0.3333))^FU$3)</f>
        <v>0</v>
      </c>
      <c r="FV279" s="133">
        <f>IF(SeilBeregnet=0,FV278,(Loa/Bredde)^FV$3)</f>
        <v>0</v>
      </c>
      <c r="FW279" s="107">
        <f>IF(SeilBeregnet=0,FW278,Lwl^FW$3)</f>
        <v>0</v>
      </c>
      <c r="FY279" s="336">
        <v>1</v>
      </c>
      <c r="FZ279" s="62" t="str">
        <f t="shared" si="2074"/>
        <v>-</v>
      </c>
      <c r="GA279" s="62">
        <f t="shared" si="2075"/>
        <v>2</v>
      </c>
      <c r="GB279" s="107" t="str">
        <f t="shared" si="1270"/>
        <v>-</v>
      </c>
      <c r="GC279" s="440"/>
      <c r="GD279" s="17"/>
      <c r="GE279" s="442"/>
      <c r="GF279" s="462"/>
      <c r="GG279" s="17"/>
      <c r="GH279" s="17"/>
      <c r="GI279" s="17"/>
      <c r="GJ279" s="17"/>
      <c r="GL279" s="17"/>
      <c r="GM279" s="442"/>
      <c r="GN279" s="8"/>
      <c r="GO279" s="8"/>
      <c r="GP279" s="8"/>
      <c r="GQ279" s="8"/>
      <c r="GS279" s="17"/>
      <c r="GT279" s="17"/>
      <c r="GU279" s="17"/>
      <c r="GV279" s="629"/>
      <c r="GW279" s="17"/>
      <c r="GX279" s="17"/>
      <c r="GY279" s="17"/>
      <c r="GZ279" s="17"/>
    </row>
    <row r="280" spans="1:208" ht="15.6" x14ac:dyDescent="0.3">
      <c r="A280" s="60" t="str">
        <f>A$3</f>
        <v>TBF 2024-62a</v>
      </c>
      <c r="B280" s="218"/>
      <c r="C280" s="61" t="str">
        <f t="shared" si="2550"/>
        <v>Bermuda</v>
      </c>
      <c r="D280" s="61"/>
      <c r="E280" s="61"/>
      <c r="F280" s="61"/>
      <c r="G280" s="54"/>
      <c r="H280" s="204">
        <f>IF(StH=0,0,TBFavrundet)</f>
        <v>0</v>
      </c>
      <c r="I280" s="63">
        <f t="shared" si="2557"/>
        <v>0</v>
      </c>
      <c r="J280" s="222">
        <f t="shared" si="2558"/>
        <v>0</v>
      </c>
      <c r="K280" s="116" t="e">
        <f>Seilareal/Depl^0.667/K$7</f>
        <v>#DIV/0!</v>
      </c>
      <c r="L280" s="116" t="e">
        <f>Seilareal/Lwl/Lwl/L$7</f>
        <v>#DIV/0!</v>
      </c>
      <c r="M280" s="92" t="e">
        <f>RiggF</f>
        <v>#DIV/0!</v>
      </c>
      <c r="N280" s="242" t="str">
        <f>StHfaktor</f>
        <v>-</v>
      </c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551"/>
      <c r="AH280" s="557">
        <f t="shared" ref="AH280" si="2565">AH279</f>
        <v>0</v>
      </c>
      <c r="AI280" s="557">
        <f t="shared" si="2539"/>
        <v>0</v>
      </c>
      <c r="AJ280" s="267">
        <f t="shared" ref="AJ280" si="2566" xml:space="preserve"> AJ279</f>
        <v>0</v>
      </c>
      <c r="AK280" s="339"/>
      <c r="AL280" s="267">
        <f t="shared" ref="AL280:AN280" si="2567" xml:space="preserve"> AL279</f>
        <v>0</v>
      </c>
      <c r="AM280" s="339"/>
      <c r="AN280" s="267" t="str">
        <f t="shared" si="2567"/>
        <v>Meter</v>
      </c>
      <c r="AO280" s="45">
        <f>VLOOKUP(AN280,Skrogform!$1:$1048576,3,FALSE)</f>
        <v>1</v>
      </c>
      <c r="AP280" s="64">
        <f t="shared" si="2539"/>
        <v>0</v>
      </c>
      <c r="AQ280" s="64">
        <f t="shared" ref="AQ280:AZ280" si="2568">AQ279</f>
        <v>0</v>
      </c>
      <c r="AR280" s="64">
        <f t="shared" si="2568"/>
        <v>0</v>
      </c>
      <c r="AS280" s="64">
        <f t="shared" si="2568"/>
        <v>0</v>
      </c>
      <c r="AT280" s="64">
        <f t="shared" ref="AT280" si="2569">AT279</f>
        <v>0</v>
      </c>
      <c r="AU280" s="64">
        <f t="shared" si="2568"/>
        <v>0</v>
      </c>
      <c r="AV280" s="64">
        <f t="shared" si="2568"/>
        <v>0</v>
      </c>
      <c r="AW280" s="64">
        <f t="shared" si="2568"/>
        <v>0</v>
      </c>
      <c r="AX280" s="256">
        <f>AX279</f>
        <v>0</v>
      </c>
      <c r="AY280" s="256">
        <f t="shared" si="2568"/>
        <v>0</v>
      </c>
      <c r="AZ280" s="256">
        <f t="shared" si="2568"/>
        <v>0</v>
      </c>
      <c r="BA280" s="256">
        <f t="shared" ref="BA280:BB280" si="2570">BA279</f>
        <v>0</v>
      </c>
      <c r="BB280" s="256">
        <f t="shared" si="2570"/>
        <v>0</v>
      </c>
      <c r="BC280" s="256"/>
      <c r="BD280" s="66"/>
      <c r="BE280" s="66"/>
      <c r="BF280" s="261"/>
      <c r="BG280" s="66"/>
      <c r="BH280" s="175"/>
      <c r="BI280" s="66"/>
      <c r="BJ280" s="66"/>
      <c r="BK280" s="65">
        <f t="shared" ref="BK280:BM280" si="2571" xml:space="preserve"> BK279</f>
        <v>0</v>
      </c>
      <c r="BL280" s="267">
        <f t="shared" si="2571"/>
        <v>0</v>
      </c>
      <c r="BM280" s="267">
        <f t="shared" si="2571"/>
        <v>0</v>
      </c>
      <c r="BN280" s="45">
        <f t="shared" si="2291"/>
        <v>1</v>
      </c>
      <c r="BO280" s="59"/>
      <c r="BP280" s="59"/>
      <c r="BR280" s="49">
        <f t="shared" si="2546"/>
        <v>0</v>
      </c>
      <c r="BS280" s="49">
        <f t="shared" si="2546"/>
        <v>0</v>
      </c>
      <c r="BT280" s="49">
        <f t="shared" si="2546"/>
        <v>0</v>
      </c>
      <c r="BU280" s="49">
        <f t="shared" si="2546"/>
        <v>0</v>
      </c>
      <c r="BV280" s="49">
        <f t="shared" si="2546"/>
        <v>0</v>
      </c>
      <c r="BW280" s="49">
        <f t="shared" si="2546"/>
        <v>0</v>
      </c>
      <c r="BX280" s="49">
        <f t="shared" si="2546"/>
        <v>0</v>
      </c>
      <c r="BY280" s="549">
        <f>IF(COUNT(Q280:U280)&gt;1,MINA(Q280:U280)*BY$9,0)</f>
        <v>0</v>
      </c>
      <c r="BZ280" s="85">
        <f t="shared" si="2547"/>
        <v>0</v>
      </c>
      <c r="CA280" s="85">
        <f t="shared" si="2547"/>
        <v>0</v>
      </c>
      <c r="CB280" s="85">
        <f t="shared" si="2547"/>
        <v>0</v>
      </c>
      <c r="CC280" s="85">
        <f t="shared" si="2547"/>
        <v>0</v>
      </c>
      <c r="CD280" s="85">
        <f t="shared" si="2547"/>
        <v>0</v>
      </c>
      <c r="CE280" s="85">
        <f>IF(AC280=0,0,AC280*CE$9)</f>
        <v>0</v>
      </c>
      <c r="CF280" s="85">
        <f t="shared" si="2548"/>
        <v>0</v>
      </c>
      <c r="CG280" s="85">
        <f t="shared" si="2548"/>
        <v>0</v>
      </c>
      <c r="CH280" s="85">
        <f t="shared" si="2549"/>
        <v>0</v>
      </c>
      <c r="CI280" s="85">
        <f t="shared" si="2549"/>
        <v>0</v>
      </c>
      <c r="CJ280" s="85">
        <f t="shared" si="2549"/>
        <v>0</v>
      </c>
      <c r="CK280" s="85">
        <f t="shared" si="2549"/>
        <v>0</v>
      </c>
      <c r="CL280" s="100">
        <f>SUM(BR280:CK280)</f>
        <v>0</v>
      </c>
      <c r="CM280" s="50"/>
      <c r="CN280" s="104">
        <f>J280</f>
        <v>0</v>
      </c>
      <c r="CO280" s="101" t="e">
        <f>CL280/CN280</f>
        <v>#DIV/0!</v>
      </c>
      <c r="CP280" s="51" t="e">
        <f>Seilareal/Lwl/Lwl</f>
        <v>#DIV/0!</v>
      </c>
      <c r="CQ280" s="116" t="e">
        <f>Seilareal/Depl^0.667/K$7</f>
        <v>#DIV/0!</v>
      </c>
      <c r="CR280" s="51" t="e">
        <f>Seilareal/Lwl/Lwl/SApRS1</f>
        <v>#DIV/0!</v>
      </c>
      <c r="CS280" s="204"/>
      <c r="CT280" s="204" t="e">
        <f>(ROUND(TBF/CT$6,3)*CT$6)*CT$4</f>
        <v>#VALUE!</v>
      </c>
      <c r="CU280" s="107" t="str">
        <f t="shared" si="1267"/>
        <v>-</v>
      </c>
      <c r="CV280" s="62" t="str">
        <f t="shared" si="2119"/>
        <v>-</v>
      </c>
      <c r="CW280" s="62" t="str">
        <f t="shared" si="1268"/>
        <v>-</v>
      </c>
      <c r="CX280" s="62" t="str">
        <f t="shared" si="2120"/>
        <v>-</v>
      </c>
      <c r="CY280" s="107" t="str">
        <f t="shared" si="1269"/>
        <v>-</v>
      </c>
      <c r="CZ280" s="168" t="str">
        <f t="shared" si="2502"/>
        <v>-</v>
      </c>
      <c r="DA280" s="158"/>
      <c r="DB280" s="168" t="str">
        <f t="shared" si="2289"/>
        <v>-</v>
      </c>
      <c r="DC280" s="160"/>
      <c r="DD280" s="190" t="s">
        <v>134</v>
      </c>
      <c r="DE280" s="62" t="s">
        <v>102</v>
      </c>
      <c r="DF280" s="62" t="s">
        <v>102</v>
      </c>
      <c r="DG280" s="62" t="s">
        <v>102</v>
      </c>
      <c r="DH280" s="150" t="s">
        <v>102</v>
      </c>
      <c r="DI280" s="62" t="str">
        <f t="shared" si="2292"/>
        <v>-</v>
      </c>
      <c r="DJ280" s="47">
        <f t="shared" si="2293"/>
        <v>0</v>
      </c>
      <c r="DK280" s="48">
        <f t="shared" si="2294"/>
        <v>0</v>
      </c>
      <c r="DM280" s="107" t="str">
        <f t="shared" si="2295"/>
        <v>-</v>
      </c>
      <c r="DN280" s="141" t="str">
        <f t="shared" si="2532"/>
        <v>-</v>
      </c>
      <c r="DO280" s="107">
        <f t="shared" si="2297"/>
        <v>0</v>
      </c>
      <c r="DP280" s="133">
        <f>IF(SeilBeregnet=0,DP279,(SeilBeregnet^0.5/(Depl^0.3333))^DP$3*DP$7)</f>
        <v>0</v>
      </c>
      <c r="DQ280" s="133">
        <f>IF(SeilBeregnet=0,DQ279,(SeilBeregnet^0.5/Lwl)^DQ$3*DQ$7)</f>
        <v>0</v>
      </c>
      <c r="DR280" s="133">
        <f>IF(SeilBeregnet=0,DR279,(0.1*Loa/Depl^0.3333)^DR$3*DR$7)</f>
        <v>0</v>
      </c>
      <c r="DS280" s="133">
        <f>IF(SeilBeregnet=0,DS279,((Loa)/Bredde)^DS$3*DS$7)</f>
        <v>0</v>
      </c>
      <c r="DT280" s="107">
        <f>IF(SeilBeregnet=0,DT279,(Lwl)^DT$3)</f>
        <v>0</v>
      </c>
      <c r="DU280" s="133">
        <f>IF(SeilBeregnet=0,DU279,(Dypg/Loa)^DU$3*5*DU$7)</f>
        <v>0</v>
      </c>
      <c r="DW280" s="107" t="str">
        <f t="shared" si="1241"/>
        <v>-</v>
      </c>
      <c r="DX280" s="107" t="str">
        <f t="shared" si="2298"/>
        <v>-</v>
      </c>
      <c r="DZ280" s="107" t="str">
        <f t="shared" si="2299"/>
        <v>-</v>
      </c>
      <c r="EA280" s="122" t="str">
        <f t="shared" si="2533"/>
        <v>-</v>
      </c>
      <c r="EB280" s="107" t="str">
        <f t="shared" si="2301"/>
        <v>-</v>
      </c>
      <c r="EC280" s="122" t="str">
        <f t="shared" si="2534"/>
        <v>-</v>
      </c>
      <c r="ED280" s="107">
        <f>IF(SeilBeregnet=0,ED279,SeilBeregnet^0.5/Depl^0.33333)</f>
        <v>0</v>
      </c>
      <c r="EE280" s="107">
        <f>IF(SeilBeregnet=0,EE279,Lwl^0.3333)</f>
        <v>0</v>
      </c>
      <c r="EF280" s="107">
        <f>IF(SeilBeregnet=0,EF279,((Loa+Lwl)/Bredde)^EF$3)</f>
        <v>0</v>
      </c>
      <c r="EH280" s="107" t="str">
        <f t="shared" si="2303"/>
        <v>-</v>
      </c>
      <c r="EJ280" s="107">
        <f>IF(SeilBeregnet=0,EJ279,SeilBeregnet^0.5/Depl^0.33333)</f>
        <v>0</v>
      </c>
      <c r="EK280" s="107">
        <f>IF(SeilBeregnet=0,EK279,Lwl^EK$3)</f>
        <v>0</v>
      </c>
      <c r="EL280" s="107">
        <f>IF(SeilBeregnet=0,EL279,((Loa+Lwl)/Bredde)^EL$3)</f>
        <v>0</v>
      </c>
      <c r="EM280" s="107" t="str">
        <f t="shared" si="2304"/>
        <v>-</v>
      </c>
      <c r="EO280" s="107">
        <f>IF(SeilBeregnet=0,EO279,(EP280*EQ280)^EO$3)</f>
        <v>0</v>
      </c>
      <c r="EP280" s="107">
        <f>IF(SeilBeregnet=0,EP279,SeilBeregnet^0.5/Depl^0.33333)</f>
        <v>0</v>
      </c>
      <c r="EQ280" s="107">
        <f>IF(SeilBeregnet=0,EQ279,((Loa+Lwl)/Bredde)^EQ$3)</f>
        <v>0</v>
      </c>
      <c r="ER280" s="107">
        <f>IF(SeilBeregnet=0,ER279,Lwl^ER$3)</f>
        <v>0</v>
      </c>
      <c r="ES280" s="107" t="str">
        <f t="shared" si="2305"/>
        <v>-</v>
      </c>
      <c r="EU280" s="107">
        <f>IF(SeilBeregnet=0,EU279,(EV:EV*EW:EW)^EU$3)</f>
        <v>0</v>
      </c>
      <c r="EV280" s="107">
        <f>IF(SeilBeregnet=0,EV279,SeilBeregnet^0.5/Depl^0.33333)</f>
        <v>0</v>
      </c>
      <c r="EW280" s="107">
        <f>IF(SeilBeregnet=0,EW279,((Loa+Lwl)/Bredde/6)^EW$3)</f>
        <v>0</v>
      </c>
      <c r="EX280" s="107">
        <f>IF(SeilBeregnet=0,EX279,(Lwl*0.7+Loa*0.3)^EX$3)</f>
        <v>0</v>
      </c>
      <c r="EY280" s="107" t="str">
        <f t="shared" si="2306"/>
        <v>-</v>
      </c>
      <c r="FA280" s="107">
        <f t="shared" si="2307"/>
        <v>0</v>
      </c>
      <c r="FB280" s="107">
        <f>IF(SeilBeregnet=0,FB279,SeilBeregnet^0.5/Depl^0.3333)</f>
        <v>0</v>
      </c>
      <c r="FC280" s="107">
        <f>IF(SeilBeregnet=0,FC279,((Loa+Lwl)/Bredde/6)^FC$3)</f>
        <v>0</v>
      </c>
      <c r="FD280" s="107">
        <f>IF(SeilBeregnet=0,FD279,(Lwl*0.7+Loa*0.3)^FD$3)</f>
        <v>0</v>
      </c>
      <c r="FE280" s="107" t="str">
        <f t="shared" si="2308"/>
        <v>-</v>
      </c>
      <c r="FF280" s="141" t="str">
        <f t="shared" si="2535"/>
        <v>-</v>
      </c>
      <c r="FG280" s="107">
        <f t="shared" si="2310"/>
        <v>0</v>
      </c>
      <c r="FH280" s="133">
        <f>IF(SeilBeregnet=0,FH279,(SeilBeregnet^0.5/(Depl^0.3333))^FH$3)</f>
        <v>0</v>
      </c>
      <c r="FI280" s="133">
        <f>IF(SeilBeregnet=0,FI279,((Loa+Lwl)/Bredde/6)^FI$3)</f>
        <v>0</v>
      </c>
      <c r="FJ280" s="107">
        <f>IF(SeilBeregnet=0,FJ279,(Lwl*0.07+Loa*0.03)^FJ$3)</f>
        <v>0</v>
      </c>
      <c r="FK280" s="107" t="str">
        <f t="shared" si="2311"/>
        <v>-</v>
      </c>
      <c r="FL280" s="141" t="str">
        <f t="shared" si="2536"/>
        <v>-</v>
      </c>
      <c r="FM280" s="107">
        <f t="shared" si="2313"/>
        <v>-0.5</v>
      </c>
      <c r="FN280" s="133">
        <f>IF(SeilBeregnet=0,FN279,(SeilBeregnet^0.5/(Depl^0.3333))^FN$3)</f>
        <v>0</v>
      </c>
      <c r="FO280" s="133">
        <f>IF(SeilBeregnet=0,FO279,(SeilBeregnet^0.5/Lwl*FO$7)^FO$3)</f>
        <v>0</v>
      </c>
      <c r="FP280" s="133">
        <f>IF(SeilBeregnet=0,FP279,((Loa)/Bredde)^FP$3*FP$7)</f>
        <v>0</v>
      </c>
      <c r="FQ280" s="107">
        <f>IF(SeilBeregnet=0,FQ279,(Lwl)^FQ$3)</f>
        <v>0</v>
      </c>
      <c r="FR280" s="107" t="str">
        <f t="shared" si="2314"/>
        <v>-</v>
      </c>
      <c r="FS280" s="141" t="str">
        <f t="shared" si="2537"/>
        <v>-</v>
      </c>
      <c r="FT280" s="107">
        <f t="shared" si="2316"/>
        <v>0</v>
      </c>
      <c r="FU280" s="133">
        <f>IF(SeilBeregnet=0,FU279,(SeilBeregnet^0.5/(Depl^0.3333))^FU$3)</f>
        <v>0</v>
      </c>
      <c r="FV280" s="133">
        <f>IF(SeilBeregnet=0,FV279,(Loa/Bredde)^FV$3)</f>
        <v>0</v>
      </c>
      <c r="FW280" s="107">
        <f>IF(SeilBeregnet=0,FW279,Lwl^FW$3)</f>
        <v>0</v>
      </c>
      <c r="FY280" s="336">
        <v>1</v>
      </c>
      <c r="FZ280" s="62" t="str">
        <f t="shared" si="2074"/>
        <v>-</v>
      </c>
      <c r="GA280" s="62">
        <f t="shared" si="2075"/>
        <v>2</v>
      </c>
      <c r="GB280" s="107" t="str">
        <f t="shared" si="1270"/>
        <v>-</v>
      </c>
      <c r="GC280" s="440"/>
      <c r="GD280" s="17"/>
      <c r="GE280" s="442"/>
      <c r="GF280" s="462"/>
      <c r="GG280" s="17"/>
      <c r="GH280" s="17"/>
      <c r="GI280" s="17"/>
      <c r="GJ280" s="17"/>
      <c r="GL280" s="17"/>
      <c r="GM280" s="442"/>
      <c r="GN280" s="8"/>
      <c r="GO280" s="8"/>
      <c r="GP280" s="8"/>
      <c r="GQ280" s="8"/>
      <c r="GS280" s="17"/>
      <c r="GT280" s="17"/>
      <c r="GU280" s="17"/>
      <c r="GV280" s="629"/>
      <c r="GW280" s="17"/>
      <c r="GX280" s="17"/>
      <c r="GY280" s="17"/>
      <c r="GZ280" s="17"/>
    </row>
    <row r="281" spans="1:208" ht="17.399999999999999" x14ac:dyDescent="0.3">
      <c r="A281" s="115" t="s">
        <v>230</v>
      </c>
      <c r="B281" s="97"/>
      <c r="C281" s="97"/>
      <c r="D281" s="97"/>
      <c r="E281" s="97"/>
      <c r="F281" s="97"/>
      <c r="G281" s="97"/>
      <c r="H281" s="205"/>
      <c r="I281" s="97"/>
      <c r="J281" s="224"/>
      <c r="K281" s="224"/>
      <c r="L281" s="224"/>
      <c r="M281" s="224"/>
      <c r="N281" s="243"/>
      <c r="O281" s="224"/>
      <c r="P281" s="224"/>
      <c r="Q281" s="224"/>
      <c r="R281" s="224"/>
      <c r="S281" s="224"/>
      <c r="T281" s="245" t="s">
        <v>129</v>
      </c>
      <c r="U281" s="246"/>
      <c r="V281" s="246"/>
      <c r="W281" s="246"/>
      <c r="X281" s="245"/>
      <c r="Y281" s="177">
        <f>BmStor-BmStor/6</f>
        <v>0</v>
      </c>
      <c r="Z281" s="177">
        <f>BmStor-BmStor/6</f>
        <v>0</v>
      </c>
      <c r="AA281" s="224"/>
      <c r="AB281" s="224"/>
      <c r="AC281" s="224"/>
      <c r="AD281" s="224"/>
      <c r="AE281" s="224"/>
      <c r="AF281" s="224"/>
      <c r="AG281" s="224"/>
      <c r="AH281" s="556"/>
      <c r="AI281" s="556"/>
      <c r="AJ281" s="269"/>
      <c r="AK281" s="341"/>
      <c r="AL281" s="269"/>
      <c r="AM281" s="341"/>
      <c r="AN281" s="269"/>
      <c r="AO281" s="97"/>
      <c r="AP281" s="224"/>
      <c r="AQ281" s="224"/>
      <c r="AR281" s="224"/>
      <c r="AS281" s="224"/>
      <c r="AT281" s="224"/>
      <c r="AU281" s="224"/>
      <c r="AV281" s="224"/>
      <c r="AW281" s="224"/>
      <c r="AX281" s="224"/>
      <c r="AY281" s="224"/>
      <c r="AZ281" s="224"/>
      <c r="BA281" s="224"/>
      <c r="BB281" s="224"/>
      <c r="BC281" s="224"/>
      <c r="BD281" s="224"/>
      <c r="BE281" s="224"/>
      <c r="BF281" s="224"/>
      <c r="BG281" s="224"/>
      <c r="BH281" s="224"/>
      <c r="BI281" s="224"/>
      <c r="BJ281" s="224"/>
      <c r="BK281" s="224"/>
      <c r="BL281" s="269"/>
      <c r="BM281" s="269"/>
      <c r="BN281" s="97"/>
      <c r="BO281" s="97"/>
      <c r="BP281" s="97"/>
      <c r="BQ281" s="60"/>
      <c r="BR281" s="97"/>
      <c r="BS281" s="97"/>
      <c r="BT281" s="97"/>
      <c r="BU281" s="97"/>
      <c r="BV281" s="97"/>
      <c r="BW281" s="97"/>
      <c r="BX281" s="97"/>
      <c r="BY281" s="549"/>
      <c r="BZ281" s="97"/>
      <c r="CA281" s="97"/>
      <c r="CB281" s="97"/>
      <c r="CC281" s="97"/>
      <c r="CD281" s="97"/>
      <c r="CE281" s="97"/>
      <c r="CF281" s="97"/>
      <c r="CG281" s="97"/>
      <c r="CH281" s="97"/>
      <c r="CI281" s="97"/>
      <c r="CJ281" s="97"/>
      <c r="CK281" s="97"/>
      <c r="CL281" s="102"/>
      <c r="CM281" s="97"/>
      <c r="CN281" s="105"/>
      <c r="CO281" s="103"/>
      <c r="CP281" s="97"/>
      <c r="CQ281" s="224"/>
      <c r="CR281" s="97"/>
      <c r="CS281" s="205"/>
      <c r="CT281" s="205"/>
      <c r="CU281" s="107" t="str">
        <f t="shared" si="1267"/>
        <v>-</v>
      </c>
      <c r="CV281" s="62" t="str">
        <f t="shared" si="2119"/>
        <v>-</v>
      </c>
      <c r="CW281" s="62" t="str">
        <f t="shared" si="1268"/>
        <v>-</v>
      </c>
      <c r="CX281" s="62" t="str">
        <f t="shared" si="2120"/>
        <v>-</v>
      </c>
      <c r="CY281" s="107" t="str">
        <f t="shared" si="1269"/>
        <v>-</v>
      </c>
      <c r="CZ281" s="168" t="str">
        <f t="shared" si="2502"/>
        <v>-</v>
      </c>
      <c r="DA281" s="162"/>
      <c r="DB281" s="168" t="str">
        <f t="shared" ref="DB281:DB300" si="2572">IF(DC281=0,"-",IF(CT281="TBF","-",DB$7*DC281))</f>
        <v>-</v>
      </c>
      <c r="DC281" s="162"/>
      <c r="DD281" s="190" t="s">
        <v>134</v>
      </c>
      <c r="DE281" s="103"/>
      <c r="DF281" s="103"/>
      <c r="DG281" s="103"/>
      <c r="DH281" s="97"/>
      <c r="DI281" s="62" t="str">
        <f t="shared" si="2292"/>
        <v>-</v>
      </c>
      <c r="DJ281" s="97"/>
      <c r="DK281" s="97"/>
      <c r="DL281" s="60"/>
      <c r="DM281" s="107" t="str">
        <f t="shared" si="2295"/>
        <v>-</v>
      </c>
      <c r="DN281" s="141" t="str">
        <f t="shared" ref="DN281" si="2573">IF($DY281=0,"-",(DM281-$DW281)*100)</f>
        <v>-</v>
      </c>
      <c r="DO281" s="107">
        <f t="shared" si="2297"/>
        <v>4.7923246149181065</v>
      </c>
      <c r="DP281" s="133">
        <f>IF(SeilBeregnet=0,DP311,(SeilBeregnet^0.5/(Depl^0.3333))^DP$3*DP$7)</f>
        <v>2.6204634011027599</v>
      </c>
      <c r="DQ281" s="133">
        <f>IF(SeilBeregnet=0,DQ311,(SeilBeregnet^0.5/Lwl)^DQ$3*DQ$7)</f>
        <v>0</v>
      </c>
      <c r="DR281" s="133">
        <f>IF(SeilBeregnet=0,DR311,(0.1*Loa/Depl^0.3333)^DR$3*DR$7)</f>
        <v>0</v>
      </c>
      <c r="DS281" s="133">
        <f>IF(SeilBeregnet=0,DS311,((Loa)/Bredde)^DS$3*DS$7)</f>
        <v>2.171861213815347</v>
      </c>
      <c r="DT281" s="107">
        <f>IF(SeilBeregnet=0,DT311,(Lwl)^DT$3)</f>
        <v>2.0739244522212745</v>
      </c>
      <c r="DU281" s="133">
        <f>IF(SeilBeregnet=0,DU311,(Dypg/Loa)^DU$3*5*DU$7)</f>
        <v>1.8574175621006712</v>
      </c>
      <c r="DW281" s="107" t="str">
        <f t="shared" si="512"/>
        <v>-</v>
      </c>
      <c r="DX281" s="107" t="str">
        <f t="shared" si="2298"/>
        <v>-</v>
      </c>
      <c r="DY281" s="123"/>
      <c r="DZ281" s="107" t="str">
        <f t="shared" si="2299"/>
        <v>-</v>
      </c>
      <c r="EA281" s="122" t="str">
        <f t="shared" ref="EA281" si="2574">IF($DY281=0,"-",DZ281-$DW281)</f>
        <v>-</v>
      </c>
      <c r="EB281" s="107" t="str">
        <f t="shared" si="2301"/>
        <v>-</v>
      </c>
      <c r="EC281" s="122" t="str">
        <f t="shared" ref="EC281" si="2575">IF($DY281=0,"-",EB281-$DW281)</f>
        <v>-</v>
      </c>
      <c r="ED281" s="107">
        <f>IF(SeilBeregnet=0,ED311,SeilBeregnet^0.5/Depl^0.33333)</f>
        <v>2.620129431597483</v>
      </c>
      <c r="EE281" s="107">
        <f>IF(SeilBeregnet=0,EE311,Lwl^0.3333)</f>
        <v>2.6445290195265336</v>
      </c>
      <c r="EF281" s="107">
        <f>IF(SeilBeregnet=0,EF311,((Loa+Lwl)/Bredde)^EF$3)</f>
        <v>1.6925961427894936</v>
      </c>
      <c r="EH281" s="107" t="str">
        <f t="shared" si="2303"/>
        <v>-</v>
      </c>
      <c r="EJ281" s="107">
        <f>IF(SeilBeregnet=0,EJ311,SeilBeregnet^0.5/Depl^0.33333)</f>
        <v>2.620129431597483</v>
      </c>
      <c r="EK281" s="107">
        <f>IF(SeilBeregnet=0,EK311,Lwl^EK$3)</f>
        <v>2.6447605135392824</v>
      </c>
      <c r="EL281" s="107">
        <f>IF(SeilBeregnet=0,EL311,((Loa+Lwl)/Bredde)^EL$3)</f>
        <v>2.017006612549411</v>
      </c>
      <c r="EM281" s="107" t="str">
        <f t="shared" si="2304"/>
        <v>-</v>
      </c>
      <c r="EO281" s="107">
        <f>IF(SeilBeregnet=0,EO311,(EP281*EQ281)^EO$3)</f>
        <v>4.4348209695311276</v>
      </c>
      <c r="EP281" s="107">
        <f>IF(SeilBeregnet=0,EP311,SeilBeregnet^0.5/Depl^0.33333)</f>
        <v>2.620129431597483</v>
      </c>
      <c r="EQ281" s="107">
        <f>IF(SeilBeregnet=0,EQ311,((Loa+Lwl)/Bredde)^EQ$3)</f>
        <v>1.6925961427894936</v>
      </c>
      <c r="ER281" s="107">
        <f>IF(SeilBeregnet=0,ER311,Lwl^ER$3)</f>
        <v>2.0739244522212745</v>
      </c>
      <c r="ES281" s="107" t="str">
        <f t="shared" si="2305"/>
        <v>-</v>
      </c>
      <c r="EU281" s="107">
        <f>IF(SeilBeregnet=0,EU311,(EV:EV*EW:EW)^EU$3)</f>
        <v>1.6833295212312658</v>
      </c>
      <c r="EV281" s="107">
        <f>IF(SeilBeregnet=0,EV311,SeilBeregnet^0.5/Depl^0.33333)</f>
        <v>2.620129431597483</v>
      </c>
      <c r="EW281" s="107">
        <f>IF(SeilBeregnet=0,EW311,((Loa+Lwl)/Bredde/6)^EW$3)</f>
        <v>1.081472633709186</v>
      </c>
      <c r="EX281" s="107">
        <f>IF(SeilBeregnet=0,EX311,(Lwl*0.7+Loa*0.3)^EX$3)</f>
        <v>2.1265388832179877</v>
      </c>
      <c r="EY281" s="107" t="str">
        <f t="shared" si="2306"/>
        <v>-</v>
      </c>
      <c r="FA281" s="107">
        <f t="shared" si="2307"/>
        <v>1.6834367989114212</v>
      </c>
      <c r="FB281" s="107">
        <f>IF(SeilBeregnet=0,FB311,SeilBeregnet^0.5/Depl^0.3333)</f>
        <v>2.6204634011027599</v>
      </c>
      <c r="FC281" s="107">
        <f>IF(SeilBeregnet=0,FC311,((Loa+Lwl)/Bredde/6)^FC$3)</f>
        <v>1.081472633709186</v>
      </c>
      <c r="FD281" s="107">
        <f>IF(SeilBeregnet=0,FD311,(Lwl*0.7+Loa*0.3)^FD$3)</f>
        <v>2.1265388832179877</v>
      </c>
      <c r="FE281" s="107" t="str">
        <f t="shared" si="2308"/>
        <v>-</v>
      </c>
      <c r="FF281" s="141" t="str">
        <f t="shared" ref="FF281" si="2576">IF($DY281=0,"-",(FE281-$DW281)*100)</f>
        <v>-</v>
      </c>
      <c r="FG281" s="107">
        <f t="shared" si="2310"/>
        <v>3.0648495966287315</v>
      </c>
      <c r="FH281" s="133">
        <f>IF(SeilBeregnet=0,FH311,(SeilBeregnet^0.5/(Depl^0.3333))^FH$3)</f>
        <v>2.6204634011027599</v>
      </c>
      <c r="FI281" s="133">
        <f>IF(SeilBeregnet=0,FI311,((Loa+Lwl)/Bredde/6)^FI$3)</f>
        <v>1.1695830574618833</v>
      </c>
      <c r="FJ281" s="107">
        <f>IF(SeilBeregnet=0,FJ311,(Lwl*0.07+Loa*0.03)^FJ$3)</f>
        <v>1.195840693657608</v>
      </c>
      <c r="FK281" s="107" t="str">
        <f t="shared" si="2311"/>
        <v>-</v>
      </c>
      <c r="FL281" s="141" t="str">
        <f t="shared" ref="FL281" si="2577">IF($DY281=0,"-",(FK281-$DW281)*100)</f>
        <v>-</v>
      </c>
      <c r="FM281" s="107">
        <f t="shared" si="2313"/>
        <v>4.8760082900183486</v>
      </c>
      <c r="FN281" s="133">
        <f>IF(SeilBeregnet=0,FN311,(SeilBeregnet^0.5/(Depl^0.3333))^FN$3)</f>
        <v>2.6204634011027599</v>
      </c>
      <c r="FO281" s="133">
        <f>IF(SeilBeregnet=0,FO311,(SeilBeregnet^0.5/Lwl*FO$7)^FO$3)</f>
        <v>0.58368367510024166</v>
      </c>
      <c r="FP281" s="133">
        <f>IF(SeilBeregnet=0,FP311,((Loa)/Bredde)^FP$3*FP$7)</f>
        <v>2.171861213815347</v>
      </c>
      <c r="FQ281" s="107">
        <f>IF(SeilBeregnet=0,FQ311,(Lwl)^FQ$3)</f>
        <v>2.0739244522212745</v>
      </c>
      <c r="FR281" s="107" t="str">
        <f t="shared" si="2314"/>
        <v>-</v>
      </c>
      <c r="FS281" s="141" t="str">
        <f t="shared" ref="FS281" si="2578">IF($DY281=0,"-",(FR281-$DW281)*100)</f>
        <v>-</v>
      </c>
      <c r="FT281" s="107">
        <f t="shared" si="2316"/>
        <v>5.6912828230777324</v>
      </c>
      <c r="FU281" s="133">
        <f>IF(SeilBeregnet=0,FU311,(SeilBeregnet^0.5/(Depl^0.3333))^FU$3)</f>
        <v>2.6204634011027599</v>
      </c>
      <c r="FV281" s="133">
        <f>IF(SeilBeregnet=0,FV311,(Loa/Bredde)^FV$3)</f>
        <v>2.171861213815347</v>
      </c>
      <c r="FW281" s="107">
        <f>IF(SeilBeregnet=0,FW311,Lwl^FW$3)</f>
        <v>2.0739244522212745</v>
      </c>
      <c r="FY281" s="336">
        <v>1</v>
      </c>
      <c r="FZ281" s="62" t="str">
        <f t="shared" si="2074"/>
        <v>-</v>
      </c>
      <c r="GA281" s="62">
        <f t="shared" si="2075"/>
        <v>2</v>
      </c>
      <c r="GB281" s="107" t="str">
        <f t="shared" si="1270"/>
        <v>-</v>
      </c>
      <c r="GC281" s="97"/>
      <c r="GD281" s="97"/>
      <c r="GE281" s="444"/>
      <c r="GF281" s="97"/>
      <c r="GG281" s="438"/>
      <c r="GH281" s="438"/>
      <c r="GI281" s="438"/>
      <c r="GJ281" s="438"/>
      <c r="GL281" s="97"/>
      <c r="GM281" s="444"/>
      <c r="GN281" s="97"/>
      <c r="GO281" s="97"/>
      <c r="GP281" s="97"/>
      <c r="GQ281" s="97"/>
      <c r="GS281" s="438"/>
      <c r="GT281" s="438"/>
      <c r="GU281" s="438"/>
      <c r="GV281" s="205"/>
      <c r="GW281" s="438"/>
      <c r="GX281" s="438"/>
      <c r="GY281" s="438"/>
      <c r="GZ281" s="438"/>
    </row>
    <row r="282" spans="1:208" ht="15.6" x14ac:dyDescent="0.3">
      <c r="A282" s="52" t="s">
        <v>951</v>
      </c>
      <c r="B282" s="218">
        <f t="shared" si="10"/>
        <v>25.065616797900262</v>
      </c>
      <c r="C282" s="53" t="s">
        <v>38</v>
      </c>
      <c r="D282" s="53"/>
      <c r="E282" s="53"/>
      <c r="F282" s="53"/>
      <c r="G282" s="54"/>
      <c r="H282" s="112">
        <f>J283</f>
        <v>24</v>
      </c>
      <c r="I282" s="601">
        <f>H283/100</f>
        <v>1.19</v>
      </c>
      <c r="J282" s="651">
        <f>IF(DC283=0,"-",DC283)</f>
        <v>1.19</v>
      </c>
      <c r="K282" s="123" t="str">
        <f>A282</f>
        <v>Folkebåt +0,03</v>
      </c>
      <c r="L282" s="116"/>
      <c r="M282" s="116"/>
      <c r="N282" s="92"/>
      <c r="O282" s="165"/>
      <c r="P282" s="165"/>
      <c r="Q282" s="165"/>
      <c r="R282" s="165"/>
      <c r="S282" s="165"/>
      <c r="T282" s="165"/>
      <c r="U282" s="165">
        <v>7</v>
      </c>
      <c r="V282" s="559"/>
      <c r="W282" s="559"/>
      <c r="X282" s="165"/>
      <c r="Y282" s="165"/>
      <c r="Z282" s="165"/>
      <c r="AA282" s="165"/>
      <c r="AB282" s="165"/>
      <c r="AC282" s="165"/>
      <c r="AD282" s="165"/>
      <c r="AE282" s="165">
        <v>17</v>
      </c>
      <c r="AF282" s="165"/>
      <c r="AG282" s="552"/>
      <c r="AH282" s="244">
        <v>9.02</v>
      </c>
      <c r="AI282" s="244">
        <v>9.02</v>
      </c>
      <c r="AJ282" s="554"/>
      <c r="AK282" s="339"/>
      <c r="AL282" s="268"/>
      <c r="AM282" s="339"/>
      <c r="AN282" s="268" t="s">
        <v>222</v>
      </c>
      <c r="AO282" s="45">
        <f>VLOOKUP(AN282,Skrogform!$1:$1048576,3,FALSE)</f>
        <v>0.99</v>
      </c>
      <c r="AP282" s="55">
        <v>7.64</v>
      </c>
      <c r="AQ282" s="55">
        <v>6</v>
      </c>
      <c r="AR282" s="55">
        <v>2.2000000000000002</v>
      </c>
      <c r="AS282" s="55">
        <v>1.2</v>
      </c>
      <c r="AT282" s="637">
        <f>AU282</f>
        <v>1.93</v>
      </c>
      <c r="AU282" s="55">
        <v>1.93</v>
      </c>
      <c r="AV282" s="55">
        <v>1.0249999999999999</v>
      </c>
      <c r="AW282" s="55"/>
      <c r="AX282" s="253"/>
      <c r="AY282" s="253"/>
      <c r="AZ282" s="253"/>
      <c r="BA282" s="253">
        <f>ROUND(Depl*10,-2)</f>
        <v>0</v>
      </c>
      <c r="BB282" s="253">
        <f>ROUND(Depl*10,-2)</f>
        <v>0</v>
      </c>
      <c r="BC282" s="244">
        <f>Depl+Diesel/1000*0.84+Vann/1000</f>
        <v>1.93</v>
      </c>
      <c r="BD282" s="95">
        <f>Bredde/(Loa+Lwl)*2</f>
        <v>0.32258064516129031</v>
      </c>
      <c r="BE282" s="95">
        <f>(Kjøl+Ballast)/Depl</f>
        <v>0.5310880829015544</v>
      </c>
      <c r="BF282" s="260">
        <f>BF$7*((Depl-Kjøl-Ballast-VektMotor/1000-VektAnnet/1000)/Lwl/Lwl/Bredde)</f>
        <v>0.43122409693084696</v>
      </c>
      <c r="BG282" s="95">
        <f>BG$7*(Depl/Loa/Lwl/Lwl)</f>
        <v>0.51638745702443267</v>
      </c>
      <c r="BH282" s="174">
        <f>BH$7*(Depl/Loa/Lwl/Bredde)</f>
        <v>0.52056691902665386</v>
      </c>
      <c r="BI282" s="95">
        <f>BI$7*Bredde/(Loa+Lwl)*2</f>
        <v>0.92022199098161639</v>
      </c>
      <c r="BJ282" s="95">
        <f>BJ$7*(Dypg/Lwl)</f>
        <v>1.0939130434782607</v>
      </c>
      <c r="BK282" s="56"/>
      <c r="BL282" s="268"/>
      <c r="BM282" s="268"/>
      <c r="BN282" s="45">
        <f t="shared" ref="BN282:BN311" si="2579">IF((BK282="Fast"),(1.006248-(0.06415*((BM282/100*SQRT(BL282))/POWER(AU282,(1/3))))),1)</f>
        <v>1</v>
      </c>
      <c r="BO282" s="36">
        <v>0.03</v>
      </c>
      <c r="BP282" s="59"/>
      <c r="BR282" s="209"/>
      <c r="BS282" s="209"/>
      <c r="BT282" s="209" t="str">
        <f>$A282</f>
        <v>Folkebåt +0,03</v>
      </c>
      <c r="BU282" s="10"/>
      <c r="BV282" s="10"/>
      <c r="BW282" s="10"/>
      <c r="BX282" s="10"/>
      <c r="BY282" s="549"/>
      <c r="BZ282" s="10"/>
      <c r="CA282" s="10"/>
      <c r="CB282" s="209" t="str">
        <f>$A282</f>
        <v>Folkebåt +0,03</v>
      </c>
      <c r="CC282" s="10"/>
      <c r="CD282" s="10"/>
      <c r="CE282" s="10"/>
      <c r="CF282" s="10"/>
      <c r="CG282" s="10"/>
      <c r="CH282" s="10"/>
      <c r="CI282" s="10"/>
      <c r="CJ282" s="10"/>
      <c r="CK282" s="10"/>
      <c r="CL282" s="209"/>
      <c r="CM282" s="10"/>
      <c r="CN282" s="209" t="str">
        <f>$A282</f>
        <v>Folkebåt +0,03</v>
      </c>
      <c r="CO282" s="207"/>
      <c r="CP282" s="207"/>
      <c r="CQ282" s="116"/>
      <c r="CR282" s="207"/>
      <c r="CS282" s="203"/>
      <c r="CT282" s="203" t="s">
        <v>23</v>
      </c>
      <c r="CU282" s="107" t="str">
        <f t="shared" si="1267"/>
        <v>-</v>
      </c>
      <c r="CV282" s="62" t="str">
        <f t="shared" si="2119"/>
        <v>-</v>
      </c>
      <c r="CW282" s="62" t="str">
        <f t="shared" si="1268"/>
        <v>-</v>
      </c>
      <c r="CX282" s="62" t="str">
        <f t="shared" si="2120"/>
        <v>-</v>
      </c>
      <c r="CY282" s="107" t="str">
        <f t="shared" si="1269"/>
        <v>-</v>
      </c>
      <c r="CZ282" s="168" t="str">
        <f t="shared" si="2502"/>
        <v>-</v>
      </c>
      <c r="DA282" s="158"/>
      <c r="DB282" s="168" t="str">
        <f t="shared" si="2572"/>
        <v>-</v>
      </c>
      <c r="DC282" s="160">
        <v>1.19</v>
      </c>
      <c r="DD282" s="190" t="s">
        <v>134</v>
      </c>
      <c r="DE282" s="29" t="s">
        <v>23</v>
      </c>
      <c r="DF282" s="29" t="s">
        <v>23</v>
      </c>
      <c r="DG282" s="29" t="s">
        <v>23</v>
      </c>
      <c r="DH282" s="149">
        <v>2022</v>
      </c>
      <c r="DI282" s="62" t="str">
        <f t="shared" si="2292"/>
        <v>-</v>
      </c>
      <c r="DJ282" s="47">
        <f t="shared" si="1300"/>
        <v>13.043478260869565</v>
      </c>
      <c r="DK282" s="48">
        <f t="shared" ref="DK282:DK305" si="2580">DJ$7*IF(DJ282&lt;DJ$5,-0.04,IF(DJ282&lt;DJ$5*1.1,-0.03,IF(DJ282&lt;DJ$5*1.2,-0.02,IF(DJ282&lt;DJ$5*1.3,-0.01,0))))</f>
        <v>0</v>
      </c>
      <c r="DM282" s="107" t="str">
        <f t="shared" ref="DM282:DM311" si="2581">IF(SeilBeregnet=0,"-",DM$7*(DO:DO+DM$6)*DT:DT*PropF+ErfaringsF+Dyp_F)</f>
        <v>-</v>
      </c>
      <c r="DN282" s="141" t="str">
        <f t="shared" ref="DN282:DN293" si="2582">IF($DY282=0,"-",(DM282-$DW282)*100)</f>
        <v>-</v>
      </c>
      <c r="DO282" s="107" t="e">
        <f t="shared" si="2297"/>
        <v>#REF!</v>
      </c>
      <c r="DP282" s="133" t="e">
        <f>IF(SeilBeregnet=0,#REF!,(SeilBeregnet^0.5/(Depl^0.3333))^DP$3*DP$7)</f>
        <v>#REF!</v>
      </c>
      <c r="DQ282" s="133" t="e">
        <f>IF(SeilBeregnet=0,#REF!,(SeilBeregnet^0.5/Lwl)^DQ$3*DQ$7)</f>
        <v>#REF!</v>
      </c>
      <c r="DR282" s="133" t="e">
        <f>IF(SeilBeregnet=0,#REF!,(0.1*Loa/Depl^0.3333)^DR$3*DR$7)</f>
        <v>#REF!</v>
      </c>
      <c r="DS282" s="133" t="e">
        <f>IF(SeilBeregnet=0,#REF!,((Loa)/Bredde)^DS$3*DS$7)</f>
        <v>#REF!</v>
      </c>
      <c r="DT282" s="107" t="e">
        <f>IF(SeilBeregnet=0,#REF!,(Lwl)^DT$3)</f>
        <v>#REF!</v>
      </c>
      <c r="DU282" s="133" t="e">
        <f>IF(SeilBeregnet=0,#REF!,(Dypg/Loa)^DU$3*5*DU$7)</f>
        <v>#REF!</v>
      </c>
      <c r="DW282" s="107" t="str">
        <f t="shared" si="1241"/>
        <v>-</v>
      </c>
      <c r="DX282" s="107" t="str">
        <f t="shared" si="2298"/>
        <v>-</v>
      </c>
      <c r="DZ282" s="107" t="str">
        <f t="shared" si="2299"/>
        <v>-</v>
      </c>
      <c r="EA282" s="122" t="str">
        <f t="shared" ref="EA282:EA293" si="2583">IF($DY282=0,"-",DZ282-$DW282)</f>
        <v>-</v>
      </c>
      <c r="EB282" s="107" t="str">
        <f t="shared" si="2301"/>
        <v>-</v>
      </c>
      <c r="EC282" s="122" t="str">
        <f t="shared" ref="EC282:EC293" si="2584">IF($DY282=0,"-",EB282-$DW282)</f>
        <v>-</v>
      </c>
      <c r="ED282" s="107" t="e">
        <f>IF(SeilBeregnet=0,#REF!,SeilBeregnet^0.5/Depl^0.33333)</f>
        <v>#REF!</v>
      </c>
      <c r="EE282" s="107" t="e">
        <f>IF(SeilBeregnet=0,#REF!,Lwl^0.3333)</f>
        <v>#REF!</v>
      </c>
      <c r="EF282" s="107" t="e">
        <f>IF(SeilBeregnet=0,#REF!,((Loa+Lwl)/Bredde)^EF$3)</f>
        <v>#REF!</v>
      </c>
      <c r="EH282" s="107" t="str">
        <f t="shared" si="2303"/>
        <v>-</v>
      </c>
      <c r="EJ282" s="107" t="e">
        <f>IF(SeilBeregnet=0,#REF!,SeilBeregnet^0.5/Depl^0.33333)</f>
        <v>#REF!</v>
      </c>
      <c r="EK282" s="107" t="e">
        <f>IF(SeilBeregnet=0,#REF!,Lwl^EK$3)</f>
        <v>#REF!</v>
      </c>
      <c r="EL282" s="107" t="e">
        <f>IF(SeilBeregnet=0,#REF!,((Loa+Lwl)/Bredde)^EL$3)</f>
        <v>#REF!</v>
      </c>
      <c r="EM282" s="107" t="str">
        <f t="shared" si="2304"/>
        <v>-</v>
      </c>
      <c r="EO282" s="107" t="e">
        <f>IF(SeilBeregnet=0,#REF!,(EP282*EQ282)^EO$3)</f>
        <v>#REF!</v>
      </c>
      <c r="EP282" s="107" t="e">
        <f>IF(SeilBeregnet=0,#REF!,SeilBeregnet^0.5/Depl^0.33333)</f>
        <v>#REF!</v>
      </c>
      <c r="EQ282" s="107" t="e">
        <f>IF(SeilBeregnet=0,#REF!,((Loa+Lwl)/Bredde)^EQ$3)</f>
        <v>#REF!</v>
      </c>
      <c r="ER282" s="107" t="e">
        <f>IF(SeilBeregnet=0,#REF!,Lwl^ER$3)</f>
        <v>#REF!</v>
      </c>
      <c r="ES282" s="107" t="str">
        <f t="shared" ref="ES282:ES311" si="2585">IF(SeilBeregnet=0,"-",ES$7*(ES$4*EU:EU+ES$6)*EX:EX*PropF+ErfaringsF+Dyp_F)</f>
        <v>-</v>
      </c>
      <c r="EU282" s="107" t="e">
        <f>IF(SeilBeregnet=0,#REF!,(EV:EV*EW:EW)^EU$3)</f>
        <v>#REF!</v>
      </c>
      <c r="EV282" s="107" t="e">
        <f>IF(SeilBeregnet=0,#REF!,SeilBeregnet^0.5/Depl^0.33333)</f>
        <v>#REF!</v>
      </c>
      <c r="EW282" s="107" t="e">
        <f>IF(SeilBeregnet=0,#REF!,((Loa+Lwl)/Bredde/6)^EW$3)</f>
        <v>#REF!</v>
      </c>
      <c r="EX282" s="107" t="e">
        <f>IF(SeilBeregnet=0,#REF!,(Lwl*0.7+Loa*0.3)^EX$3)</f>
        <v>#REF!</v>
      </c>
      <c r="EY282" s="107" t="str">
        <f t="shared" ref="EY282:EY311" si="2586">IF(SeilBeregnet=0,"-",EY$7*(FA:FA+EY$6)*FD:FD*PropF+ErfaringsF+Dyp_F)</f>
        <v>-</v>
      </c>
      <c r="FA282" s="107" t="e">
        <f t="shared" ref="FA282:FA311" si="2587">(FB:FB*FC:FC)^FA$3</f>
        <v>#REF!</v>
      </c>
      <c r="FB282" s="107" t="e">
        <f>IF(SeilBeregnet=0,#REF!,SeilBeregnet^0.5/Depl^0.3333)</f>
        <v>#REF!</v>
      </c>
      <c r="FC282" s="107" t="e">
        <f>IF(SeilBeregnet=0,#REF!,((Loa+Lwl)/Bredde/6)^FC$3)</f>
        <v>#REF!</v>
      </c>
      <c r="FD282" s="107" t="e">
        <f>IF(SeilBeregnet=0,#REF!,(Lwl*0.7+Loa*0.3)^FD$3)</f>
        <v>#REF!</v>
      </c>
      <c r="FE282" s="107" t="str">
        <f t="shared" ref="FE282:FE311" si="2588">IF(SeilBeregnet=0,"-",FE$7*(FG:FG+FE$6)*FJ:FJ*PropF+ErfaringsF+Dyp_F)</f>
        <v>-</v>
      </c>
      <c r="FF282" s="141" t="str">
        <f t="shared" ref="FF282:FF293" si="2589">IF($DY282=0,"-",(FE282-$DW282)*100)</f>
        <v>-</v>
      </c>
      <c r="FG282" s="107" t="e">
        <f t="shared" ref="FG282:FG311" si="2590">(FH:FH*FI:FI)^FG$3</f>
        <v>#REF!</v>
      </c>
      <c r="FH282" s="133" t="e">
        <f>IF(SeilBeregnet=0,#REF!,(SeilBeregnet^0.5/(Depl^0.3333))^FH$3)</f>
        <v>#REF!</v>
      </c>
      <c r="FI282" s="133" t="e">
        <f>IF(SeilBeregnet=0,#REF!,((Loa+Lwl)/Bredde/6)^FI$3)</f>
        <v>#REF!</v>
      </c>
      <c r="FJ282" s="107" t="e">
        <f>IF(SeilBeregnet=0,#REF!,(Lwl*0.07+Loa*0.03)^FJ$3)</f>
        <v>#REF!</v>
      </c>
      <c r="FK282" s="107" t="str">
        <f t="shared" ref="FK282:FK311" si="2591">IF(SeilBeregnet=0,"-",FK$7*(FM:FM+FK$6)*FQ:FQ*PropF+ErfaringsF+Dyp_F)</f>
        <v>-</v>
      </c>
      <c r="FL282" s="141" t="str">
        <f t="shared" ref="FL282:FL293" si="2592">IF($DY282=0,"-",(FK282-$DW282)*100)</f>
        <v>-</v>
      </c>
      <c r="FM282" s="107" t="e">
        <f t="shared" ref="FM282:FM311" si="2593">(FN:FN+FO:FO+FP:FP)^FM$3+FM$7</f>
        <v>#REF!</v>
      </c>
      <c r="FN282" s="133" t="e">
        <f>IF(SeilBeregnet=0,#REF!,(SeilBeregnet^0.5/(Depl^0.3333))^FN$3)</f>
        <v>#REF!</v>
      </c>
      <c r="FO282" s="133" t="e">
        <f>IF(SeilBeregnet=0,#REF!,(SeilBeregnet^0.5/Lwl*FO$7)^FO$3)</f>
        <v>#REF!</v>
      </c>
      <c r="FP282" s="133" t="e">
        <f>IF(SeilBeregnet=0,#REF!,((Loa)/Bredde)^FP$3*FP$7)</f>
        <v>#REF!</v>
      </c>
      <c r="FQ282" s="107" t="e">
        <f>IF(SeilBeregnet=0,#REF!,(Lwl)^FQ$3)</f>
        <v>#REF!</v>
      </c>
      <c r="FR282" s="107" t="str">
        <f t="shared" ref="FR282:FR311" si="2594">IF(SeilBeregnet=0,"-",FR$7*(FT:FT+FR$6)*FW:FW*PropF+ErfaringsF+Dyp_F)</f>
        <v>-</v>
      </c>
      <c r="FS282" s="141" t="str">
        <f t="shared" ref="FS282:FS293" si="2595">IF($DY282=0,"-",(FR282-$DW282)*100)</f>
        <v>-</v>
      </c>
      <c r="FT282" s="107" t="e">
        <f t="shared" ref="FT282:FT311" si="2596">(FU:FU*FV:FV)^FT$3</f>
        <v>#REF!</v>
      </c>
      <c r="FU282" s="133" t="e">
        <f>IF(SeilBeregnet=0,#REF!,(SeilBeregnet^0.5/(Depl^0.3333))^FU$3)</f>
        <v>#REF!</v>
      </c>
      <c r="FV282" s="133" t="e">
        <f>IF(SeilBeregnet=0,#REF!,(Loa/Bredde)^FV$3)</f>
        <v>#REF!</v>
      </c>
      <c r="FW282" s="107" t="e">
        <f>IF(SeilBeregnet=0,#REF!,Lwl^FW$3)</f>
        <v>#REF!</v>
      </c>
      <c r="FY282" s="336">
        <v>1</v>
      </c>
      <c r="FZ282" s="62" t="str">
        <f t="shared" si="2074"/>
        <v>-</v>
      </c>
      <c r="GA282" s="62">
        <f t="shared" si="2075"/>
        <v>1.9815906667827816</v>
      </c>
      <c r="GB282" s="107" t="str">
        <f t="shared" si="1270"/>
        <v>-</v>
      </c>
      <c r="GC282" s="441"/>
      <c r="GD282" s="57"/>
      <c r="GE282" s="436"/>
      <c r="GF282" s="75"/>
      <c r="GG282" s="57"/>
      <c r="GH282" s="57"/>
      <c r="GI282" s="57"/>
      <c r="GJ282" s="57"/>
      <c r="GL282" s="57" t="s">
        <v>478</v>
      </c>
      <c r="GM282" s="436" t="s">
        <v>478</v>
      </c>
      <c r="GN282" s="58" t="s">
        <v>478</v>
      </c>
      <c r="GO282" s="58" t="s">
        <v>478</v>
      </c>
      <c r="GP282" s="58" t="s">
        <v>478</v>
      </c>
      <c r="GQ282" s="58" t="s">
        <v>478</v>
      </c>
      <c r="GS282" s="57"/>
      <c r="GT282" s="57"/>
      <c r="GU282" s="57"/>
      <c r="GV282" s="632"/>
      <c r="GW282" s="57"/>
      <c r="GX282" s="57"/>
      <c r="GY282" s="57"/>
      <c r="GZ282" s="57"/>
    </row>
    <row r="283" spans="1:208" ht="15.6" x14ac:dyDescent="0.3">
      <c r="A283" s="60" t="s">
        <v>33</v>
      </c>
      <c r="B283" s="218"/>
      <c r="C283" s="61" t="str">
        <f>C282</f>
        <v>Bermuda</v>
      </c>
      <c r="D283" s="61"/>
      <c r="E283" s="61"/>
      <c r="F283" s="61"/>
      <c r="G283" s="54"/>
      <c r="H283" s="204">
        <f>IF(StH=0,0,TBFavrundet)</f>
        <v>119</v>
      </c>
      <c r="I283" s="63">
        <f>COUNTA(O283:AG283)</f>
        <v>2</v>
      </c>
      <c r="J283" s="222">
        <f>SUM(O283:AG283)</f>
        <v>24</v>
      </c>
      <c r="K283" s="116">
        <f>Seilareal/Depl^0.667/K$7</f>
        <v>1.4344984557975764</v>
      </c>
      <c r="L283" s="116">
        <f>Seilareal/Lwl/Lwl/L$7</f>
        <v>1.0115461808884627</v>
      </c>
      <c r="M283" s="92">
        <f>RiggF</f>
        <v>0.96458333333333324</v>
      </c>
      <c r="N283" s="242">
        <f>StHfaktor</f>
        <v>1.0522814411075829</v>
      </c>
      <c r="O283" s="143"/>
      <c r="P283" s="143"/>
      <c r="Q283" s="143"/>
      <c r="R283" s="143"/>
      <c r="S283" s="143"/>
      <c r="T283" s="143"/>
      <c r="U283" s="165">
        <v>7</v>
      </c>
      <c r="V283" s="559"/>
      <c r="W283" s="559"/>
      <c r="X283" s="143"/>
      <c r="Y283" s="143"/>
      <c r="Z283" s="143"/>
      <c r="AA283" s="143"/>
      <c r="AB283" s="143"/>
      <c r="AC283" s="143"/>
      <c r="AD283" s="143"/>
      <c r="AE283" s="165">
        <v>17</v>
      </c>
      <c r="AF283" s="143"/>
      <c r="AG283" s="551"/>
      <c r="AH283" s="557">
        <f>AH282</f>
        <v>9.02</v>
      </c>
      <c r="AI283" s="557">
        <f>AI282</f>
        <v>9.02</v>
      </c>
      <c r="AJ283" s="337">
        <f t="shared" ref="AJ283:AL284" si="2597" xml:space="preserve"> AJ282</f>
        <v>0</v>
      </c>
      <c r="AK283" s="339"/>
      <c r="AL283" s="337">
        <f t="shared" si="2597"/>
        <v>0</v>
      </c>
      <c r="AM283" s="339"/>
      <c r="AN283" s="267" t="str">
        <f xml:space="preserve"> AN282</f>
        <v>Folk</v>
      </c>
      <c r="AO283" s="45">
        <f>VLOOKUP(AN283,Skrogform!$1:$1048576,3,FALSE)</f>
        <v>0.99</v>
      </c>
      <c r="AP283" s="64">
        <f t="shared" ref="AP283:AZ284" si="2598">AP282</f>
        <v>7.64</v>
      </c>
      <c r="AQ283" s="64">
        <f t="shared" si="2598"/>
        <v>6</v>
      </c>
      <c r="AR283" s="64">
        <f t="shared" si="2598"/>
        <v>2.2000000000000002</v>
      </c>
      <c r="AS283" s="64">
        <f t="shared" si="2598"/>
        <v>1.2</v>
      </c>
      <c r="AT283" s="64">
        <f t="shared" ref="AT283" si="2599">AT282</f>
        <v>1.93</v>
      </c>
      <c r="AU283" s="64">
        <f t="shared" si="2598"/>
        <v>1.93</v>
      </c>
      <c r="AV283" s="64">
        <f t="shared" si="2598"/>
        <v>1.0249999999999999</v>
      </c>
      <c r="AW283" s="64">
        <f t="shared" si="2598"/>
        <v>0</v>
      </c>
      <c r="AX283" s="256">
        <f>AX282</f>
        <v>0</v>
      </c>
      <c r="AY283" s="256">
        <f t="shared" si="2598"/>
        <v>0</v>
      </c>
      <c r="AZ283" s="256">
        <f t="shared" si="2598"/>
        <v>0</v>
      </c>
      <c r="BA283" s="256">
        <f t="shared" ref="BA283:BB283" si="2600">BA282</f>
        <v>0</v>
      </c>
      <c r="BB283" s="256">
        <f t="shared" si="2600"/>
        <v>0</v>
      </c>
      <c r="BC283" s="256"/>
      <c r="BD283" s="66"/>
      <c r="BE283" s="66"/>
      <c r="BF283" s="261"/>
      <c r="BG283" s="66"/>
      <c r="BH283" s="175"/>
      <c r="BI283" s="66"/>
      <c r="BJ283" s="66"/>
      <c r="BK283" s="65">
        <f t="shared" ref="BK283:BM284" si="2601" xml:space="preserve"> BK282</f>
        <v>0</v>
      </c>
      <c r="BL283" s="267">
        <f t="shared" si="2601"/>
        <v>0</v>
      </c>
      <c r="BM283" s="267">
        <f t="shared" si="2601"/>
        <v>0</v>
      </c>
      <c r="BN283" s="45">
        <f t="shared" si="2579"/>
        <v>1</v>
      </c>
      <c r="BO283" s="59">
        <f>BO282</f>
        <v>0.03</v>
      </c>
      <c r="BP283" s="59"/>
      <c r="BR283" s="49">
        <f t="shared" ref="BR283:BX284" si="2602">IF(O283=0,0,O283*BR$9)</f>
        <v>0</v>
      </c>
      <c r="BS283" s="49">
        <f t="shared" si="2602"/>
        <v>0</v>
      </c>
      <c r="BT283" s="49">
        <f t="shared" si="2602"/>
        <v>0</v>
      </c>
      <c r="BU283" s="49">
        <f t="shared" si="2602"/>
        <v>0</v>
      </c>
      <c r="BV283" s="49">
        <f t="shared" si="2602"/>
        <v>0</v>
      </c>
      <c r="BW283" s="49">
        <f t="shared" si="2602"/>
        <v>0</v>
      </c>
      <c r="BX283" s="49">
        <f t="shared" si="2602"/>
        <v>7</v>
      </c>
      <c r="BY283" s="549">
        <f>IF(COUNT(Q283:U283)&gt;1,MINA(Q283:U283)*BY$9,0)</f>
        <v>0</v>
      </c>
      <c r="BZ283" s="85">
        <f t="shared" ref="BZ283:CD284" si="2603">IF(V283=0,0,V283*BZ$9)</f>
        <v>0</v>
      </c>
      <c r="CA283" s="85">
        <f t="shared" si="2603"/>
        <v>0</v>
      </c>
      <c r="CB283" s="85">
        <f t="shared" si="2603"/>
        <v>0</v>
      </c>
      <c r="CC283" s="85">
        <f t="shared" si="2603"/>
        <v>0</v>
      </c>
      <c r="CD283" s="85">
        <f t="shared" si="2603"/>
        <v>0</v>
      </c>
      <c r="CE283" s="85">
        <f>IF(AC283=0,0,AC283*CE$9)</f>
        <v>0</v>
      </c>
      <c r="CF283" s="85">
        <f>IF(AA283=0,0,AA283*CF$9)</f>
        <v>0</v>
      </c>
      <c r="CG283" s="85">
        <f>IF(AB283=0,0,AB283*CG$9)</f>
        <v>0</v>
      </c>
      <c r="CH283" s="85">
        <f t="shared" ref="CH283:CK284" si="2604">IF(AD283=0,0,AD283*CH$9)</f>
        <v>0</v>
      </c>
      <c r="CI283" s="85">
        <f t="shared" si="2604"/>
        <v>16.149999999999999</v>
      </c>
      <c r="CJ283" s="85">
        <f t="shared" si="2604"/>
        <v>0</v>
      </c>
      <c r="CK283" s="85">
        <f t="shared" si="2604"/>
        <v>0</v>
      </c>
      <c r="CL283" s="100">
        <f>SUM(BR283:CK283)</f>
        <v>23.15</v>
      </c>
      <c r="CM283" s="50"/>
      <c r="CN283" s="104">
        <f>J283</f>
        <v>24</v>
      </c>
      <c r="CO283" s="101">
        <f>CL283/CN283</f>
        <v>0.96458333333333324</v>
      </c>
      <c r="CP283" s="51">
        <f>Seilareal/Lwl/Lwl</f>
        <v>0.66666666666666663</v>
      </c>
      <c r="CQ283" s="116">
        <f>Seilareal/Depl^0.667/K$7</f>
        <v>1.4344984557975764</v>
      </c>
      <c r="CR283" s="51">
        <f>Seilareal/Lwl/Lwl/SApRS1</f>
        <v>1.0115461808884627</v>
      </c>
      <c r="CS283" s="204"/>
      <c r="CT283" s="204">
        <f>(ROUND(TBF/CT$6,3)*CT$6)*CT$4</f>
        <v>119</v>
      </c>
      <c r="CU283" s="107">
        <f t="shared" si="1267"/>
        <v>1.1905033734115236</v>
      </c>
      <c r="CV283" s="62">
        <f t="shared" si="2119"/>
        <v>3.93502540678513</v>
      </c>
      <c r="CW283" s="62">
        <f t="shared" si="1268"/>
        <v>1.7606816861659009</v>
      </c>
      <c r="CX283" s="62">
        <f t="shared" si="2120"/>
        <v>1.5650845800732873</v>
      </c>
      <c r="CY283" s="107">
        <f t="shared" si="1269"/>
        <v>1.0522814411075829</v>
      </c>
      <c r="CZ283" s="168" t="str">
        <f t="shared" si="2502"/>
        <v>-</v>
      </c>
      <c r="DA283" s="159">
        <f>DA282</f>
        <v>0</v>
      </c>
      <c r="DB283" s="168">
        <f t="shared" si="2572"/>
        <v>1.1064912280701755</v>
      </c>
      <c r="DC283" s="159">
        <f>DC282</f>
        <v>1.19</v>
      </c>
      <c r="DD283" s="190" t="s">
        <v>134</v>
      </c>
      <c r="DE283" s="62">
        <v>0.85</v>
      </c>
      <c r="DF283" s="62">
        <v>0.87</v>
      </c>
      <c r="DG283" s="62">
        <v>0.94</v>
      </c>
      <c r="DH283" s="152">
        <f>0.94+0.03</f>
        <v>0.97</v>
      </c>
      <c r="DI283" s="62">
        <f t="shared" si="2292"/>
        <v>2.1428939822296749</v>
      </c>
      <c r="DJ283" s="47">
        <f t="shared" si="1300"/>
        <v>13.043478260869565</v>
      </c>
      <c r="DK283" s="48">
        <f t="shared" si="2580"/>
        <v>0</v>
      </c>
      <c r="DM283" s="136">
        <f t="shared" si="2581"/>
        <v>1.1416509519674924</v>
      </c>
      <c r="DN283" s="142">
        <f t="shared" si="2582"/>
        <v>-6.0574677741117133</v>
      </c>
      <c r="DO283" s="107">
        <f t="shared" si="2297"/>
        <v>5.7280783071647869</v>
      </c>
      <c r="DP283" s="133">
        <f t="shared" ref="DP283:DP290" si="2605">IF(SeilBeregnet=0,DP282,(SeilBeregnet^0.5/(Depl^0.3333))^DP$3*DP$7)</f>
        <v>3.8645528115712136</v>
      </c>
      <c r="DQ283" s="133">
        <f t="shared" ref="DQ283:DQ290" si="2606">IF(SeilBeregnet=0,DQ282,(SeilBeregnet^0.5/Lwl)^DQ$3*DQ$7)</f>
        <v>0</v>
      </c>
      <c r="DR283" s="133">
        <f t="shared" ref="DR283:DR290" si="2607">IF(SeilBeregnet=0,DR282,(0.1*Loa/Depl^0.3333)^DR$3*DR$7)</f>
        <v>0</v>
      </c>
      <c r="DS283" s="133">
        <f t="shared" ref="DS283:DS290" si="2608">IF(SeilBeregnet=0,DS282,((Loa)/Bredde)^DS$3*DS$7)</f>
        <v>1.8635254955935732</v>
      </c>
      <c r="DT283" s="107">
        <f t="shared" ref="DT283:DT290" si="2609">IF(SeilBeregnet=0,DT282,(Lwl)^DT$3)</f>
        <v>1.5650845800732873</v>
      </c>
      <c r="DU283" s="133">
        <f t="shared" ref="DU283:DU290" si="2610">IF(SeilBeregnet=0,DU282,(Dypg/Loa)^DU$3*5*DU$7)</f>
        <v>1.9815906667827816</v>
      </c>
      <c r="DW283" s="72">
        <f t="shared" si="1241"/>
        <v>1.2022256297086096</v>
      </c>
      <c r="DX283" s="107">
        <f t="shared" si="2298"/>
        <v>1.0760057229915072</v>
      </c>
      <c r="DY283" s="122">
        <f>DX283-DW283</f>
        <v>-0.12621990671710237</v>
      </c>
      <c r="DZ283" s="107">
        <f t="shared" si="2299"/>
        <v>1.0807824639624033</v>
      </c>
      <c r="EA283" s="122">
        <f t="shared" si="2583"/>
        <v>-0.12144316574620628</v>
      </c>
      <c r="EB283" s="107">
        <f t="shared" si="2301"/>
        <v>1.1713267680891888</v>
      </c>
      <c r="EC283" s="122">
        <f t="shared" si="2584"/>
        <v>-3.0898861619420792E-2</v>
      </c>
      <c r="ED283" s="107">
        <f t="shared" ref="ED283:ED290" si="2611">IF(SeilBeregnet=0,ED282,SeilBeregnet^0.5/Depl^0.33333)</f>
        <v>3.8644765816997775</v>
      </c>
      <c r="EE283" s="107">
        <f t="shared" ref="EE283:EE290" si="2612">IF(SeilBeregnet=0,EE282,Lwl^0.3333)</f>
        <v>1.8170120679720481</v>
      </c>
      <c r="EF283" s="107">
        <f t="shared" ref="EF283:EF290" si="2613">IF(SeilBeregnet=0,EF282,((Loa+Lwl)/Bredde)^EF$3)</f>
        <v>1.5779670210741878</v>
      </c>
      <c r="EH283" s="107">
        <f t="shared" si="2303"/>
        <v>1.1681801456327847</v>
      </c>
      <c r="EJ283" s="107">
        <f t="shared" ref="EJ283:EJ290" si="2614">IF(SeilBeregnet=0,EJ282,SeilBeregnet^0.5/Depl^0.33333)</f>
        <v>3.8644765816997775</v>
      </c>
      <c r="EK283" s="107">
        <f t="shared" ref="EK283:EK290" si="2615">IF(SeilBeregnet=0,EK282,Lwl^EK$3)</f>
        <v>1.8171097400544527</v>
      </c>
      <c r="EL283" s="107">
        <f t="shared" ref="EL283:EL290" si="2616">IF(SeilBeregnet=0,EL282,((Loa+Lwl)/Bredde)^EL$3)</f>
        <v>1.8369788246696532</v>
      </c>
      <c r="EM283" s="107">
        <f t="shared" si="2304"/>
        <v>1.159655740380737</v>
      </c>
      <c r="EO283" s="107">
        <f t="shared" ref="EO283:EO290" si="2617">IF(SeilBeregnet=0,EO282,(EP283*EQ283)^EO$3)</f>
        <v>6.0980165996357583</v>
      </c>
      <c r="EP283" s="107">
        <f t="shared" ref="EP283:EP290" si="2618">IF(SeilBeregnet=0,EP282,SeilBeregnet^0.5/Depl^0.33333)</f>
        <v>3.8644765816997775</v>
      </c>
      <c r="EQ283" s="107">
        <f t="shared" ref="EQ283:EQ290" si="2619">IF(SeilBeregnet=0,EQ282,((Loa+Lwl)/Bredde)^EQ$3)</f>
        <v>1.5779670210741878</v>
      </c>
      <c r="ER283" s="107">
        <f t="shared" ref="ER283:ER290" si="2620">IF(SeilBeregnet=0,ER282,Lwl^ER$3)</f>
        <v>1.5650845800732873</v>
      </c>
      <c r="ES283" s="107">
        <f t="shared" si="2585"/>
        <v>1.1620250369397993</v>
      </c>
      <c r="EU283" s="107">
        <f>IF(SeilBeregnet=0,EU282,(EV:EV*EW:EW)^EU$3)</f>
        <v>1.9739011261754147</v>
      </c>
      <c r="EV283" s="107">
        <f t="shared" ref="EV283:EV290" si="2621">IF(SeilBeregnet=0,EV282,SeilBeregnet^0.5/Depl^0.33333)</f>
        <v>3.8644765816997775</v>
      </c>
      <c r="EW283" s="107">
        <f t="shared" ref="EW283:EW290" si="2622">IF(SeilBeregnet=0,EW282,((Loa+Lwl)/Bredde/6)^EW$3)</f>
        <v>1.0082311468433849</v>
      </c>
      <c r="EX283" s="107">
        <f t="shared" ref="EX283:EX290" si="2623">IF(SeilBeregnet=0,EX282,(Lwl*0.7+Loa*0.3)^EX$3)</f>
        <v>1.5962269088918948</v>
      </c>
      <c r="EY283" s="107">
        <f t="shared" si="2586"/>
        <v>1.0894696633880858</v>
      </c>
      <c r="FA283" s="107">
        <f t="shared" si="2587"/>
        <v>1.9739205944635341</v>
      </c>
      <c r="FB283" s="107">
        <f t="shared" ref="FB283:FB290" si="2624">IF(SeilBeregnet=0,FB282,SeilBeregnet^0.5/Depl^0.3333)</f>
        <v>3.8645528115712136</v>
      </c>
      <c r="FC283" s="107">
        <f t="shared" ref="FC283:FC290" si="2625">IF(SeilBeregnet=0,FC282,((Loa+Lwl)/Bredde/6)^FC$3)</f>
        <v>1.0082311468433849</v>
      </c>
      <c r="FD283" s="107">
        <f t="shared" ref="FD283:FD290" si="2626">IF(SeilBeregnet=0,FD282,(Lwl*0.7+Loa*0.3)^FD$3)</f>
        <v>1.5962269088918948</v>
      </c>
      <c r="FE283" s="107">
        <f t="shared" si="2588"/>
        <v>1.1475164253777697</v>
      </c>
      <c r="FF283" s="141">
        <f t="shared" si="2589"/>
        <v>-5.4709204330839922</v>
      </c>
      <c r="FG283" s="107">
        <f t="shared" si="2590"/>
        <v>3.9284340452488706</v>
      </c>
      <c r="FH283" s="133">
        <f t="shared" ref="FH283:FH290" si="2627">IF(SeilBeregnet=0,FH282,(SeilBeregnet^0.5/(Depl^0.3333))^FH$3)</f>
        <v>3.8645528115712136</v>
      </c>
      <c r="FI283" s="133">
        <f t="shared" ref="FI283:FI290" si="2628">IF(SeilBeregnet=0,FI282,((Loa+Lwl)/Bredde/6)^FI$3)</f>
        <v>1.0165300454651272</v>
      </c>
      <c r="FJ283" s="107">
        <f t="shared" ref="FJ283:FJ290" si="2629">IF(SeilBeregnet=0,FJ282,(Lwl*0.07+Loa*0.03)^FJ$3)</f>
        <v>0.89762435525076267</v>
      </c>
      <c r="FK283" s="107">
        <f t="shared" si="2591"/>
        <v>1.1530550891391096</v>
      </c>
      <c r="FL283" s="141">
        <f t="shared" si="2592"/>
        <v>-4.9170540569499988</v>
      </c>
      <c r="FM283" s="107">
        <f t="shared" si="2593"/>
        <v>6.0299857554127474</v>
      </c>
      <c r="FN283" s="133">
        <f t="shared" ref="FN283:FN290" si="2630">IF(SeilBeregnet=0,FN282,(SeilBeregnet^0.5/(Depl^0.3333))^FN$3)</f>
        <v>3.8645528115712136</v>
      </c>
      <c r="FO283" s="133">
        <f t="shared" ref="FO283:FO290" si="2631">IF(SeilBeregnet=0,FO282,(SeilBeregnet^0.5/Lwl*FO$7)^FO$3)</f>
        <v>0.80190744824796056</v>
      </c>
      <c r="FP283" s="133">
        <f t="shared" ref="FP283:FP290" si="2632">IF(SeilBeregnet=0,FP282,((Loa)/Bredde)^FP$3*FP$7)</f>
        <v>1.8635254955935732</v>
      </c>
      <c r="FQ283" s="107">
        <f t="shared" ref="FQ283:FQ290" si="2633">IF(SeilBeregnet=0,FQ282,(Lwl)^FQ$3)</f>
        <v>1.5650845800732873</v>
      </c>
      <c r="FR283" s="107">
        <f t="shared" si="2594"/>
        <v>1.15202217633332</v>
      </c>
      <c r="FS283" s="141">
        <f t="shared" si="2595"/>
        <v>-5.0203453375289531</v>
      </c>
      <c r="FT283" s="107">
        <f t="shared" si="2596"/>
        <v>7.2016926934307826</v>
      </c>
      <c r="FU283" s="133">
        <f t="shared" ref="FU283:FU290" si="2634">IF(SeilBeregnet=0,FU282,(SeilBeregnet^0.5/(Depl^0.3333))^FU$3)</f>
        <v>3.8645528115712136</v>
      </c>
      <c r="FV283" s="133">
        <f t="shared" ref="FV283:FV290" si="2635">IF(SeilBeregnet=0,FV282,(Loa/Bredde)^FV$3)</f>
        <v>1.8635254955935732</v>
      </c>
      <c r="FW283" s="107">
        <f t="shared" ref="FW283:FW290" si="2636">IF(SeilBeregnet=0,FW282,Lwl^FW$3)</f>
        <v>1.5650845800732873</v>
      </c>
      <c r="FY283" s="336">
        <v>1</v>
      </c>
      <c r="FZ283" s="62">
        <f t="shared" si="2074"/>
        <v>1.1285561191384494</v>
      </c>
      <c r="GA283" s="62">
        <f t="shared" si="2075"/>
        <v>1.9815906667827816</v>
      </c>
      <c r="GB283" s="107">
        <f t="shared" si="1270"/>
        <v>1.7212428226472574</v>
      </c>
      <c r="GC283" s="440"/>
      <c r="GD283" s="17"/>
      <c r="GE283" s="442"/>
      <c r="GF283" s="462"/>
      <c r="GG283" s="17"/>
      <c r="GH283" s="17"/>
      <c r="GI283" s="17"/>
      <c r="GJ283" s="17"/>
      <c r="GL283" s="17"/>
      <c r="GM283" s="442"/>
      <c r="GN283" s="8"/>
      <c r="GO283" s="8"/>
      <c r="GP283" s="8"/>
      <c r="GQ283" s="8"/>
      <c r="GS283" s="17"/>
      <c r="GT283" s="17"/>
      <c r="GU283" s="17"/>
      <c r="GV283" s="629"/>
      <c r="GW283" s="17"/>
      <c r="GX283" s="17"/>
      <c r="GY283" s="17"/>
      <c r="GZ283" s="17"/>
    </row>
    <row r="284" spans="1:208" ht="15.6" x14ac:dyDescent="0.3">
      <c r="A284" s="108" t="s">
        <v>82</v>
      </c>
      <c r="B284" s="218"/>
      <c r="C284" s="14" t="str">
        <f>C282</f>
        <v>Bermuda</v>
      </c>
      <c r="G284" s="54"/>
      <c r="H284" s="204">
        <f>TBFavrundet</f>
        <v>119</v>
      </c>
      <c r="I284" s="63"/>
      <c r="J284" s="222">
        <f>SUM(O284:AG284)</f>
        <v>24</v>
      </c>
      <c r="K284" s="116">
        <f>Seilareal/Depl^0.667/K$7</f>
        <v>1.4344984557975764</v>
      </c>
      <c r="L284" s="116">
        <f>Seilareal/Lwl/Lwl/L$7</f>
        <v>1.0115461808884627</v>
      </c>
      <c r="M284" s="92">
        <f>RiggF</f>
        <v>0.96458333333333324</v>
      </c>
      <c r="N284" s="242">
        <f>StHfaktor</f>
        <v>1.0522814411075829</v>
      </c>
      <c r="O284" s="143"/>
      <c r="P284" s="143"/>
      <c r="Q284" s="143"/>
      <c r="R284" s="143"/>
      <c r="S284" s="143"/>
      <c r="T284" s="143"/>
      <c r="U284" s="165">
        <v>7</v>
      </c>
      <c r="V284" s="559"/>
      <c r="W284" s="559"/>
      <c r="X284" s="143"/>
      <c r="Y284" s="143"/>
      <c r="Z284" s="143"/>
      <c r="AA284" s="143"/>
      <c r="AB284" s="143"/>
      <c r="AC284" s="143"/>
      <c r="AD284" s="143"/>
      <c r="AE284" s="165">
        <v>17</v>
      </c>
      <c r="AF284" s="143"/>
      <c r="AG284" s="551"/>
      <c r="AH284" s="557">
        <f>AH283</f>
        <v>9.02</v>
      </c>
      <c r="AI284" s="557">
        <f>AI283</f>
        <v>9.02</v>
      </c>
      <c r="AJ284" s="337">
        <f t="shared" si="2597"/>
        <v>0</v>
      </c>
      <c r="AK284" s="339"/>
      <c r="AL284" s="337">
        <f t="shared" si="2597"/>
        <v>0</v>
      </c>
      <c r="AM284" s="339"/>
      <c r="AN284" s="267" t="str">
        <f xml:space="preserve"> AN283</f>
        <v>Folk</v>
      </c>
      <c r="AO284" s="45">
        <f>VLOOKUP(AN284,Skrogform!$1:$1048576,3,FALSE)</f>
        <v>0.99</v>
      </c>
      <c r="AP284" s="64">
        <f t="shared" si="2598"/>
        <v>7.64</v>
      </c>
      <c r="AQ284" s="64">
        <f t="shared" si="2598"/>
        <v>6</v>
      </c>
      <c r="AR284" s="64">
        <f t="shared" si="2598"/>
        <v>2.2000000000000002</v>
      </c>
      <c r="AS284" s="64">
        <f t="shared" si="2598"/>
        <v>1.2</v>
      </c>
      <c r="AT284" s="64">
        <f t="shared" ref="AT284" si="2637">AT283</f>
        <v>1.93</v>
      </c>
      <c r="AU284" s="64">
        <f t="shared" si="2598"/>
        <v>1.93</v>
      </c>
      <c r="AV284" s="64">
        <f t="shared" si="2598"/>
        <v>1.0249999999999999</v>
      </c>
      <c r="AW284" s="64">
        <f t="shared" si="2598"/>
        <v>0</v>
      </c>
      <c r="AX284" s="256">
        <f>AX283</f>
        <v>0</v>
      </c>
      <c r="AY284" s="256">
        <f t="shared" si="2598"/>
        <v>0</v>
      </c>
      <c r="AZ284" s="256">
        <f t="shared" si="2598"/>
        <v>0</v>
      </c>
      <c r="BA284" s="256">
        <f t="shared" ref="BA284:BB284" si="2638">BA283</f>
        <v>0</v>
      </c>
      <c r="BB284" s="256">
        <f t="shared" si="2638"/>
        <v>0</v>
      </c>
      <c r="BC284" s="256"/>
      <c r="BD284" s="66"/>
      <c r="BE284" s="66"/>
      <c r="BF284" s="261"/>
      <c r="BG284" s="66"/>
      <c r="BH284" s="175"/>
      <c r="BI284" s="66"/>
      <c r="BJ284" s="66"/>
      <c r="BK284" s="65">
        <f t="shared" si="2601"/>
        <v>0</v>
      </c>
      <c r="BL284" s="267">
        <f t="shared" si="2601"/>
        <v>0</v>
      </c>
      <c r="BM284" s="267">
        <f t="shared" si="2601"/>
        <v>0</v>
      </c>
      <c r="BN284" s="45">
        <f t="shared" si="2579"/>
        <v>1</v>
      </c>
      <c r="BO284" s="59">
        <f>BO283</f>
        <v>0.03</v>
      </c>
      <c r="BP284" s="59"/>
      <c r="BR284" s="49">
        <f t="shared" si="2602"/>
        <v>0</v>
      </c>
      <c r="BS284" s="49">
        <f t="shared" si="2602"/>
        <v>0</v>
      </c>
      <c r="BT284" s="49">
        <f t="shared" si="2602"/>
        <v>0</v>
      </c>
      <c r="BU284" s="49">
        <f t="shared" si="2602"/>
        <v>0</v>
      </c>
      <c r="BV284" s="49">
        <f t="shared" si="2602"/>
        <v>0</v>
      </c>
      <c r="BW284" s="49">
        <f t="shared" si="2602"/>
        <v>0</v>
      </c>
      <c r="BX284" s="49">
        <f t="shared" si="2602"/>
        <v>7</v>
      </c>
      <c r="BY284" s="549">
        <f>IF(COUNT(Q284:U284)&gt;1,MINA(Q284:U284)*BY$9,0)</f>
        <v>0</v>
      </c>
      <c r="BZ284" s="85">
        <f t="shared" si="2603"/>
        <v>0</v>
      </c>
      <c r="CA284" s="85">
        <f t="shared" si="2603"/>
        <v>0</v>
      </c>
      <c r="CB284" s="85">
        <f t="shared" si="2603"/>
        <v>0</v>
      </c>
      <c r="CC284" s="85">
        <f t="shared" si="2603"/>
        <v>0</v>
      </c>
      <c r="CD284" s="85">
        <f t="shared" si="2603"/>
        <v>0</v>
      </c>
      <c r="CE284" s="85">
        <f>IF(AC284=0,0,AC284*CE$9)</f>
        <v>0</v>
      </c>
      <c r="CF284" s="85">
        <f>IF(AA284=0,0,AA284*CF$9)</f>
        <v>0</v>
      </c>
      <c r="CG284" s="85">
        <f>IF(AB284=0,0,AB284*CG$9)</f>
        <v>0</v>
      </c>
      <c r="CH284" s="85">
        <f t="shared" si="2604"/>
        <v>0</v>
      </c>
      <c r="CI284" s="85">
        <f t="shared" si="2604"/>
        <v>16.149999999999999</v>
      </c>
      <c r="CJ284" s="85">
        <f t="shared" si="2604"/>
        <v>0</v>
      </c>
      <c r="CK284" s="85">
        <f t="shared" si="2604"/>
        <v>0</v>
      </c>
      <c r="CL284" s="100">
        <f>SUM(BR284:CK284)</f>
        <v>23.15</v>
      </c>
      <c r="CM284" s="50"/>
      <c r="CN284" s="104">
        <f>J284</f>
        <v>24</v>
      </c>
      <c r="CO284" s="101">
        <f>CL284/CN284</f>
        <v>0.96458333333333324</v>
      </c>
      <c r="CP284" s="51">
        <f>Seilareal/Lwl/Lwl</f>
        <v>0.66666666666666663</v>
      </c>
      <c r="CQ284" s="116">
        <f>Seilareal/Depl^0.667/K$7</f>
        <v>1.4344984557975764</v>
      </c>
      <c r="CR284" s="51">
        <f>Seilareal/Lwl/Lwl/SApRS1</f>
        <v>1.0115461808884627</v>
      </c>
      <c r="CS284" s="204"/>
      <c r="CT284" s="204">
        <f>(ROUND(TBF/CT$6,3)*CT$6)*CT$4</f>
        <v>119</v>
      </c>
      <c r="CU284" s="107">
        <f t="shared" si="1267"/>
        <v>1.1905033734115236</v>
      </c>
      <c r="CV284" s="62">
        <f t="shared" si="2119"/>
        <v>3.93502540678513</v>
      </c>
      <c r="CW284" s="62">
        <f t="shared" si="1268"/>
        <v>1.7606816861659009</v>
      </c>
      <c r="CX284" s="62">
        <f t="shared" si="2120"/>
        <v>1.5650845800732873</v>
      </c>
      <c r="CY284" s="107">
        <f t="shared" si="1269"/>
        <v>1.0522814411075829</v>
      </c>
      <c r="CZ284" s="168" t="str">
        <f t="shared" si="2502"/>
        <v>-</v>
      </c>
      <c r="DA284" s="158"/>
      <c r="DB284" s="168" t="str">
        <f t="shared" si="2572"/>
        <v>-</v>
      </c>
      <c r="DC284" s="160"/>
      <c r="DD284" s="190" t="s">
        <v>134</v>
      </c>
      <c r="DE284" s="62" t="s">
        <v>102</v>
      </c>
      <c r="DF284" s="62" t="s">
        <v>102</v>
      </c>
      <c r="DG284" s="62" t="s">
        <v>102</v>
      </c>
      <c r="DH284" s="150" t="s">
        <v>102</v>
      </c>
      <c r="DI284" s="62">
        <f t="shared" si="1299"/>
        <v>2.1428939822296749</v>
      </c>
      <c r="DJ284" s="47">
        <f t="shared" si="1300"/>
        <v>13.043478260869565</v>
      </c>
      <c r="DK284" s="48">
        <f t="shared" si="2580"/>
        <v>0</v>
      </c>
      <c r="DM284" s="107">
        <f t="shared" si="2581"/>
        <v>1.1416509519674924</v>
      </c>
      <c r="DN284" s="141" t="str">
        <f t="shared" si="2582"/>
        <v>-</v>
      </c>
      <c r="DO284" s="107">
        <f t="shared" si="2297"/>
        <v>5.7280783071647869</v>
      </c>
      <c r="DP284" s="133">
        <f t="shared" si="2605"/>
        <v>3.8645528115712136</v>
      </c>
      <c r="DQ284" s="133">
        <f t="shared" si="2606"/>
        <v>0</v>
      </c>
      <c r="DR284" s="133">
        <f t="shared" si="2607"/>
        <v>0</v>
      </c>
      <c r="DS284" s="133">
        <f t="shared" si="2608"/>
        <v>1.8635254955935732</v>
      </c>
      <c r="DT284" s="107">
        <f t="shared" si="2609"/>
        <v>1.5650845800732873</v>
      </c>
      <c r="DU284" s="133">
        <f t="shared" si="2610"/>
        <v>1.9815906667827816</v>
      </c>
      <c r="DW284" s="107">
        <f t="shared" si="1241"/>
        <v>1.2022256297086096</v>
      </c>
      <c r="DX284" s="107">
        <f t="shared" si="1301"/>
        <v>1.0760057229915072</v>
      </c>
      <c r="DZ284" s="107">
        <f t="shared" si="1302"/>
        <v>1.0807824639624033</v>
      </c>
      <c r="EA284" s="122" t="str">
        <f t="shared" si="2583"/>
        <v>-</v>
      </c>
      <c r="EB284" s="107">
        <f t="shared" si="2301"/>
        <v>1.1713267680891888</v>
      </c>
      <c r="EC284" s="122" t="str">
        <f t="shared" si="2584"/>
        <v>-</v>
      </c>
      <c r="ED284" s="107">
        <f t="shared" si="2611"/>
        <v>3.8644765816997775</v>
      </c>
      <c r="EE284" s="107">
        <f t="shared" si="2612"/>
        <v>1.8170120679720481</v>
      </c>
      <c r="EF284" s="107">
        <f t="shared" si="2613"/>
        <v>1.5779670210741878</v>
      </c>
      <c r="EH284" s="107">
        <f t="shared" si="2303"/>
        <v>1.1681801456327847</v>
      </c>
      <c r="EJ284" s="107">
        <f t="shared" si="2614"/>
        <v>3.8644765816997775</v>
      </c>
      <c r="EK284" s="107">
        <f t="shared" si="2615"/>
        <v>1.8171097400544527</v>
      </c>
      <c r="EL284" s="107">
        <f t="shared" si="2616"/>
        <v>1.8369788246696532</v>
      </c>
      <c r="EM284" s="107">
        <f t="shared" si="2304"/>
        <v>1.159655740380737</v>
      </c>
      <c r="EO284" s="107">
        <f t="shared" si="2617"/>
        <v>6.0980165996357583</v>
      </c>
      <c r="EP284" s="107">
        <f t="shared" si="2618"/>
        <v>3.8644765816997775</v>
      </c>
      <c r="EQ284" s="107">
        <f t="shared" si="2619"/>
        <v>1.5779670210741878</v>
      </c>
      <c r="ER284" s="107">
        <f t="shared" si="2620"/>
        <v>1.5650845800732873</v>
      </c>
      <c r="ES284" s="107">
        <f t="shared" si="2585"/>
        <v>1.1620250369397993</v>
      </c>
      <c r="EU284" s="107">
        <f>IF(SeilBeregnet=0,EU283,(EV:EV*EW:EW)^EU$3)</f>
        <v>1.9739011261754147</v>
      </c>
      <c r="EV284" s="107">
        <f t="shared" si="2621"/>
        <v>3.8644765816997775</v>
      </c>
      <c r="EW284" s="107">
        <f t="shared" si="2622"/>
        <v>1.0082311468433849</v>
      </c>
      <c r="EX284" s="107">
        <f t="shared" si="2623"/>
        <v>1.5962269088918948</v>
      </c>
      <c r="EY284" s="107">
        <f t="shared" si="2586"/>
        <v>1.0894696633880858</v>
      </c>
      <c r="FA284" s="107">
        <f t="shared" si="2587"/>
        <v>1.9739205944635341</v>
      </c>
      <c r="FB284" s="107">
        <f t="shared" si="2624"/>
        <v>3.8645528115712136</v>
      </c>
      <c r="FC284" s="107">
        <f t="shared" si="2625"/>
        <v>1.0082311468433849</v>
      </c>
      <c r="FD284" s="107">
        <f t="shared" si="2626"/>
        <v>1.5962269088918948</v>
      </c>
      <c r="FE284" s="107">
        <f t="shared" si="2588"/>
        <v>1.1475164253777697</v>
      </c>
      <c r="FF284" s="141" t="str">
        <f t="shared" si="2589"/>
        <v>-</v>
      </c>
      <c r="FG284" s="107">
        <f t="shared" si="2590"/>
        <v>3.9284340452488706</v>
      </c>
      <c r="FH284" s="133">
        <f t="shared" si="2627"/>
        <v>3.8645528115712136</v>
      </c>
      <c r="FI284" s="133">
        <f t="shared" si="2628"/>
        <v>1.0165300454651272</v>
      </c>
      <c r="FJ284" s="107">
        <f t="shared" si="2629"/>
        <v>0.89762435525076267</v>
      </c>
      <c r="FK284" s="107">
        <f t="shared" si="2591"/>
        <v>1.1530550891391096</v>
      </c>
      <c r="FL284" s="141" t="str">
        <f t="shared" si="2592"/>
        <v>-</v>
      </c>
      <c r="FM284" s="107">
        <f t="shared" si="2593"/>
        <v>6.0299857554127474</v>
      </c>
      <c r="FN284" s="133">
        <f t="shared" si="2630"/>
        <v>3.8645528115712136</v>
      </c>
      <c r="FO284" s="133">
        <f t="shared" si="2631"/>
        <v>0.80190744824796056</v>
      </c>
      <c r="FP284" s="133">
        <f t="shared" si="2632"/>
        <v>1.8635254955935732</v>
      </c>
      <c r="FQ284" s="107">
        <f t="shared" si="2633"/>
        <v>1.5650845800732873</v>
      </c>
      <c r="FR284" s="107">
        <f t="shared" si="2594"/>
        <v>1.15202217633332</v>
      </c>
      <c r="FS284" s="141" t="str">
        <f t="shared" si="2595"/>
        <v>-</v>
      </c>
      <c r="FT284" s="107">
        <f t="shared" si="2596"/>
        <v>7.2016926934307826</v>
      </c>
      <c r="FU284" s="133">
        <f t="shared" si="2634"/>
        <v>3.8645528115712136</v>
      </c>
      <c r="FV284" s="133">
        <f t="shared" si="2635"/>
        <v>1.8635254955935732</v>
      </c>
      <c r="FW284" s="107">
        <f t="shared" si="2636"/>
        <v>1.5650845800732873</v>
      </c>
      <c r="FY284" s="336">
        <v>1</v>
      </c>
      <c r="FZ284" s="62">
        <f t="shared" si="2074"/>
        <v>1.1285561191384494</v>
      </c>
      <c r="GA284" s="62">
        <f t="shared" si="2075"/>
        <v>1.9815906667827816</v>
      </c>
      <c r="GB284" s="107">
        <f t="shared" si="1270"/>
        <v>1.7212428226472574</v>
      </c>
      <c r="GC284" s="440"/>
      <c r="GD284" s="17"/>
      <c r="GE284" s="442"/>
      <c r="GF284" s="462"/>
      <c r="GG284" s="17"/>
      <c r="GH284" s="17"/>
      <c r="GI284" s="17"/>
      <c r="GJ284" s="17"/>
      <c r="GL284" s="17"/>
      <c r="GM284" s="442"/>
      <c r="GN284" s="8"/>
      <c r="GO284" s="8"/>
      <c r="GP284" s="8"/>
      <c r="GQ284" s="8"/>
      <c r="GS284" s="17"/>
      <c r="GT284" s="17"/>
      <c r="GU284" s="17"/>
      <c r="GV284" s="629"/>
      <c r="GW284" s="17"/>
      <c r="GX284" s="17"/>
      <c r="GY284" s="17"/>
      <c r="GZ284" s="17"/>
    </row>
    <row r="285" spans="1:208" ht="15.6" x14ac:dyDescent="0.3">
      <c r="A285" s="52" t="s">
        <v>181</v>
      </c>
      <c r="B285" s="218">
        <f t="shared" si="10"/>
        <v>25.787401574803148</v>
      </c>
      <c r="C285" s="53" t="s">
        <v>38</v>
      </c>
      <c r="D285" s="53"/>
      <c r="E285" s="53"/>
      <c r="F285" s="53"/>
      <c r="G285" s="54"/>
      <c r="H285" s="112">
        <f>J286</f>
        <v>31</v>
      </c>
      <c r="I285" s="601">
        <f>H286/100</f>
        <v>1.2450000000000001</v>
      </c>
      <c r="J285" s="651" t="str">
        <f>IF(DC286=0,"-",DC286)</f>
        <v>-</v>
      </c>
      <c r="K285" s="123" t="str">
        <f>A285</f>
        <v>IF folkebåt</v>
      </c>
      <c r="L285" s="116"/>
      <c r="M285" s="116"/>
      <c r="N285" s="92"/>
      <c r="O285" s="165"/>
      <c r="P285" s="165"/>
      <c r="Q285" s="165">
        <v>15</v>
      </c>
      <c r="R285" s="165"/>
      <c r="S285" s="165"/>
      <c r="T285" s="165"/>
      <c r="U285" s="165">
        <v>12</v>
      </c>
      <c r="V285" s="559"/>
      <c r="W285" s="559"/>
      <c r="X285" s="165"/>
      <c r="Y285" s="165"/>
      <c r="Z285" s="165"/>
      <c r="AA285" s="165"/>
      <c r="AB285" s="165"/>
      <c r="AC285" s="165"/>
      <c r="AD285" s="165"/>
      <c r="AE285" s="165">
        <v>16</v>
      </c>
      <c r="AF285" s="165"/>
      <c r="AG285" s="552"/>
      <c r="AH285" s="244">
        <v>8.8000000000000007</v>
      </c>
      <c r="AI285" s="244">
        <v>8.8000000000000007</v>
      </c>
      <c r="AJ285" s="554"/>
      <c r="AK285" s="339"/>
      <c r="AL285" s="268"/>
      <c r="AM285" s="339"/>
      <c r="AN285" s="268" t="s">
        <v>222</v>
      </c>
      <c r="AO285" s="45">
        <f>VLOOKUP(AN285,Skrogform!$1:$1048576,3,FALSE)</f>
        <v>0.99</v>
      </c>
      <c r="AP285" s="55">
        <v>7.86</v>
      </c>
      <c r="AQ285" s="55">
        <v>6.06</v>
      </c>
      <c r="AR285" s="55">
        <v>2.25</v>
      </c>
      <c r="AS285" s="55">
        <v>1.25</v>
      </c>
      <c r="AT285" s="637">
        <f>AU285</f>
        <v>2.15</v>
      </c>
      <c r="AU285" s="55">
        <v>2.15</v>
      </c>
      <c r="AV285" s="55">
        <v>1.25</v>
      </c>
      <c r="AW285" s="55"/>
      <c r="AX285" s="253"/>
      <c r="AY285" s="253"/>
      <c r="AZ285" s="254">
        <f>AY285*7</f>
        <v>0</v>
      </c>
      <c r="BA285" s="253">
        <f>ROUND(Depl*10,-2)</f>
        <v>0</v>
      </c>
      <c r="BB285" s="253">
        <f>ROUND(Depl*10,-2)</f>
        <v>0</v>
      </c>
      <c r="BC285" s="244">
        <f>Depl+Diesel/1000*0.84+Vann/1000</f>
        <v>2.15</v>
      </c>
      <c r="BD285" s="95">
        <f>Bredde/(Loa+Lwl)*2</f>
        <v>0.32327586206896552</v>
      </c>
      <c r="BE285" s="95">
        <f>(Kjøl+Ballast)/Depl</f>
        <v>0.58139534883720934</v>
      </c>
      <c r="BF285" s="260">
        <f>BF$7*((Depl-Kjøl-Ballast-VektMotor/1000-VektAnnet/1000)/Lwl/Lwl/Bredde)</f>
        <v>0.41104972949694052</v>
      </c>
      <c r="BG285" s="95">
        <f>BG$7*(Depl/Loa/Lwl/Lwl)</f>
        <v>0.54813167649997563</v>
      </c>
      <c r="BH285" s="174">
        <f>BH$7*(Depl/Loa/Lwl/Bredde)</f>
        <v>0.54569166267771818</v>
      </c>
      <c r="BI285" s="95">
        <f>BI$7*Bredde/(Loa+Lwl)*2</f>
        <v>0.92220522803114569</v>
      </c>
      <c r="BJ285" s="95">
        <f>BJ$7*(Dypg/Lwl)</f>
        <v>1.1282106471516717</v>
      </c>
      <c r="BK285" s="56"/>
      <c r="BL285" s="268"/>
      <c r="BM285" s="268"/>
      <c r="BN285" s="45">
        <f t="shared" si="2579"/>
        <v>1</v>
      </c>
      <c r="BO285" s="36"/>
      <c r="BP285" s="59"/>
      <c r="BR285" s="209"/>
      <c r="BS285" s="209"/>
      <c r="BT285" s="209" t="str">
        <f>$A285</f>
        <v>IF folkebåt</v>
      </c>
      <c r="BU285" s="10"/>
      <c r="BV285" s="10"/>
      <c r="BW285" s="10"/>
      <c r="BX285" s="10"/>
      <c r="BY285" s="549"/>
      <c r="BZ285" s="10"/>
      <c r="CA285" s="10"/>
      <c r="CB285" s="209" t="str">
        <f>$A285</f>
        <v>IF folkebåt</v>
      </c>
      <c r="CC285" s="10"/>
      <c r="CD285" s="10"/>
      <c r="CE285" s="10"/>
      <c r="CF285" s="10"/>
      <c r="CG285" s="10"/>
      <c r="CH285" s="10"/>
      <c r="CI285" s="10"/>
      <c r="CJ285" s="10"/>
      <c r="CK285" s="10"/>
      <c r="CL285" s="209"/>
      <c r="CM285" s="10"/>
      <c r="CN285" s="209" t="str">
        <f>$A285</f>
        <v>IF folkebåt</v>
      </c>
      <c r="CO285" s="207"/>
      <c r="CP285" s="207"/>
      <c r="CQ285" s="116"/>
      <c r="CR285" s="207"/>
      <c r="CS285" s="203"/>
      <c r="CT285" s="203" t="s">
        <v>23</v>
      </c>
      <c r="CU285" s="107" t="str">
        <f t="shared" si="1267"/>
        <v>-</v>
      </c>
      <c r="CV285" s="62" t="str">
        <f t="shared" si="2119"/>
        <v>-</v>
      </c>
      <c r="CW285" s="62" t="str">
        <f t="shared" si="1268"/>
        <v>-</v>
      </c>
      <c r="CX285" s="62" t="str">
        <f t="shared" si="2120"/>
        <v>-</v>
      </c>
      <c r="CY285" s="107" t="str">
        <f t="shared" si="1269"/>
        <v>-</v>
      </c>
      <c r="CZ285" s="168" t="str">
        <f t="shared" si="2502"/>
        <v>-</v>
      </c>
      <c r="DA285" s="158"/>
      <c r="DB285" s="168" t="str">
        <f t="shared" si="2572"/>
        <v>-</v>
      </c>
      <c r="DC285" s="160"/>
      <c r="DD285" s="190" t="s">
        <v>134</v>
      </c>
      <c r="DE285" s="29" t="s">
        <v>23</v>
      </c>
      <c r="DF285" s="29" t="s">
        <v>23</v>
      </c>
      <c r="DG285" s="29" t="s">
        <v>23</v>
      </c>
      <c r="DH285" s="149">
        <v>2022</v>
      </c>
      <c r="DI285" s="62" t="str">
        <f t="shared" si="1299"/>
        <v>-</v>
      </c>
      <c r="DJ285" s="47">
        <f t="shared" si="1300"/>
        <v>13.426423200859293</v>
      </c>
      <c r="DK285" s="48">
        <f t="shared" si="2580"/>
        <v>0</v>
      </c>
      <c r="DM285" s="107" t="str">
        <f t="shared" si="2581"/>
        <v>-</v>
      </c>
      <c r="DN285" s="141" t="str">
        <f t="shared" si="2582"/>
        <v>-</v>
      </c>
      <c r="DO285" s="107">
        <f t="shared" si="2297"/>
        <v>5.7280783071647869</v>
      </c>
      <c r="DP285" s="133">
        <f t="shared" si="2605"/>
        <v>3.8645528115712136</v>
      </c>
      <c r="DQ285" s="133">
        <f t="shared" si="2606"/>
        <v>0</v>
      </c>
      <c r="DR285" s="133">
        <f t="shared" si="2607"/>
        <v>0</v>
      </c>
      <c r="DS285" s="133">
        <f t="shared" si="2608"/>
        <v>1.8635254955935732</v>
      </c>
      <c r="DT285" s="107">
        <f t="shared" si="2609"/>
        <v>1.5650845800732873</v>
      </c>
      <c r="DU285" s="133">
        <f t="shared" si="2610"/>
        <v>1.9815906667827816</v>
      </c>
      <c r="DW285" s="107" t="str">
        <f t="shared" si="247"/>
        <v>-</v>
      </c>
      <c r="DX285" s="107" t="str">
        <f t="shared" si="1301"/>
        <v>-</v>
      </c>
      <c r="DZ285" s="107" t="str">
        <f t="shared" si="1302"/>
        <v>-</v>
      </c>
      <c r="EA285" s="122" t="str">
        <f t="shared" si="2583"/>
        <v>-</v>
      </c>
      <c r="EB285" s="107" t="str">
        <f t="shared" si="2301"/>
        <v>-</v>
      </c>
      <c r="EC285" s="122" t="str">
        <f t="shared" si="2584"/>
        <v>-</v>
      </c>
      <c r="ED285" s="107">
        <f t="shared" si="2611"/>
        <v>3.8644765816997775</v>
      </c>
      <c r="EE285" s="107">
        <f t="shared" si="2612"/>
        <v>1.8170120679720481</v>
      </c>
      <c r="EF285" s="107">
        <f t="shared" si="2613"/>
        <v>1.5779670210741878</v>
      </c>
      <c r="EH285" s="107" t="str">
        <f t="shared" si="2303"/>
        <v>-</v>
      </c>
      <c r="EJ285" s="107">
        <f t="shared" si="2614"/>
        <v>3.8644765816997775</v>
      </c>
      <c r="EK285" s="107">
        <f t="shared" si="2615"/>
        <v>1.8171097400544527</v>
      </c>
      <c r="EL285" s="107">
        <f t="shared" si="2616"/>
        <v>1.8369788246696532</v>
      </c>
      <c r="EM285" s="107" t="str">
        <f t="shared" si="2304"/>
        <v>-</v>
      </c>
      <c r="EO285" s="107">
        <f t="shared" si="2617"/>
        <v>6.0980165996357583</v>
      </c>
      <c r="EP285" s="107">
        <f t="shared" si="2618"/>
        <v>3.8644765816997775</v>
      </c>
      <c r="EQ285" s="107">
        <f t="shared" si="2619"/>
        <v>1.5779670210741878</v>
      </c>
      <c r="ER285" s="107">
        <f t="shared" si="2620"/>
        <v>1.5650845800732873</v>
      </c>
      <c r="ES285" s="107" t="str">
        <f t="shared" si="2585"/>
        <v>-</v>
      </c>
      <c r="EU285" s="107">
        <f>IF(SeilBeregnet=0,EU284,(EV:EV*EW:EW)^EU$3)</f>
        <v>1.9739011261754147</v>
      </c>
      <c r="EV285" s="107">
        <f t="shared" si="2621"/>
        <v>3.8644765816997775</v>
      </c>
      <c r="EW285" s="107">
        <f t="shared" si="2622"/>
        <v>1.0082311468433849</v>
      </c>
      <c r="EX285" s="107">
        <f t="shared" si="2623"/>
        <v>1.5962269088918948</v>
      </c>
      <c r="EY285" s="107" t="str">
        <f t="shared" si="2586"/>
        <v>-</v>
      </c>
      <c r="FA285" s="107">
        <f t="shared" si="2587"/>
        <v>1.9739205944635341</v>
      </c>
      <c r="FB285" s="107">
        <f t="shared" si="2624"/>
        <v>3.8645528115712136</v>
      </c>
      <c r="FC285" s="107">
        <f t="shared" si="2625"/>
        <v>1.0082311468433849</v>
      </c>
      <c r="FD285" s="107">
        <f t="shared" si="2626"/>
        <v>1.5962269088918948</v>
      </c>
      <c r="FE285" s="107" t="str">
        <f t="shared" si="2588"/>
        <v>-</v>
      </c>
      <c r="FF285" s="141" t="str">
        <f t="shared" si="2589"/>
        <v>-</v>
      </c>
      <c r="FG285" s="107">
        <f t="shared" si="2590"/>
        <v>3.9284340452488706</v>
      </c>
      <c r="FH285" s="133">
        <f t="shared" si="2627"/>
        <v>3.8645528115712136</v>
      </c>
      <c r="FI285" s="133">
        <f t="shared" si="2628"/>
        <v>1.0165300454651272</v>
      </c>
      <c r="FJ285" s="107">
        <f t="shared" si="2629"/>
        <v>0.89762435525076267</v>
      </c>
      <c r="FK285" s="107" t="str">
        <f t="shared" si="2591"/>
        <v>-</v>
      </c>
      <c r="FL285" s="141" t="str">
        <f t="shared" si="2592"/>
        <v>-</v>
      </c>
      <c r="FM285" s="107">
        <f t="shared" si="2593"/>
        <v>6.0299857554127474</v>
      </c>
      <c r="FN285" s="133">
        <f t="shared" si="2630"/>
        <v>3.8645528115712136</v>
      </c>
      <c r="FO285" s="133">
        <f t="shared" si="2631"/>
        <v>0.80190744824796056</v>
      </c>
      <c r="FP285" s="133">
        <f t="shared" si="2632"/>
        <v>1.8635254955935732</v>
      </c>
      <c r="FQ285" s="107">
        <f t="shared" si="2633"/>
        <v>1.5650845800732873</v>
      </c>
      <c r="FR285" s="107" t="str">
        <f t="shared" si="2594"/>
        <v>-</v>
      </c>
      <c r="FS285" s="141" t="str">
        <f t="shared" si="2595"/>
        <v>-</v>
      </c>
      <c r="FT285" s="107">
        <f t="shared" si="2596"/>
        <v>7.2016926934307826</v>
      </c>
      <c r="FU285" s="133">
        <f t="shared" si="2634"/>
        <v>3.8645528115712136</v>
      </c>
      <c r="FV285" s="133">
        <f t="shared" si="2635"/>
        <v>1.8635254955935732</v>
      </c>
      <c r="FW285" s="107">
        <f t="shared" si="2636"/>
        <v>1.5650845800732873</v>
      </c>
      <c r="FY285" s="336">
        <v>1</v>
      </c>
      <c r="FZ285" s="62" t="str">
        <f t="shared" si="2074"/>
        <v>-</v>
      </c>
      <c r="GA285" s="62">
        <f t="shared" si="2075"/>
        <v>1.9939475850709263</v>
      </c>
      <c r="GB285" s="107" t="str">
        <f t="shared" si="1270"/>
        <v>-</v>
      </c>
      <c r="GC285" s="441"/>
      <c r="GD285" s="57"/>
      <c r="GE285" s="436"/>
      <c r="GF285" s="75"/>
      <c r="GG285" s="57"/>
      <c r="GH285" s="57"/>
      <c r="GI285" s="57"/>
      <c r="GJ285" s="57"/>
      <c r="GL285" s="57" t="s">
        <v>478</v>
      </c>
      <c r="GM285" s="436" t="s">
        <v>478</v>
      </c>
      <c r="GN285" s="58" t="s">
        <v>478</v>
      </c>
      <c r="GO285" s="58" t="s">
        <v>478</v>
      </c>
      <c r="GP285" s="58" t="s">
        <v>478</v>
      </c>
      <c r="GQ285" s="58" t="s">
        <v>478</v>
      </c>
      <c r="GS285" s="57"/>
      <c r="GT285" s="57"/>
      <c r="GU285" s="57"/>
      <c r="GV285" s="632"/>
      <c r="GW285" s="57"/>
      <c r="GX285" s="57"/>
      <c r="GY285" s="57"/>
      <c r="GZ285" s="57"/>
    </row>
    <row r="286" spans="1:208" ht="15.6" x14ac:dyDescent="0.3">
      <c r="A286" s="60" t="s">
        <v>68</v>
      </c>
      <c r="B286" s="218"/>
      <c r="C286" s="61" t="str">
        <f>C285</f>
        <v>Bermuda</v>
      </c>
      <c r="D286" s="61"/>
      <c r="E286" s="61"/>
      <c r="F286" s="61"/>
      <c r="G286" s="54"/>
      <c r="H286" s="204">
        <f>IF(StH=0,0,TBFavrundet)</f>
        <v>124.50000000000001</v>
      </c>
      <c r="I286" s="63">
        <f>COUNTA(O286:AG286)</f>
        <v>2</v>
      </c>
      <c r="J286" s="222">
        <f>SUM(O286:AG286)</f>
        <v>31</v>
      </c>
      <c r="K286" s="116">
        <f>Seilareal/Depl^0.667/K$7</f>
        <v>1.7241728794892186</v>
      </c>
      <c r="L286" s="116">
        <f>Seilareal/Lwl/Lwl/L$7</f>
        <v>1.2808356863519241</v>
      </c>
      <c r="M286" s="92">
        <f>RiggF</f>
        <v>0.97419354838709671</v>
      </c>
      <c r="N286" s="242">
        <f>StHfaktor</f>
        <v>1.0477345273113947</v>
      </c>
      <c r="O286" s="143"/>
      <c r="P286" s="143"/>
      <c r="Q286" s="165">
        <v>15</v>
      </c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65">
        <v>16</v>
      </c>
      <c r="AF286" s="143"/>
      <c r="AG286" s="551"/>
      <c r="AH286" s="557">
        <f>AH285</f>
        <v>8.8000000000000007</v>
      </c>
      <c r="AI286" s="557">
        <f>AI285</f>
        <v>8.8000000000000007</v>
      </c>
      <c r="AJ286" s="337">
        <f t="shared" ref="AJ286:AL287" si="2639" xml:space="preserve"> AJ285</f>
        <v>0</v>
      </c>
      <c r="AK286" s="339"/>
      <c r="AL286" s="337">
        <f t="shared" si="2639"/>
        <v>0</v>
      </c>
      <c r="AM286" s="339"/>
      <c r="AN286" s="267" t="str">
        <f xml:space="preserve"> AN285</f>
        <v>Folk</v>
      </c>
      <c r="AO286" s="45">
        <f>VLOOKUP(AN286,Skrogform!$1:$1048576,3,FALSE)</f>
        <v>0.99</v>
      </c>
      <c r="AP286" s="64">
        <f t="shared" ref="AP286:AZ287" si="2640">AP285</f>
        <v>7.86</v>
      </c>
      <c r="AQ286" s="64">
        <f t="shared" si="2640"/>
        <v>6.06</v>
      </c>
      <c r="AR286" s="64">
        <f t="shared" si="2640"/>
        <v>2.25</v>
      </c>
      <c r="AS286" s="64">
        <f t="shared" si="2640"/>
        <v>1.25</v>
      </c>
      <c r="AT286" s="64">
        <f t="shared" ref="AT286" si="2641">AT285</f>
        <v>2.15</v>
      </c>
      <c r="AU286" s="64">
        <f t="shared" si="2640"/>
        <v>2.15</v>
      </c>
      <c r="AV286" s="64">
        <f t="shared" si="2640"/>
        <v>1.25</v>
      </c>
      <c r="AW286" s="64">
        <f t="shared" si="2640"/>
        <v>0</v>
      </c>
      <c r="AX286" s="256">
        <f>AX285</f>
        <v>0</v>
      </c>
      <c r="AY286" s="256">
        <f t="shared" si="2640"/>
        <v>0</v>
      </c>
      <c r="AZ286" s="256">
        <f t="shared" si="2640"/>
        <v>0</v>
      </c>
      <c r="BA286" s="256">
        <f t="shared" ref="BA286:BB287" si="2642">BA285</f>
        <v>0</v>
      </c>
      <c r="BB286" s="256">
        <f t="shared" si="2642"/>
        <v>0</v>
      </c>
      <c r="BC286" s="256"/>
      <c r="BD286" s="66"/>
      <c r="BE286" s="66"/>
      <c r="BF286" s="261"/>
      <c r="BG286" s="66"/>
      <c r="BH286" s="175"/>
      <c r="BI286" s="66"/>
      <c r="BJ286" s="66"/>
      <c r="BK286" s="65">
        <f t="shared" ref="BK286:BM287" si="2643" xml:space="preserve"> BK285</f>
        <v>0</v>
      </c>
      <c r="BL286" s="267">
        <f t="shared" si="2643"/>
        <v>0</v>
      </c>
      <c r="BM286" s="267">
        <f t="shared" si="2643"/>
        <v>0</v>
      </c>
      <c r="BN286" s="45">
        <f t="shared" si="2579"/>
        <v>1</v>
      </c>
      <c r="BO286" s="59">
        <f>BO285</f>
        <v>0</v>
      </c>
      <c r="BP286" s="59"/>
      <c r="BR286" s="49">
        <f t="shared" ref="BR286:BX287" si="2644">IF(O286=0,0,O286*BR$9)</f>
        <v>0</v>
      </c>
      <c r="BS286" s="49">
        <f t="shared" si="2644"/>
        <v>0</v>
      </c>
      <c r="BT286" s="49">
        <f t="shared" si="2644"/>
        <v>15</v>
      </c>
      <c r="BU286" s="49">
        <f t="shared" si="2644"/>
        <v>0</v>
      </c>
      <c r="BV286" s="49">
        <f t="shared" si="2644"/>
        <v>0</v>
      </c>
      <c r="BW286" s="49">
        <f t="shared" si="2644"/>
        <v>0</v>
      </c>
      <c r="BX286" s="49">
        <f t="shared" si="2644"/>
        <v>0</v>
      </c>
      <c r="BY286" s="549">
        <f>IF(COUNT(Q286:U286)&gt;1,MINA(Q286:U286)*BY$9,0)</f>
        <v>0</v>
      </c>
      <c r="BZ286" s="85">
        <f t="shared" ref="BZ286:CD287" si="2645">IF(V286=0,0,V286*BZ$9)</f>
        <v>0</v>
      </c>
      <c r="CA286" s="85">
        <f t="shared" si="2645"/>
        <v>0</v>
      </c>
      <c r="CB286" s="85">
        <f t="shared" si="2645"/>
        <v>0</v>
      </c>
      <c r="CC286" s="85">
        <f t="shared" si="2645"/>
        <v>0</v>
      </c>
      <c r="CD286" s="85">
        <f t="shared" si="2645"/>
        <v>0</v>
      </c>
      <c r="CE286" s="85">
        <f>IF(AC286=0,0,AC286*CE$9)</f>
        <v>0</v>
      </c>
      <c r="CF286" s="85">
        <f>IF(AA286=0,0,AA286*CF$9)</f>
        <v>0</v>
      </c>
      <c r="CG286" s="85">
        <f>IF(AB286=0,0,AB286*CG$9)</f>
        <v>0</v>
      </c>
      <c r="CH286" s="85">
        <f t="shared" ref="CH286:CK287" si="2646">IF(AD286=0,0,AD286*CH$9)</f>
        <v>0</v>
      </c>
      <c r="CI286" s="85">
        <f t="shared" si="2646"/>
        <v>15.2</v>
      </c>
      <c r="CJ286" s="85">
        <f t="shared" si="2646"/>
        <v>0</v>
      </c>
      <c r="CK286" s="85">
        <f t="shared" si="2646"/>
        <v>0</v>
      </c>
      <c r="CL286" s="100">
        <f>SUM(BR286:CK286)</f>
        <v>30.2</v>
      </c>
      <c r="CM286" s="50"/>
      <c r="CN286" s="104">
        <f>J286</f>
        <v>31</v>
      </c>
      <c r="CO286" s="101">
        <f>CL286/CN286</f>
        <v>0.97419354838709671</v>
      </c>
      <c r="CP286" s="51">
        <f>Seilareal/Lwl/Lwl</f>
        <v>0.84414382032262647</v>
      </c>
      <c r="CQ286" s="116">
        <f>Seilareal/Depl^0.667/K$7</f>
        <v>1.7241728794892186</v>
      </c>
      <c r="CR286" s="51">
        <f>Seilareal/Lwl/Lwl/SApRS1</f>
        <v>1.2808356863519241</v>
      </c>
      <c r="CS286" s="204"/>
      <c r="CT286" s="204">
        <f>(ROUND(TBF/CT$6,3)*CT$6)*CT$4</f>
        <v>124.50000000000001</v>
      </c>
      <c r="CU286" s="107">
        <f t="shared" si="1267"/>
        <v>1.2438415614397265</v>
      </c>
      <c r="CV286" s="62">
        <f t="shared" si="2119"/>
        <v>4.3307731947081649</v>
      </c>
      <c r="CW286" s="62">
        <f t="shared" si="1268"/>
        <v>1.7587874611030558</v>
      </c>
      <c r="CX286" s="62">
        <f t="shared" si="2120"/>
        <v>1.5689827038620388</v>
      </c>
      <c r="CY286" s="107">
        <f t="shared" si="1269"/>
        <v>1.0477345273113947</v>
      </c>
      <c r="CZ286" s="168" t="str">
        <f t="shared" si="2502"/>
        <v>-</v>
      </c>
      <c r="DA286" s="159"/>
      <c r="DB286" s="168" t="str">
        <f t="shared" si="2572"/>
        <v>-</v>
      </c>
      <c r="DC286" s="159"/>
      <c r="DD286" s="190" t="s">
        <v>134</v>
      </c>
      <c r="DE286" s="62">
        <v>0.89</v>
      </c>
      <c r="DF286" s="62">
        <v>0.89</v>
      </c>
      <c r="DG286" s="62">
        <v>0.97</v>
      </c>
      <c r="DH286" s="150">
        <v>1.02</v>
      </c>
      <c r="DI286" s="62">
        <f t="shared" si="1299"/>
        <v>2.1781374869645882</v>
      </c>
      <c r="DJ286" s="47">
        <f t="shared" si="1300"/>
        <v>13.426423200859293</v>
      </c>
      <c r="DK286" s="48">
        <f t="shared" si="2580"/>
        <v>0</v>
      </c>
      <c r="DM286" s="136">
        <f t="shared" si="2581"/>
        <v>1.1920329551796984</v>
      </c>
      <c r="DN286" s="141">
        <f t="shared" si="2582"/>
        <v>-6.4372662436186889</v>
      </c>
      <c r="DO286" s="107">
        <f t="shared" si="2297"/>
        <v>6.1270076271216531</v>
      </c>
      <c r="DP286" s="133">
        <f t="shared" si="2605"/>
        <v>4.2579615246048279</v>
      </c>
      <c r="DQ286" s="133">
        <f t="shared" si="2606"/>
        <v>0</v>
      </c>
      <c r="DR286" s="133">
        <f t="shared" si="2607"/>
        <v>0</v>
      </c>
      <c r="DS286" s="133">
        <f t="shared" si="2608"/>
        <v>1.869046102516825</v>
      </c>
      <c r="DT286" s="107">
        <f t="shared" si="2609"/>
        <v>1.5689827038620388</v>
      </c>
      <c r="DU286" s="133">
        <f t="shared" si="2610"/>
        <v>1.9939475850709263</v>
      </c>
      <c r="DW286" s="72">
        <f t="shared" si="247"/>
        <v>1.2564056176158853</v>
      </c>
      <c r="DX286" s="107">
        <f t="shared" si="1301"/>
        <v>1.1442285727425203</v>
      </c>
      <c r="DY286" s="122">
        <f>DX286-DW286</f>
        <v>-0.11217704487336499</v>
      </c>
      <c r="DZ286" s="107">
        <f t="shared" si="1302"/>
        <v>1.1269480691636584</v>
      </c>
      <c r="EA286" s="122">
        <f t="shared" si="2583"/>
        <v>-0.1294575484522269</v>
      </c>
      <c r="EB286" s="107">
        <f t="shared" si="2301"/>
        <v>1.2316583061794437</v>
      </c>
      <c r="EC286" s="122">
        <f t="shared" si="2584"/>
        <v>-2.4747311436441599E-2</v>
      </c>
      <c r="ED286" s="107">
        <f t="shared" si="2611"/>
        <v>4.2578637457489252</v>
      </c>
      <c r="EE286" s="107">
        <f t="shared" si="2612"/>
        <v>1.8230480925967594</v>
      </c>
      <c r="EF286" s="107">
        <f t="shared" si="2613"/>
        <v>1.577117966679628</v>
      </c>
      <c r="EH286" s="107">
        <f t="shared" si="2303"/>
        <v>1.2194872837794093</v>
      </c>
      <c r="EJ286" s="107">
        <f t="shared" si="2614"/>
        <v>4.2578637457489252</v>
      </c>
      <c r="EK286" s="107">
        <f t="shared" si="2615"/>
        <v>1.8231466333682971</v>
      </c>
      <c r="EL286" s="107">
        <f t="shared" si="2616"/>
        <v>1.8356611806071987</v>
      </c>
      <c r="EM286" s="107">
        <f t="shared" si="2304"/>
        <v>1.2187730173646019</v>
      </c>
      <c r="EO286" s="107">
        <f t="shared" si="2617"/>
        <v>6.7151534130944492</v>
      </c>
      <c r="EP286" s="107">
        <f t="shared" si="2618"/>
        <v>4.2578637457489252</v>
      </c>
      <c r="EQ286" s="107">
        <f t="shared" si="2619"/>
        <v>1.577117966679628</v>
      </c>
      <c r="ER286" s="107">
        <f t="shared" si="2620"/>
        <v>1.5689827038620388</v>
      </c>
      <c r="ES286" s="107">
        <f t="shared" si="2585"/>
        <v>1.2118791559885407</v>
      </c>
      <c r="EU286" s="107">
        <f>IF(SeilBeregnet=0,EU285,(EV:EV*EW:EW)^EU$3)</f>
        <v>2.0713765875022627</v>
      </c>
      <c r="EV286" s="107">
        <f t="shared" si="2621"/>
        <v>4.2578637457489252</v>
      </c>
      <c r="EW286" s="107">
        <f t="shared" si="2622"/>
        <v>1.0076886493928507</v>
      </c>
      <c r="EX286" s="107">
        <f t="shared" si="2623"/>
        <v>1.6028245430280339</v>
      </c>
      <c r="EY286" s="107">
        <f t="shared" si="2586"/>
        <v>1.1163856704454123</v>
      </c>
      <c r="FA286" s="107">
        <f t="shared" si="2587"/>
        <v>2.0714003712213058</v>
      </c>
      <c r="FB286" s="107">
        <f t="shared" si="2624"/>
        <v>4.2579615246048279</v>
      </c>
      <c r="FC286" s="107">
        <f t="shared" si="2625"/>
        <v>1.0076886493928507</v>
      </c>
      <c r="FD286" s="107">
        <f t="shared" si="2626"/>
        <v>1.6028245430280339</v>
      </c>
      <c r="FE286" s="107">
        <f t="shared" si="2588"/>
        <v>1.1969494078888405</v>
      </c>
      <c r="FF286" s="141">
        <f t="shared" si="2589"/>
        <v>-5.9456209727044795</v>
      </c>
      <c r="FG286" s="107">
        <f t="shared" si="2590"/>
        <v>4.3236891819851637</v>
      </c>
      <c r="FH286" s="133">
        <f t="shared" si="2627"/>
        <v>4.2579615246048279</v>
      </c>
      <c r="FI286" s="133">
        <f t="shared" si="2628"/>
        <v>1.0154364141151877</v>
      </c>
      <c r="FJ286" s="107">
        <f t="shared" si="2629"/>
        <v>0.90133447757400031</v>
      </c>
      <c r="FK286" s="107">
        <f t="shared" si="2591"/>
        <v>1.2199278458819276</v>
      </c>
      <c r="FL286" s="141">
        <f t="shared" si="2592"/>
        <v>-3.647777173395772</v>
      </c>
      <c r="FM286" s="107">
        <f t="shared" si="2593"/>
        <v>6.5338480009852891</v>
      </c>
      <c r="FN286" s="133">
        <f t="shared" si="2630"/>
        <v>4.2579615246048279</v>
      </c>
      <c r="FO286" s="133">
        <f t="shared" si="2631"/>
        <v>0.90684037386363614</v>
      </c>
      <c r="FP286" s="133">
        <f t="shared" si="2632"/>
        <v>1.869046102516825</v>
      </c>
      <c r="FQ286" s="107">
        <f t="shared" si="2633"/>
        <v>1.5689827038620388</v>
      </c>
      <c r="FR286" s="107">
        <f t="shared" si="2594"/>
        <v>1.2007940656988563</v>
      </c>
      <c r="FS286" s="141">
        <f t="shared" si="2595"/>
        <v>-5.5611551917029045</v>
      </c>
      <c r="FT286" s="107">
        <f t="shared" si="2596"/>
        <v>7.9583263922292513</v>
      </c>
      <c r="FU286" s="133">
        <f t="shared" si="2634"/>
        <v>4.2579615246048279</v>
      </c>
      <c r="FV286" s="133">
        <f t="shared" si="2635"/>
        <v>1.869046102516825</v>
      </c>
      <c r="FW286" s="107">
        <f t="shared" si="2636"/>
        <v>1.5689827038620388</v>
      </c>
      <c r="FY286" s="336">
        <v>1</v>
      </c>
      <c r="FZ286" s="62">
        <f t="shared" si="2074"/>
        <v>1.1917189587231922</v>
      </c>
      <c r="GA286" s="62">
        <f t="shared" si="2075"/>
        <v>1.9939475850709263</v>
      </c>
      <c r="GB286" s="107">
        <f t="shared" si="1270"/>
        <v>1.7227445988273973</v>
      </c>
      <c r="GC286" s="440"/>
      <c r="GD286" s="17"/>
      <c r="GE286" s="442"/>
      <c r="GF286" s="462"/>
      <c r="GG286" s="17"/>
      <c r="GH286" s="17"/>
      <c r="GI286" s="17"/>
      <c r="GJ286" s="17"/>
      <c r="GL286" s="17"/>
      <c r="GM286" s="442"/>
      <c r="GN286" s="8"/>
      <c r="GO286" s="8"/>
      <c r="GP286" s="8"/>
      <c r="GQ286" s="8"/>
      <c r="GS286" s="17"/>
      <c r="GT286" s="17"/>
      <c r="GU286" s="17"/>
      <c r="GV286" s="629"/>
      <c r="GW286" s="17"/>
      <c r="GX286" s="17"/>
      <c r="GY286" s="17"/>
      <c r="GZ286" s="17"/>
    </row>
    <row r="287" spans="1:208" ht="15.6" x14ac:dyDescent="0.3">
      <c r="A287" s="60" t="s">
        <v>33</v>
      </c>
      <c r="B287" s="218"/>
      <c r="C287" s="61" t="str">
        <f>C286</f>
        <v>Bermuda</v>
      </c>
      <c r="D287" s="61"/>
      <c r="E287" s="61"/>
      <c r="F287" s="61"/>
      <c r="G287" s="54"/>
      <c r="H287" s="204">
        <f>TBFavrundet</f>
        <v>120</v>
      </c>
      <c r="I287" s="63">
        <f>COUNTA(O287:AG287)</f>
        <v>2</v>
      </c>
      <c r="J287" s="222">
        <f>SUM(O287:AG287)</f>
        <v>28</v>
      </c>
      <c r="K287" s="116">
        <f>Seilareal/Depl^0.667/K$7</f>
        <v>1.5573174395386491</v>
      </c>
      <c r="L287" s="116">
        <f>Seilareal/Lwl/Lwl/L$7</f>
        <v>1.1568838457372217</v>
      </c>
      <c r="M287" s="92">
        <f>RiggF</f>
        <v>0.97142857142857142</v>
      </c>
      <c r="N287" s="242">
        <f>StHfaktor</f>
        <v>1.0477345273113947</v>
      </c>
      <c r="O287" s="143"/>
      <c r="P287" s="143"/>
      <c r="Q287" s="143"/>
      <c r="R287" s="143"/>
      <c r="S287" s="143"/>
      <c r="T287" s="143"/>
      <c r="U287" s="165">
        <v>12</v>
      </c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65">
        <v>16</v>
      </c>
      <c r="AF287" s="143"/>
      <c r="AG287" s="551"/>
      <c r="AH287" s="557">
        <f>AH286</f>
        <v>8.8000000000000007</v>
      </c>
      <c r="AI287" s="557">
        <f>AI286</f>
        <v>8.8000000000000007</v>
      </c>
      <c r="AJ287" s="337">
        <f t="shared" si="2639"/>
        <v>0</v>
      </c>
      <c r="AK287" s="339"/>
      <c r="AL287" s="337">
        <f t="shared" si="2639"/>
        <v>0</v>
      </c>
      <c r="AM287" s="339"/>
      <c r="AN287" s="267" t="str">
        <f xml:space="preserve"> AN286</f>
        <v>Folk</v>
      </c>
      <c r="AO287" s="45">
        <f>VLOOKUP(AN287,Skrogform!$1:$1048576,3,FALSE)</f>
        <v>0.99</v>
      </c>
      <c r="AP287" s="64">
        <f t="shared" si="2640"/>
        <v>7.86</v>
      </c>
      <c r="AQ287" s="64">
        <f t="shared" si="2640"/>
        <v>6.06</v>
      </c>
      <c r="AR287" s="64">
        <f t="shared" si="2640"/>
        <v>2.25</v>
      </c>
      <c r="AS287" s="64">
        <f t="shared" si="2640"/>
        <v>1.25</v>
      </c>
      <c r="AT287" s="64">
        <f t="shared" ref="AT287" si="2647">AT286</f>
        <v>2.15</v>
      </c>
      <c r="AU287" s="64">
        <f t="shared" si="2640"/>
        <v>2.15</v>
      </c>
      <c r="AV287" s="64">
        <f t="shared" si="2640"/>
        <v>1.25</v>
      </c>
      <c r="AW287" s="64">
        <f t="shared" si="2640"/>
        <v>0</v>
      </c>
      <c r="AX287" s="256">
        <f>AX286</f>
        <v>0</v>
      </c>
      <c r="AY287" s="256">
        <f t="shared" si="2640"/>
        <v>0</v>
      </c>
      <c r="AZ287" s="256">
        <f t="shared" si="2640"/>
        <v>0</v>
      </c>
      <c r="BA287" s="256">
        <f t="shared" si="2642"/>
        <v>0</v>
      </c>
      <c r="BB287" s="256">
        <f t="shared" si="2642"/>
        <v>0</v>
      </c>
      <c r="BC287" s="256"/>
      <c r="BD287" s="66"/>
      <c r="BE287" s="66"/>
      <c r="BF287" s="261"/>
      <c r="BG287" s="66"/>
      <c r="BH287" s="175"/>
      <c r="BI287" s="66"/>
      <c r="BJ287" s="66"/>
      <c r="BK287" s="65">
        <f t="shared" si="2643"/>
        <v>0</v>
      </c>
      <c r="BL287" s="267">
        <f t="shared" si="2643"/>
        <v>0</v>
      </c>
      <c r="BM287" s="267">
        <f t="shared" si="2643"/>
        <v>0</v>
      </c>
      <c r="BN287" s="45">
        <f t="shared" si="2579"/>
        <v>1</v>
      </c>
      <c r="BO287" s="59">
        <f>BO286</f>
        <v>0</v>
      </c>
      <c r="BP287" s="59"/>
      <c r="BR287" s="49">
        <f t="shared" si="2644"/>
        <v>0</v>
      </c>
      <c r="BS287" s="49">
        <f t="shared" si="2644"/>
        <v>0</v>
      </c>
      <c r="BT287" s="49">
        <f t="shared" si="2644"/>
        <v>0</v>
      </c>
      <c r="BU287" s="49">
        <f t="shared" si="2644"/>
        <v>0</v>
      </c>
      <c r="BV287" s="49">
        <f t="shared" si="2644"/>
        <v>0</v>
      </c>
      <c r="BW287" s="49">
        <f t="shared" si="2644"/>
        <v>0</v>
      </c>
      <c r="BX287" s="49">
        <f t="shared" si="2644"/>
        <v>12</v>
      </c>
      <c r="BY287" s="549">
        <f>IF(COUNT(Q287:U287)&gt;1,MINA(Q287:U287)*BY$9,0)</f>
        <v>0</v>
      </c>
      <c r="BZ287" s="85">
        <f t="shared" si="2645"/>
        <v>0</v>
      </c>
      <c r="CA287" s="85">
        <f t="shared" si="2645"/>
        <v>0</v>
      </c>
      <c r="CB287" s="85">
        <f t="shared" si="2645"/>
        <v>0</v>
      </c>
      <c r="CC287" s="85">
        <f t="shared" si="2645"/>
        <v>0</v>
      </c>
      <c r="CD287" s="85">
        <f t="shared" si="2645"/>
        <v>0</v>
      </c>
      <c r="CE287" s="85">
        <f>IF(AC287=0,0,AC287*CE$9)</f>
        <v>0</v>
      </c>
      <c r="CF287" s="85">
        <f>IF(AA287=0,0,AA287*CF$9)</f>
        <v>0</v>
      </c>
      <c r="CG287" s="85">
        <f>IF(AB287=0,0,AB287*CG$9)</f>
        <v>0</v>
      </c>
      <c r="CH287" s="85">
        <f t="shared" si="2646"/>
        <v>0</v>
      </c>
      <c r="CI287" s="85">
        <f t="shared" si="2646"/>
        <v>15.2</v>
      </c>
      <c r="CJ287" s="85">
        <f t="shared" si="2646"/>
        <v>0</v>
      </c>
      <c r="CK287" s="85">
        <f t="shared" si="2646"/>
        <v>0</v>
      </c>
      <c r="CL287" s="100">
        <f>SUM(BR287:CK287)</f>
        <v>27.2</v>
      </c>
      <c r="CM287" s="50"/>
      <c r="CN287" s="104">
        <f>J287</f>
        <v>28</v>
      </c>
      <c r="CO287" s="101">
        <f>CL287/CN287</f>
        <v>0.97142857142857142</v>
      </c>
      <c r="CP287" s="51">
        <f>Seilareal/Lwl/Lwl</f>
        <v>0.76245248287204959</v>
      </c>
      <c r="CQ287" s="116">
        <f>Seilareal/Depl^0.667/K$7</f>
        <v>1.5573174395386491</v>
      </c>
      <c r="CR287" s="51">
        <f>Seilareal/Lwl/Lwl/SApRS1</f>
        <v>1.1568838457372217</v>
      </c>
      <c r="CS287" s="204"/>
      <c r="CT287" s="204">
        <f>(ROUND(TBF/CT$6,3)*CT$6)*CT$4</f>
        <v>120</v>
      </c>
      <c r="CU287" s="107">
        <f t="shared" si="1267"/>
        <v>1.1987557567590295</v>
      </c>
      <c r="CV287" s="62">
        <f t="shared" si="2119"/>
        <v>4.1100435207444077</v>
      </c>
      <c r="CW287" s="62">
        <f t="shared" si="1268"/>
        <v>1.7587874611030558</v>
      </c>
      <c r="CX287" s="62">
        <f t="shared" si="2120"/>
        <v>1.5689827038620388</v>
      </c>
      <c r="CY287" s="107">
        <f t="shared" si="1269"/>
        <v>1.0477345273113947</v>
      </c>
      <c r="CZ287" s="168" t="str">
        <f t="shared" ref="CZ287" si="2648">IF(DA287=0,"-",IF(CP287="TBF","-",CZ$7*DA287))</f>
        <v>-</v>
      </c>
      <c r="DA287" s="159"/>
      <c r="DB287" s="168" t="str">
        <f t="shared" ref="DB287" si="2649">IF(DC287=0,"-",IF(CT287="TBF","-",DB$7*DC287))</f>
        <v>-</v>
      </c>
      <c r="DC287" s="159"/>
      <c r="DD287" s="190" t="s">
        <v>134</v>
      </c>
      <c r="DE287" s="62">
        <v>0.89</v>
      </c>
      <c r="DF287" s="62">
        <v>0.89</v>
      </c>
      <c r="DG287" s="62">
        <v>0.97</v>
      </c>
      <c r="DH287" s="150">
        <v>1.02</v>
      </c>
      <c r="DI287" s="62">
        <f t="shared" si="1299"/>
        <v>2.1781374869645882</v>
      </c>
      <c r="DJ287" s="47">
        <f t="shared" si="1300"/>
        <v>13.426423200859293</v>
      </c>
      <c r="DK287" s="48">
        <f t="shared" ref="DK287" si="2650">DJ$7*IF(DJ287&lt;DJ$5,-0.04,IF(DJ287&lt;DJ$5*1.1,-0.03,IF(DJ287&lt;DJ$5*1.2,-0.02,IF(DJ287&lt;DJ$5*1.3,-0.01,0))))</f>
        <v>0</v>
      </c>
      <c r="DM287" s="136">
        <f t="shared" si="2581"/>
        <v>1.1498111443369616</v>
      </c>
      <c r="DN287" s="141">
        <f t="shared" ref="DN287" si="2651">IF($DY287=0,"-",(DM287-$DW287)*100)</f>
        <v>-6.1053256429734803</v>
      </c>
      <c r="DO287" s="107">
        <f t="shared" ref="DO287" si="2652">SUM(DP287:DS287)^DO$3+DO$7</f>
        <v>5.9099889986179317</v>
      </c>
      <c r="DP287" s="133">
        <f t="shared" si="2605"/>
        <v>4.0409428961011065</v>
      </c>
      <c r="DQ287" s="133">
        <f t="shared" si="2606"/>
        <v>0</v>
      </c>
      <c r="DR287" s="133">
        <f t="shared" si="2607"/>
        <v>0</v>
      </c>
      <c r="DS287" s="133">
        <f t="shared" si="2608"/>
        <v>1.869046102516825</v>
      </c>
      <c r="DT287" s="107">
        <f t="shared" si="2609"/>
        <v>1.5689827038620388</v>
      </c>
      <c r="DU287" s="133">
        <f t="shared" si="2610"/>
        <v>1.9939475850709263</v>
      </c>
      <c r="DW287" s="72">
        <f t="shared" si="247"/>
        <v>1.2108644007666964</v>
      </c>
      <c r="DX287" s="107">
        <f t="shared" si="1301"/>
        <v>1.0983593567008576</v>
      </c>
      <c r="DY287" s="122">
        <f>DX287-DW287</f>
        <v>-0.11250504406583883</v>
      </c>
      <c r="DZ287" s="107">
        <f t="shared" si="1302"/>
        <v>1.0905869467996712</v>
      </c>
      <c r="EA287" s="122">
        <f t="shared" ref="EA287" si="2653">IF($DY287=0,"-",DZ287-$DW287)</f>
        <v>-0.12027745396702527</v>
      </c>
      <c r="EB287" s="107">
        <f t="shared" ref="EB287" si="2654">IF(SeilBeregnet=0,"-",EB$7*(EB$4*ED287*EE287*EF287*PropF+EB$6)+ErfaringsF+Dyp_F)</f>
        <v>1.1831486415785659</v>
      </c>
      <c r="EC287" s="122">
        <f t="shared" ref="EC287" si="2655">IF($DY287=0,"-",EB287-$DW287)</f>
        <v>-2.7715759188130518E-2</v>
      </c>
      <c r="ED287" s="107">
        <f t="shared" si="2611"/>
        <v>4.0408501008114204</v>
      </c>
      <c r="EE287" s="107">
        <f t="shared" si="2612"/>
        <v>1.8230480925967594</v>
      </c>
      <c r="EF287" s="107">
        <f t="shared" si="2613"/>
        <v>1.577117966679628</v>
      </c>
      <c r="EH287" s="107">
        <f t="shared" ref="EH287" si="2656">IF(SeilBeregnet=0,"-",EH$7*(EH$4*EJ287*EK287*EL287*PropF+EH$6)+ErfaringsF+Dyp_F)</f>
        <v>1.1757492018735189</v>
      </c>
      <c r="EJ287" s="107">
        <f t="shared" si="2614"/>
        <v>4.0408501008114204</v>
      </c>
      <c r="EK287" s="107">
        <f t="shared" si="2615"/>
        <v>1.8231466333682971</v>
      </c>
      <c r="EL287" s="107">
        <f t="shared" si="2616"/>
        <v>1.8356611806071987</v>
      </c>
      <c r="EM287" s="107">
        <f t="shared" ref="EM287" si="2657">IF(SeilBeregnet=0,"-",EM$7*(EM$4*EO287+EM$6)*ER287*PropF+ErfaringsF+Dyp_F)</f>
        <v>1.1709101166883304</v>
      </c>
      <c r="EO287" s="107">
        <f t="shared" ref="EO287" si="2658">IF(SeilBeregnet=0,EO286,(EP287*EQ287)^EO$3)</f>
        <v>6.3728972946488769</v>
      </c>
      <c r="EP287" s="107">
        <f t="shared" si="2618"/>
        <v>4.0408501008114204</v>
      </c>
      <c r="EQ287" s="107">
        <f t="shared" si="2619"/>
        <v>1.577117966679628</v>
      </c>
      <c r="ER287" s="107">
        <f t="shared" si="2620"/>
        <v>1.5689827038620388</v>
      </c>
      <c r="ES287" s="107">
        <f t="shared" si="2585"/>
        <v>1.1706365591742942</v>
      </c>
      <c r="EU287" s="107">
        <f>IF(SeilBeregnet=0,EU286,(EV:EV*EW:EW)^EU$3)</f>
        <v>2.0178995962350617</v>
      </c>
      <c r="EV287" s="107">
        <f t="shared" si="2621"/>
        <v>4.0408501008114204</v>
      </c>
      <c r="EW287" s="107">
        <f t="shared" si="2622"/>
        <v>1.0076886493928507</v>
      </c>
      <c r="EX287" s="107">
        <f t="shared" si="2623"/>
        <v>1.6028245430280339</v>
      </c>
      <c r="EY287" s="107">
        <f t="shared" si="2586"/>
        <v>1.0875638004342101</v>
      </c>
      <c r="FA287" s="107">
        <f t="shared" si="2587"/>
        <v>2.0179227659268228</v>
      </c>
      <c r="FB287" s="107">
        <f t="shared" si="2624"/>
        <v>4.0409428961011065</v>
      </c>
      <c r="FC287" s="107">
        <f t="shared" si="2625"/>
        <v>1.0076886493928507</v>
      </c>
      <c r="FD287" s="107">
        <f t="shared" si="2626"/>
        <v>1.6028245430280339</v>
      </c>
      <c r="FE287" s="107">
        <f t="shared" si="2588"/>
        <v>1.1552379829356889</v>
      </c>
      <c r="FF287" s="141">
        <f t="shared" ref="FF287" si="2659">IF($DY287=0,"-",(FE287-$DW287)*100)</f>
        <v>-5.5626417831007524</v>
      </c>
      <c r="FG287" s="107">
        <f t="shared" si="2590"/>
        <v>4.103320564061149</v>
      </c>
      <c r="FH287" s="133">
        <f t="shared" si="2627"/>
        <v>4.0409428961011065</v>
      </c>
      <c r="FI287" s="133">
        <f t="shared" si="2628"/>
        <v>1.0154364141151877</v>
      </c>
      <c r="FJ287" s="107">
        <f t="shared" si="2629"/>
        <v>0.90133447757400031</v>
      </c>
      <c r="FK287" s="107">
        <f t="shared" si="2591"/>
        <v>1.1707789158717712</v>
      </c>
      <c r="FL287" s="141">
        <f t="shared" ref="FL287" si="2660">IF($DY287=0,"-",(FK287-$DW287)*100)</f>
        <v>-4.008548489492525</v>
      </c>
      <c r="FM287" s="107">
        <f t="shared" si="2593"/>
        <v>6.2706097781826378</v>
      </c>
      <c r="FN287" s="133">
        <f t="shared" si="2630"/>
        <v>4.0409428961011065</v>
      </c>
      <c r="FO287" s="133">
        <f t="shared" si="2631"/>
        <v>0.86062077956470617</v>
      </c>
      <c r="FP287" s="133">
        <f t="shared" si="2632"/>
        <v>1.869046102516825</v>
      </c>
      <c r="FQ287" s="107">
        <f t="shared" si="2633"/>
        <v>1.5689827038620388</v>
      </c>
      <c r="FR287" s="107">
        <f t="shared" si="2594"/>
        <v>1.1600639955069494</v>
      </c>
      <c r="FS287" s="141">
        <f t="shared" ref="FS287" si="2661">IF($DY287=0,"-",(FR287-$DW287)*100)</f>
        <v>-5.080040525974705</v>
      </c>
      <c r="FT287" s="107">
        <f t="shared" si="2596"/>
        <v>7.5527085704508243</v>
      </c>
      <c r="FU287" s="133">
        <f t="shared" si="2634"/>
        <v>4.0409428961011065</v>
      </c>
      <c r="FV287" s="133">
        <f t="shared" si="2635"/>
        <v>1.869046102516825</v>
      </c>
      <c r="FW287" s="107">
        <f t="shared" si="2636"/>
        <v>1.5689827038620388</v>
      </c>
      <c r="FY287" s="336">
        <v>1</v>
      </c>
      <c r="FZ287" s="62">
        <f t="shared" si="2074"/>
        <v>1.1598726957887053</v>
      </c>
      <c r="GA287" s="62">
        <f t="shared" si="2075"/>
        <v>1.9939475850709263</v>
      </c>
      <c r="GB287" s="107">
        <f t="shared" si="1270"/>
        <v>1.6929646523046982</v>
      </c>
      <c r="GC287" s="440"/>
      <c r="GD287" s="17"/>
      <c r="GE287" s="442"/>
      <c r="GF287" s="462"/>
      <c r="GG287" s="17"/>
      <c r="GH287" s="17"/>
      <c r="GI287" s="17"/>
      <c r="GJ287" s="17"/>
      <c r="GL287" s="17"/>
      <c r="GM287" s="442"/>
      <c r="GN287" s="8"/>
      <c r="GO287" s="8"/>
      <c r="GP287" s="8"/>
      <c r="GQ287" s="8"/>
      <c r="GS287" s="17"/>
      <c r="GT287" s="17"/>
      <c r="GU287" s="17"/>
      <c r="GV287" s="629"/>
      <c r="GW287" s="17"/>
      <c r="GX287" s="17"/>
      <c r="GY287" s="17"/>
      <c r="GZ287" s="17"/>
    </row>
    <row r="288" spans="1:208" ht="15.6" x14ac:dyDescent="0.3">
      <c r="A288" s="52" t="s">
        <v>81</v>
      </c>
      <c r="B288" s="218">
        <f t="shared" si="10"/>
        <v>36.056430446194227</v>
      </c>
      <c r="C288" s="53" t="s">
        <v>38</v>
      </c>
      <c r="D288" s="53"/>
      <c r="E288" s="53"/>
      <c r="F288" s="53"/>
      <c r="G288" s="54"/>
      <c r="H288" s="112">
        <f>J289</f>
        <v>70</v>
      </c>
      <c r="I288" s="601">
        <f>H289/100</f>
        <v>1.34</v>
      </c>
      <c r="J288" s="651" t="str">
        <f>IF(DC289=0,"-",DC289)</f>
        <v>-</v>
      </c>
      <c r="K288" s="123" t="str">
        <f>A288</f>
        <v>FILIBUSTER</v>
      </c>
      <c r="L288" s="116"/>
      <c r="M288" s="116"/>
      <c r="N288" s="92"/>
      <c r="O288" s="165"/>
      <c r="P288" s="165"/>
      <c r="Q288" s="165">
        <v>46</v>
      </c>
      <c r="R288" s="165"/>
      <c r="S288" s="165"/>
      <c r="T288" s="165"/>
      <c r="U288" s="165">
        <v>44</v>
      </c>
      <c r="V288" s="559"/>
      <c r="W288" s="559"/>
      <c r="X288" s="165"/>
      <c r="Y288" s="165"/>
      <c r="Z288" s="165"/>
      <c r="AA288" s="165"/>
      <c r="AB288" s="165"/>
      <c r="AC288" s="165"/>
      <c r="AD288" s="165"/>
      <c r="AE288" s="165">
        <v>24</v>
      </c>
      <c r="AF288" s="165"/>
      <c r="AG288" s="552"/>
      <c r="AH288" s="241">
        <v>10.99</v>
      </c>
      <c r="AI288" s="241">
        <v>10.99</v>
      </c>
      <c r="AJ288" s="554"/>
      <c r="AK288" s="339"/>
      <c r="AL288" s="268"/>
      <c r="AM288" s="339"/>
      <c r="AN288" s="268" t="s">
        <v>214</v>
      </c>
      <c r="AO288" s="45">
        <f>VLOOKUP(AN288,Skrogform!$1:$1048576,3,FALSE)</f>
        <v>1</v>
      </c>
      <c r="AP288" s="55">
        <v>10.99</v>
      </c>
      <c r="AQ288" s="55">
        <v>7.6</v>
      </c>
      <c r="AR288" s="55">
        <v>2.9</v>
      </c>
      <c r="AS288" s="55">
        <v>2</v>
      </c>
      <c r="AT288" s="637">
        <f>AU288</f>
        <v>7.8</v>
      </c>
      <c r="AU288" s="55">
        <v>7.8</v>
      </c>
      <c r="AV288" s="55">
        <v>3</v>
      </c>
      <c r="AW288" s="55"/>
      <c r="AX288" s="253"/>
      <c r="AY288" s="253"/>
      <c r="AZ288" s="254">
        <f>AY288*7</f>
        <v>0</v>
      </c>
      <c r="BA288" s="253"/>
      <c r="BB288" s="253"/>
      <c r="BC288" s="244">
        <f>Depl+Diesel/1000*0.84+Vann/1000</f>
        <v>7.8</v>
      </c>
      <c r="BD288" s="95">
        <f>Bredde/(Loa+Lwl)*2</f>
        <v>0.31199569661108123</v>
      </c>
      <c r="BE288" s="95">
        <f>(Kjøl+Ballast)/Depl</f>
        <v>0.38461538461538464</v>
      </c>
      <c r="BF288" s="260">
        <f>BF$7*((Depl-Kjøl-Ballast-VektMotor/1000-VektAnnet/1000)/Lwl/Lwl/Bredde)</f>
        <v>1.0814231908124352</v>
      </c>
      <c r="BG288" s="95">
        <f>BG$7*(Depl/Loa/Lwl/Lwl)</f>
        <v>0.90424051265441518</v>
      </c>
      <c r="BH288" s="174">
        <f>BH$7*(Depl/Loa/Lwl/Bredde)</f>
        <v>0.87593497388320363</v>
      </c>
      <c r="BI288" s="95">
        <f>BI$7*Bredde/(Loa+Lwl)*2</f>
        <v>0.89002643345075094</v>
      </c>
      <c r="BJ288" s="95">
        <f>BJ$7*(Dypg/Lwl)</f>
        <v>1.4393592677345537</v>
      </c>
      <c r="BK288" s="56"/>
      <c r="BL288" s="268"/>
      <c r="BM288" s="268"/>
      <c r="BN288" s="45">
        <f t="shared" si="2579"/>
        <v>1</v>
      </c>
      <c r="BO288" s="59"/>
      <c r="BP288" s="59"/>
      <c r="BR288" s="209"/>
      <c r="BS288" s="209"/>
      <c r="BT288" s="209" t="str">
        <f>$A288</f>
        <v>FILIBUSTER</v>
      </c>
      <c r="BU288" s="10"/>
      <c r="BV288" s="10"/>
      <c r="BW288" s="10"/>
      <c r="BX288" s="10"/>
      <c r="BY288" s="549"/>
      <c r="BZ288" s="10"/>
      <c r="CA288" s="10"/>
      <c r="CB288" s="209" t="str">
        <f>$A288</f>
        <v>FILIBUSTER</v>
      </c>
      <c r="CC288" s="10"/>
      <c r="CD288" s="10"/>
      <c r="CE288" s="10"/>
      <c r="CF288" s="10"/>
      <c r="CG288" s="10"/>
      <c r="CH288" s="10"/>
      <c r="CI288" s="10"/>
      <c r="CJ288" s="10"/>
      <c r="CK288" s="10"/>
      <c r="CL288" s="209"/>
      <c r="CM288" s="10"/>
      <c r="CN288" s="209" t="str">
        <f>$A288</f>
        <v>FILIBUSTER</v>
      </c>
      <c r="CO288" s="207"/>
      <c r="CP288" s="207"/>
      <c r="CQ288" s="116"/>
      <c r="CR288" s="207"/>
      <c r="CS288" s="203"/>
      <c r="CT288" s="203" t="s">
        <v>23</v>
      </c>
      <c r="CU288" s="107" t="str">
        <f t="shared" si="1267"/>
        <v>-</v>
      </c>
      <c r="CV288" s="62" t="str">
        <f t="shared" si="2119"/>
        <v>-</v>
      </c>
      <c r="CW288" s="62" t="str">
        <f t="shared" si="1268"/>
        <v>-</v>
      </c>
      <c r="CX288" s="62" t="str">
        <f t="shared" si="2120"/>
        <v>-</v>
      </c>
      <c r="CY288" s="107" t="str">
        <f t="shared" si="1269"/>
        <v>-</v>
      </c>
      <c r="CZ288" s="168" t="str">
        <f t="shared" si="2502"/>
        <v>-</v>
      </c>
      <c r="DA288" s="158"/>
      <c r="DB288" s="168" t="str">
        <f t="shared" si="2572"/>
        <v>-</v>
      </c>
      <c r="DC288" s="160"/>
      <c r="DD288" s="190" t="s">
        <v>134</v>
      </c>
      <c r="DE288" s="29" t="s">
        <v>23</v>
      </c>
      <c r="DF288" s="29" t="s">
        <v>23</v>
      </c>
      <c r="DG288" s="29" t="s">
        <v>23</v>
      </c>
      <c r="DH288" s="149">
        <v>2022</v>
      </c>
      <c r="DI288" s="62" t="str">
        <f t="shared" si="1299"/>
        <v>-</v>
      </c>
      <c r="DJ288" s="47">
        <f t="shared" si="1300"/>
        <v>17.391304347826086</v>
      </c>
      <c r="DK288" s="48">
        <f t="shared" si="2580"/>
        <v>0</v>
      </c>
      <c r="DM288" s="107" t="str">
        <f t="shared" si="2581"/>
        <v>-</v>
      </c>
      <c r="DN288" s="141" t="str">
        <f t="shared" si="2582"/>
        <v>-</v>
      </c>
      <c r="DO288" s="107">
        <f t="shared" ref="DO288:DO305" si="2662">SUM(DP288:DS288)^DO$3+DO$7</f>
        <v>6.1270076271216531</v>
      </c>
      <c r="DP288" s="133">
        <f>IF(SeilBeregnet=0,DP286,(SeilBeregnet^0.5/(Depl^0.3333))^DP$3*DP$7)</f>
        <v>4.2579615246048279</v>
      </c>
      <c r="DQ288" s="133">
        <f>IF(SeilBeregnet=0,DQ286,(SeilBeregnet^0.5/Lwl)^DQ$3*DQ$7)</f>
        <v>0</v>
      </c>
      <c r="DR288" s="133">
        <f>IF(SeilBeregnet=0,DR286,(0.1*Loa/Depl^0.3333)^DR$3*DR$7)</f>
        <v>0</v>
      </c>
      <c r="DS288" s="133">
        <f>IF(SeilBeregnet=0,DS286,((Loa)/Bredde)^DS$3*DS$7)</f>
        <v>1.869046102516825</v>
      </c>
      <c r="DT288" s="107">
        <f>IF(SeilBeregnet=0,DT286,(Lwl)^DT$3)</f>
        <v>1.5689827038620388</v>
      </c>
      <c r="DU288" s="133">
        <f>IF(SeilBeregnet=0,DU286,(Dypg/Loa)^DU$3*5*DU$7)</f>
        <v>1.9939475850709263</v>
      </c>
      <c r="DW288" s="107" t="str">
        <f t="shared" si="1241"/>
        <v>-</v>
      </c>
      <c r="DX288" s="107" t="str">
        <f t="shared" si="1301"/>
        <v>-</v>
      </c>
      <c r="DZ288" s="107" t="str">
        <f t="shared" si="1302"/>
        <v>-</v>
      </c>
      <c r="EA288" s="122" t="str">
        <f t="shared" si="2583"/>
        <v>-</v>
      </c>
      <c r="EB288" s="107" t="str">
        <f t="shared" si="2301"/>
        <v>-</v>
      </c>
      <c r="EC288" s="122" t="str">
        <f t="shared" si="2584"/>
        <v>-</v>
      </c>
      <c r="ED288" s="107">
        <f>IF(SeilBeregnet=0,ED286,SeilBeregnet^0.5/Depl^0.33333)</f>
        <v>4.2578637457489252</v>
      </c>
      <c r="EE288" s="107">
        <f>IF(SeilBeregnet=0,EE286,Lwl^0.3333)</f>
        <v>1.8230480925967594</v>
      </c>
      <c r="EF288" s="107">
        <f>IF(SeilBeregnet=0,EF286,((Loa+Lwl)/Bredde)^EF$3)</f>
        <v>1.577117966679628</v>
      </c>
      <c r="EH288" s="107" t="str">
        <f t="shared" si="2303"/>
        <v>-</v>
      </c>
      <c r="EJ288" s="107">
        <f>IF(SeilBeregnet=0,EJ286,SeilBeregnet^0.5/Depl^0.33333)</f>
        <v>4.2578637457489252</v>
      </c>
      <c r="EK288" s="107">
        <f>IF(SeilBeregnet=0,EK286,Lwl^EK$3)</f>
        <v>1.8231466333682971</v>
      </c>
      <c r="EL288" s="107">
        <f>IF(SeilBeregnet=0,EL286,((Loa+Lwl)/Bredde)^EL$3)</f>
        <v>1.8356611806071987</v>
      </c>
      <c r="EM288" s="107" t="str">
        <f t="shared" si="2304"/>
        <v>-</v>
      </c>
      <c r="EO288" s="107">
        <f>IF(SeilBeregnet=0,EO286,(EP288*EQ288)^EO$3)</f>
        <v>6.7151534130944492</v>
      </c>
      <c r="EP288" s="107">
        <f>IF(SeilBeregnet=0,EP286,SeilBeregnet^0.5/Depl^0.33333)</f>
        <v>4.2578637457489252</v>
      </c>
      <c r="EQ288" s="107">
        <f>IF(SeilBeregnet=0,EQ286,((Loa+Lwl)/Bredde)^EQ$3)</f>
        <v>1.577117966679628</v>
      </c>
      <c r="ER288" s="107">
        <f>IF(SeilBeregnet=0,ER286,Lwl^ER$3)</f>
        <v>1.5689827038620388</v>
      </c>
      <c r="ES288" s="107" t="str">
        <f t="shared" si="2585"/>
        <v>-</v>
      </c>
      <c r="EU288" s="107">
        <f>IF(SeilBeregnet=0,EU286,(EV:EV*EW:EW)^EU$3)</f>
        <v>2.0713765875022627</v>
      </c>
      <c r="EV288" s="107">
        <f>IF(SeilBeregnet=0,EV286,SeilBeregnet^0.5/Depl^0.33333)</f>
        <v>4.2578637457489252</v>
      </c>
      <c r="EW288" s="107">
        <f>IF(SeilBeregnet=0,EW286,((Loa+Lwl)/Bredde/6)^EW$3)</f>
        <v>1.0076886493928507</v>
      </c>
      <c r="EX288" s="107">
        <f>IF(SeilBeregnet=0,EX286,(Lwl*0.7+Loa*0.3)^EX$3)</f>
        <v>1.6028245430280339</v>
      </c>
      <c r="EY288" s="107" t="str">
        <f t="shared" si="2586"/>
        <v>-</v>
      </c>
      <c r="FA288" s="107">
        <f t="shared" si="2587"/>
        <v>2.0714003712213058</v>
      </c>
      <c r="FB288" s="107">
        <f>IF(SeilBeregnet=0,FB286,SeilBeregnet^0.5/Depl^0.3333)</f>
        <v>4.2579615246048279</v>
      </c>
      <c r="FC288" s="107">
        <f>IF(SeilBeregnet=0,FC286,((Loa+Lwl)/Bredde/6)^FC$3)</f>
        <v>1.0076886493928507</v>
      </c>
      <c r="FD288" s="107">
        <f>IF(SeilBeregnet=0,FD286,(Lwl*0.7+Loa*0.3)^FD$3)</f>
        <v>1.6028245430280339</v>
      </c>
      <c r="FE288" s="107" t="str">
        <f t="shared" si="2588"/>
        <v>-</v>
      </c>
      <c r="FF288" s="141" t="str">
        <f t="shared" si="2589"/>
        <v>-</v>
      </c>
      <c r="FG288" s="107">
        <f t="shared" si="2590"/>
        <v>4.3236891819851637</v>
      </c>
      <c r="FH288" s="133">
        <f>IF(SeilBeregnet=0,FH286,(SeilBeregnet^0.5/(Depl^0.3333))^FH$3)</f>
        <v>4.2579615246048279</v>
      </c>
      <c r="FI288" s="133">
        <f>IF(SeilBeregnet=0,FI286,((Loa+Lwl)/Bredde/6)^FI$3)</f>
        <v>1.0154364141151877</v>
      </c>
      <c r="FJ288" s="107">
        <f>IF(SeilBeregnet=0,FJ286,(Lwl*0.07+Loa*0.03)^FJ$3)</f>
        <v>0.90133447757400031</v>
      </c>
      <c r="FK288" s="107" t="str">
        <f t="shared" si="2591"/>
        <v>-</v>
      </c>
      <c r="FL288" s="141" t="str">
        <f t="shared" si="2592"/>
        <v>-</v>
      </c>
      <c r="FM288" s="107">
        <f t="shared" si="2593"/>
        <v>6.5338480009852891</v>
      </c>
      <c r="FN288" s="133">
        <f>IF(SeilBeregnet=0,FN286,(SeilBeregnet^0.5/(Depl^0.3333))^FN$3)</f>
        <v>4.2579615246048279</v>
      </c>
      <c r="FO288" s="133">
        <f>IF(SeilBeregnet=0,FO286,(SeilBeregnet^0.5/Lwl*FO$7)^FO$3)</f>
        <v>0.90684037386363614</v>
      </c>
      <c r="FP288" s="133">
        <f>IF(SeilBeregnet=0,FP286,((Loa)/Bredde)^FP$3*FP$7)</f>
        <v>1.869046102516825</v>
      </c>
      <c r="FQ288" s="107">
        <f>IF(SeilBeregnet=0,FQ286,(Lwl)^FQ$3)</f>
        <v>1.5689827038620388</v>
      </c>
      <c r="FR288" s="107" t="str">
        <f t="shared" si="2594"/>
        <v>-</v>
      </c>
      <c r="FS288" s="141" t="str">
        <f t="shared" si="2595"/>
        <v>-</v>
      </c>
      <c r="FT288" s="107">
        <f t="shared" si="2596"/>
        <v>7.9583263922292513</v>
      </c>
      <c r="FU288" s="133">
        <f>IF(SeilBeregnet=0,FU286,(SeilBeregnet^0.5/(Depl^0.3333))^FU$3)</f>
        <v>4.2579615246048279</v>
      </c>
      <c r="FV288" s="133">
        <f>IF(SeilBeregnet=0,FV286,(Loa/Bredde)^FV$3)</f>
        <v>1.869046102516825</v>
      </c>
      <c r="FW288" s="107">
        <f>IF(SeilBeregnet=0,FW286,Lwl^FW$3)</f>
        <v>1.5689827038620388</v>
      </c>
      <c r="FY288" s="336">
        <v>1</v>
      </c>
      <c r="FZ288" s="62" t="str">
        <f t="shared" ref="FZ288:FZ311" si="2663">IF(SeilBeregnet=0,"-",0.06*2.43^(1/2)*(SeilBeregnet^(1/2)/Depl^(1/3)+(Loa/Bredde)^(1/2)+GA288)*Lwl^(1/4)*FY288)</f>
        <v>-</v>
      </c>
      <c r="GA288" s="62">
        <f t="shared" si="1303"/>
        <v>2.1329769189683425</v>
      </c>
      <c r="GB288" s="107" t="str">
        <f t="shared" si="1270"/>
        <v>-</v>
      </c>
      <c r="GC288" s="441"/>
      <c r="GD288" s="57"/>
      <c r="GE288" s="436"/>
      <c r="GF288" s="75"/>
      <c r="GG288" s="57"/>
      <c r="GH288" s="57"/>
      <c r="GI288" s="57"/>
      <c r="GJ288" s="57"/>
      <c r="GL288" s="57" t="s">
        <v>478</v>
      </c>
      <c r="GM288" s="436" t="s">
        <v>478</v>
      </c>
      <c r="GN288" s="58" t="s">
        <v>478</v>
      </c>
      <c r="GO288" s="58" t="s">
        <v>478</v>
      </c>
      <c r="GP288" s="58" t="s">
        <v>478</v>
      </c>
      <c r="GQ288" s="58" t="s">
        <v>478</v>
      </c>
      <c r="GS288" s="57"/>
      <c r="GT288" s="57"/>
      <c r="GU288" s="57"/>
      <c r="GV288" s="632"/>
      <c r="GW288" s="57"/>
      <c r="GX288" s="57"/>
      <c r="GY288" s="57"/>
      <c r="GZ288" s="57"/>
    </row>
    <row r="289" spans="1:208" ht="15.6" x14ac:dyDescent="0.3">
      <c r="A289" s="60" t="s">
        <v>68</v>
      </c>
      <c r="B289" s="218"/>
      <c r="C289" s="61" t="str">
        <f>C288</f>
        <v>Bermuda</v>
      </c>
      <c r="D289" s="61"/>
      <c r="E289" s="61"/>
      <c r="F289" s="61"/>
      <c r="G289" s="54"/>
      <c r="H289" s="204">
        <f>IF(StH=0,0,TBFavrundet)</f>
        <v>134</v>
      </c>
      <c r="I289" s="63">
        <f>COUNTA(O289:AG289)</f>
        <v>2</v>
      </c>
      <c r="J289" s="222">
        <f>SUM(O289:AG289)</f>
        <v>70</v>
      </c>
      <c r="K289" s="116">
        <f>Seilareal/Depl^0.667/K$7</f>
        <v>1.6482629952252308</v>
      </c>
      <c r="L289" s="116">
        <f>Seilareal/Lwl/Lwl/L$7</f>
        <v>1.8388564576400379</v>
      </c>
      <c r="M289" s="92">
        <f>RiggF</f>
        <v>0.98285714285714276</v>
      </c>
      <c r="N289" s="242">
        <f>StHfaktor</f>
        <v>1.0471840350622168</v>
      </c>
      <c r="O289" s="143"/>
      <c r="P289" s="143"/>
      <c r="Q289" s="165">
        <v>46</v>
      </c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65">
        <v>24</v>
      </c>
      <c r="AF289" s="143"/>
      <c r="AG289" s="551"/>
      <c r="AH289" s="557">
        <f>AH288</f>
        <v>10.99</v>
      </c>
      <c r="AI289" s="557">
        <f>AI288</f>
        <v>10.99</v>
      </c>
      <c r="AJ289" s="337">
        <f t="shared" ref="AJ289:AL290" si="2664" xml:space="preserve"> AJ288</f>
        <v>0</v>
      </c>
      <c r="AK289" s="339"/>
      <c r="AL289" s="337">
        <f t="shared" si="2664"/>
        <v>0</v>
      </c>
      <c r="AM289" s="339"/>
      <c r="AN289" s="267" t="str">
        <f xml:space="preserve"> AN288</f>
        <v>Meter</v>
      </c>
      <c r="AO289" s="45">
        <f>VLOOKUP(AN289,Skrogform!$1:$1048576,3,FALSE)</f>
        <v>1</v>
      </c>
      <c r="AP289" s="64">
        <f t="shared" ref="AP289:AZ290" si="2665">AP288</f>
        <v>10.99</v>
      </c>
      <c r="AQ289" s="64">
        <f t="shared" si="2665"/>
        <v>7.6</v>
      </c>
      <c r="AR289" s="64">
        <f t="shared" si="2665"/>
        <v>2.9</v>
      </c>
      <c r="AS289" s="64">
        <f t="shared" si="2665"/>
        <v>2</v>
      </c>
      <c r="AT289" s="64">
        <f t="shared" ref="AT289" si="2666">AT288</f>
        <v>7.8</v>
      </c>
      <c r="AU289" s="64">
        <f t="shared" si="2665"/>
        <v>7.8</v>
      </c>
      <c r="AV289" s="64">
        <f t="shared" si="2665"/>
        <v>3</v>
      </c>
      <c r="AW289" s="64">
        <f t="shared" si="2665"/>
        <v>0</v>
      </c>
      <c r="AX289" s="256">
        <f>AX288</f>
        <v>0</v>
      </c>
      <c r="AY289" s="256">
        <f t="shared" si="2665"/>
        <v>0</v>
      </c>
      <c r="AZ289" s="256">
        <f t="shared" si="2665"/>
        <v>0</v>
      </c>
      <c r="BA289" s="256">
        <f t="shared" ref="BA289:BB289" si="2667">BA288</f>
        <v>0</v>
      </c>
      <c r="BB289" s="256">
        <f t="shared" si="2667"/>
        <v>0</v>
      </c>
      <c r="BC289" s="256"/>
      <c r="BD289" s="66"/>
      <c r="BE289" s="66"/>
      <c r="BF289" s="261"/>
      <c r="BG289" s="66"/>
      <c r="BH289" s="175"/>
      <c r="BI289" s="66"/>
      <c r="BJ289" s="66"/>
      <c r="BK289" s="65">
        <f t="shared" ref="BK289:BM290" si="2668" xml:space="preserve"> BK288</f>
        <v>0</v>
      </c>
      <c r="BL289" s="267">
        <f t="shared" si="2668"/>
        <v>0</v>
      </c>
      <c r="BM289" s="267">
        <f t="shared" si="2668"/>
        <v>0</v>
      </c>
      <c r="BN289" s="45">
        <f t="shared" si="2579"/>
        <v>1</v>
      </c>
      <c r="BO289" s="59"/>
      <c r="BP289" s="59"/>
      <c r="BR289" s="49">
        <f t="shared" ref="BR289:BX290" si="2669">IF(O289=0,0,O289*BR$9)</f>
        <v>0</v>
      </c>
      <c r="BS289" s="49">
        <f t="shared" si="2669"/>
        <v>0</v>
      </c>
      <c r="BT289" s="49">
        <f t="shared" si="2669"/>
        <v>46</v>
      </c>
      <c r="BU289" s="49">
        <f t="shared" si="2669"/>
        <v>0</v>
      </c>
      <c r="BV289" s="49">
        <f t="shared" si="2669"/>
        <v>0</v>
      </c>
      <c r="BW289" s="49">
        <f t="shared" si="2669"/>
        <v>0</v>
      </c>
      <c r="BX289" s="49">
        <f t="shared" si="2669"/>
        <v>0</v>
      </c>
      <c r="BY289" s="549">
        <f>IF(COUNT(Q289:U289)&gt;1,MINA(Q289:U289)*BY$9,0)</f>
        <v>0</v>
      </c>
      <c r="BZ289" s="85">
        <f t="shared" ref="BZ289:CD290" si="2670">IF(V289=0,0,V289*BZ$9)</f>
        <v>0</v>
      </c>
      <c r="CA289" s="85">
        <f t="shared" si="2670"/>
        <v>0</v>
      </c>
      <c r="CB289" s="85">
        <f t="shared" si="2670"/>
        <v>0</v>
      </c>
      <c r="CC289" s="85">
        <f t="shared" si="2670"/>
        <v>0</v>
      </c>
      <c r="CD289" s="85">
        <f t="shared" si="2670"/>
        <v>0</v>
      </c>
      <c r="CE289" s="85">
        <f>IF(AC289=0,0,AC289*CE$9)</f>
        <v>0</v>
      </c>
      <c r="CF289" s="85">
        <f>IF(AA289=0,0,AA289*CF$9)</f>
        <v>0</v>
      </c>
      <c r="CG289" s="85">
        <f>IF(AB289=0,0,AB289*CG$9)</f>
        <v>0</v>
      </c>
      <c r="CH289" s="85">
        <f t="shared" ref="CH289:CK290" si="2671">IF(AD289=0,0,AD289*CH$9)</f>
        <v>0</v>
      </c>
      <c r="CI289" s="85">
        <f t="shared" si="2671"/>
        <v>22.799999999999997</v>
      </c>
      <c r="CJ289" s="85">
        <f t="shared" si="2671"/>
        <v>0</v>
      </c>
      <c r="CK289" s="85">
        <f t="shared" si="2671"/>
        <v>0</v>
      </c>
      <c r="CL289" s="100">
        <f>SUM(BR289:CK289)</f>
        <v>68.8</v>
      </c>
      <c r="CM289" s="50"/>
      <c r="CN289" s="104">
        <f>J289</f>
        <v>70</v>
      </c>
      <c r="CO289" s="101">
        <f>CL289/CN289</f>
        <v>0.98285714285714276</v>
      </c>
      <c r="CP289" s="51">
        <f>Seilareal/Lwl/Lwl</f>
        <v>1.2119113573407203</v>
      </c>
      <c r="CQ289" s="116">
        <f>Seilareal/Depl^0.667/K$7</f>
        <v>1.6482629952252308</v>
      </c>
      <c r="CR289" s="51">
        <f>Seilareal/Lwl/Lwl/SApRS1</f>
        <v>1.8388564576400379</v>
      </c>
      <c r="CS289" s="204"/>
      <c r="CT289" s="204">
        <f>(ROUND(TBF/CT$6,3)*CT$6)*CT$4</f>
        <v>134</v>
      </c>
      <c r="CU289" s="107">
        <f t="shared" si="1267"/>
        <v>1.3391261452912988</v>
      </c>
      <c r="CV289" s="62">
        <f t="shared" si="2119"/>
        <v>4.3429740658417479</v>
      </c>
      <c r="CW289" s="62">
        <f t="shared" si="1268"/>
        <v>1.7902995318641803</v>
      </c>
      <c r="CX289" s="62">
        <f t="shared" si="2120"/>
        <v>1.6603643426724279</v>
      </c>
      <c r="CY289" s="107">
        <f t="shared" si="1269"/>
        <v>1.0471840350622168</v>
      </c>
      <c r="CZ289" s="168" t="str">
        <f t="shared" si="2502"/>
        <v>-</v>
      </c>
      <c r="DA289" s="159">
        <f>DA288</f>
        <v>0</v>
      </c>
      <c r="DB289" s="168" t="str">
        <f t="shared" si="2572"/>
        <v>-</v>
      </c>
      <c r="DC289" s="159">
        <f>DC288</f>
        <v>0</v>
      </c>
      <c r="DD289" s="190" t="s">
        <v>134</v>
      </c>
      <c r="DE289" s="62">
        <v>1.01</v>
      </c>
      <c r="DF289" s="62">
        <v>0.95</v>
      </c>
      <c r="DG289" s="62">
        <v>1.06</v>
      </c>
      <c r="DH289" s="150">
        <v>1.0900000000000001</v>
      </c>
      <c r="DI289" s="62">
        <f t="shared" si="1299"/>
        <v>2.4650495680484883</v>
      </c>
      <c r="DJ289" s="47">
        <f t="shared" si="1300"/>
        <v>17.391304347826086</v>
      </c>
      <c r="DK289" s="48">
        <f t="shared" si="2580"/>
        <v>0</v>
      </c>
      <c r="DM289" s="107">
        <f t="shared" si="2581"/>
        <v>1.2619580710942782</v>
      </c>
      <c r="DN289" s="141">
        <f t="shared" si="2582"/>
        <v>-7.7168074197020653</v>
      </c>
      <c r="DO289" s="107">
        <f t="shared" si="2662"/>
        <v>6.1294265101608918</v>
      </c>
      <c r="DP289" s="133">
        <f t="shared" si="2605"/>
        <v>4.1827228417989621</v>
      </c>
      <c r="DQ289" s="133">
        <f t="shared" si="2606"/>
        <v>0</v>
      </c>
      <c r="DR289" s="133">
        <f t="shared" si="2607"/>
        <v>0</v>
      </c>
      <c r="DS289" s="133">
        <f t="shared" si="2608"/>
        <v>1.9467036683619294</v>
      </c>
      <c r="DT289" s="107">
        <f t="shared" si="2609"/>
        <v>1.6603643426724279</v>
      </c>
      <c r="DU289" s="133">
        <f t="shared" si="2610"/>
        <v>2.1329769189683425</v>
      </c>
      <c r="DW289" s="107">
        <f t="shared" si="1241"/>
        <v>1.3391261452912988</v>
      </c>
      <c r="DX289" s="107">
        <f t="shared" si="1301"/>
        <v>1.339594660167901</v>
      </c>
      <c r="DY289" s="122">
        <f>DX289-DW289</f>
        <v>4.6851487660215518E-4</v>
      </c>
      <c r="DZ289" s="107">
        <f t="shared" si="1302"/>
        <v>1.2786545904057951</v>
      </c>
      <c r="EA289" s="122">
        <f t="shared" si="2583"/>
        <v>-6.0471554885503709E-2</v>
      </c>
      <c r="EB289" s="107">
        <f t="shared" ref="EB289:EB305" si="2672">IF(SeilBeregnet=0,"-",EB$7*(EB$4*ED289*EE289*EF289*PropF+EB$6)+ErfaringsF+Dyp_F)</f>
        <v>1.2970871397144961</v>
      </c>
      <c r="EC289" s="122">
        <f t="shared" si="2584"/>
        <v>-4.2039005576802735E-2</v>
      </c>
      <c r="ED289" s="107">
        <f t="shared" si="2611"/>
        <v>4.1824650948328816</v>
      </c>
      <c r="EE289" s="107">
        <f t="shared" si="2612"/>
        <v>1.9659622317285537</v>
      </c>
      <c r="EF289" s="107">
        <f t="shared" si="2613"/>
        <v>1.5911837978915342</v>
      </c>
      <c r="EH289" s="107">
        <f t="shared" ref="EH289:EH305" si="2673">IF(SeilBeregnet=0,"-",EH$7*(EH$4*EJ289*EK289*EL289*PropF+EH$6)+ErfaringsF+Dyp_F)</f>
        <v>1.2812039787113862</v>
      </c>
      <c r="EJ289" s="107">
        <f t="shared" si="2614"/>
        <v>4.1824650948328816</v>
      </c>
      <c r="EK289" s="107">
        <f t="shared" si="2615"/>
        <v>1.9660818532533053</v>
      </c>
      <c r="EL289" s="107">
        <f t="shared" si="2616"/>
        <v>1.8575202967688924</v>
      </c>
      <c r="EM289" s="107">
        <f t="shared" ref="EM289:EM305" si="2674">IF(SeilBeregnet=0,"-",EM$7*(EM$4*EO289+EM$6)*ER289*PropF+ErfaringsF+Dyp_F)</f>
        <v>1.2808658767579781</v>
      </c>
      <c r="EO289" s="107">
        <f t="shared" si="2617"/>
        <v>6.6550706941449604</v>
      </c>
      <c r="EP289" s="107">
        <f t="shared" si="2618"/>
        <v>4.1824650948328816</v>
      </c>
      <c r="EQ289" s="107">
        <f t="shared" si="2619"/>
        <v>1.5911837978915342</v>
      </c>
      <c r="ER289" s="107">
        <f t="shared" si="2620"/>
        <v>1.6603643426724279</v>
      </c>
      <c r="ES289" s="107">
        <f t="shared" si="2585"/>
        <v>1.2877687554900612</v>
      </c>
      <c r="EU289" s="107">
        <f>IF(SeilBeregnet=0,EU288,(EV:EV*EW:EW)^EU$3)</f>
        <v>2.062089117447492</v>
      </c>
      <c r="EV289" s="107">
        <f t="shared" si="2621"/>
        <v>4.1824650948328816</v>
      </c>
      <c r="EW289" s="107">
        <f t="shared" si="2622"/>
        <v>1.0166759152511904</v>
      </c>
      <c r="EX289" s="107">
        <f t="shared" si="2623"/>
        <v>1.7133221251981199</v>
      </c>
      <c r="EY289" s="107">
        <f t="shared" si="2586"/>
        <v>1.1880208282337001</v>
      </c>
      <c r="FA289" s="107">
        <f t="shared" si="2587"/>
        <v>2.0621526552193026</v>
      </c>
      <c r="FB289" s="107">
        <f t="shared" si="2624"/>
        <v>4.1827228417989621</v>
      </c>
      <c r="FC289" s="107">
        <f t="shared" si="2625"/>
        <v>1.0166759152511904</v>
      </c>
      <c r="FD289" s="107">
        <f t="shared" si="2626"/>
        <v>1.7133221251981199</v>
      </c>
      <c r="FE289" s="107">
        <f t="shared" si="2588"/>
        <v>1.2794052007228125</v>
      </c>
      <c r="FF289" s="141">
        <f t="shared" si="2589"/>
        <v>-5.9720944568486312</v>
      </c>
      <c r="FG289" s="107">
        <f t="shared" si="2590"/>
        <v>4.3233874623464317</v>
      </c>
      <c r="FH289" s="133">
        <f t="shared" si="2627"/>
        <v>4.1827228417989621</v>
      </c>
      <c r="FI289" s="133">
        <f t="shared" si="2628"/>
        <v>1.0336299166518454</v>
      </c>
      <c r="FJ289" s="107">
        <f t="shared" si="2629"/>
        <v>0.96347183436185602</v>
      </c>
      <c r="FK289" s="107">
        <f t="shared" si="2591"/>
        <v>1.3279218124138634</v>
      </c>
      <c r="FL289" s="141">
        <f t="shared" si="2592"/>
        <v>-1.1204332877435386</v>
      </c>
      <c r="FM289" s="107">
        <f t="shared" si="2593"/>
        <v>6.7208181603360346</v>
      </c>
      <c r="FN289" s="133">
        <f t="shared" si="2630"/>
        <v>4.1827228417989621</v>
      </c>
      <c r="FO289" s="133">
        <f t="shared" si="2631"/>
        <v>1.0913916501751431</v>
      </c>
      <c r="FP289" s="133">
        <f t="shared" si="2632"/>
        <v>1.9467036683619294</v>
      </c>
      <c r="FQ289" s="107">
        <f t="shared" si="2633"/>
        <v>1.6603643426724279</v>
      </c>
      <c r="FR289" s="107">
        <f t="shared" si="2594"/>
        <v>1.290304665130581</v>
      </c>
      <c r="FS289" s="141">
        <f t="shared" si="2595"/>
        <v>-4.8821480160717856</v>
      </c>
      <c r="FT289" s="107">
        <f t="shared" si="2596"/>
        <v>8.142521899871273</v>
      </c>
      <c r="FU289" s="133">
        <f t="shared" si="2634"/>
        <v>4.1827228417989621</v>
      </c>
      <c r="FV289" s="133">
        <f t="shared" si="2635"/>
        <v>1.9467036683619294</v>
      </c>
      <c r="FW289" s="107">
        <f t="shared" si="2636"/>
        <v>1.6603643426724279</v>
      </c>
      <c r="FY289" s="336">
        <v>1</v>
      </c>
      <c r="FZ289" s="62">
        <f t="shared" si="2663"/>
        <v>1.2830663887528557</v>
      </c>
      <c r="GA289" s="62">
        <f t="shared" si="1303"/>
        <v>2.1329769189683425</v>
      </c>
      <c r="GB289" s="107">
        <f t="shared" si="1270"/>
        <v>1.5168817480596068</v>
      </c>
      <c r="GC289" s="440"/>
      <c r="GD289" s="17"/>
      <c r="GE289" s="442"/>
      <c r="GF289" s="462"/>
      <c r="GG289" s="17"/>
      <c r="GH289" s="17"/>
      <c r="GI289" s="17"/>
      <c r="GJ289" s="17"/>
      <c r="GL289" s="17"/>
      <c r="GM289" s="442"/>
      <c r="GN289" s="8"/>
      <c r="GO289" s="8"/>
      <c r="GP289" s="8"/>
      <c r="GQ289" s="8"/>
      <c r="GS289" s="17"/>
      <c r="GT289" s="17"/>
      <c r="GU289" s="17"/>
      <c r="GV289" s="629"/>
      <c r="GW289" s="17"/>
      <c r="GX289" s="17"/>
      <c r="GY289" s="17"/>
      <c r="GZ289" s="17"/>
    </row>
    <row r="290" spans="1:208" ht="15.6" x14ac:dyDescent="0.3">
      <c r="A290" s="60" t="s">
        <v>231</v>
      </c>
      <c r="B290" s="218"/>
      <c r="C290" s="14" t="str">
        <f>C288</f>
        <v>Bermuda</v>
      </c>
      <c r="G290" s="54"/>
      <c r="H290" s="204">
        <f>TBFavrundet</f>
        <v>132.50000000000003</v>
      </c>
      <c r="I290" s="63">
        <f>COUNTA(O290:AG290)</f>
        <v>2</v>
      </c>
      <c r="J290" s="222">
        <f>SUM(O290:AG290)</f>
        <v>68</v>
      </c>
      <c r="K290" s="116">
        <f>Seilareal/Depl^0.667/K$7</f>
        <v>1.6011697667902243</v>
      </c>
      <c r="L290" s="116">
        <f>Seilareal/Lwl/Lwl/L$7</f>
        <v>1.7863177017074654</v>
      </c>
      <c r="M290" s="92">
        <f>RiggF</f>
        <v>0.98235294117647054</v>
      </c>
      <c r="N290" s="242">
        <f>StHfaktor</f>
        <v>1.0471840350622168</v>
      </c>
      <c r="O290" s="143"/>
      <c r="P290" s="143"/>
      <c r="Q290" s="143"/>
      <c r="R290" s="143"/>
      <c r="S290" s="143"/>
      <c r="T290" s="143"/>
      <c r="U290" s="165">
        <v>44</v>
      </c>
      <c r="V290" s="559"/>
      <c r="W290" s="559"/>
      <c r="X290" s="143"/>
      <c r="Y290" s="143"/>
      <c r="Z290" s="143"/>
      <c r="AA290" s="143"/>
      <c r="AB290" s="143"/>
      <c r="AC290" s="143"/>
      <c r="AD290" s="143"/>
      <c r="AE290" s="165">
        <v>24</v>
      </c>
      <c r="AF290" s="143"/>
      <c r="AG290" s="551"/>
      <c r="AH290" s="557">
        <f>AH289</f>
        <v>10.99</v>
      </c>
      <c r="AI290" s="557">
        <f>AI289</f>
        <v>10.99</v>
      </c>
      <c r="AJ290" s="337">
        <f t="shared" si="2664"/>
        <v>0</v>
      </c>
      <c r="AK290" s="339"/>
      <c r="AL290" s="337">
        <f t="shared" si="2664"/>
        <v>0</v>
      </c>
      <c r="AM290" s="339"/>
      <c r="AN290" s="267" t="str">
        <f xml:space="preserve"> AN289</f>
        <v>Meter</v>
      </c>
      <c r="AO290" s="45">
        <f>VLOOKUP(AN290,Skrogform!$1:$1048576,3,FALSE)</f>
        <v>1</v>
      </c>
      <c r="AP290" s="64">
        <f t="shared" si="2665"/>
        <v>10.99</v>
      </c>
      <c r="AQ290" s="64">
        <f t="shared" si="2665"/>
        <v>7.6</v>
      </c>
      <c r="AR290" s="64">
        <f t="shared" si="2665"/>
        <v>2.9</v>
      </c>
      <c r="AS290" s="64">
        <f t="shared" si="2665"/>
        <v>2</v>
      </c>
      <c r="AT290" s="64">
        <f t="shared" ref="AT290" si="2675">AT289</f>
        <v>7.8</v>
      </c>
      <c r="AU290" s="64">
        <f t="shared" si="2665"/>
        <v>7.8</v>
      </c>
      <c r="AV290" s="64">
        <f t="shared" si="2665"/>
        <v>3</v>
      </c>
      <c r="AW290" s="64">
        <f t="shared" si="2665"/>
        <v>0</v>
      </c>
      <c r="AX290" s="256">
        <f>AX289</f>
        <v>0</v>
      </c>
      <c r="AY290" s="256">
        <f t="shared" si="2665"/>
        <v>0</v>
      </c>
      <c r="AZ290" s="256">
        <f t="shared" si="2665"/>
        <v>0</v>
      </c>
      <c r="BA290" s="256">
        <f t="shared" ref="BA290:BB290" si="2676">BA289</f>
        <v>0</v>
      </c>
      <c r="BB290" s="256">
        <f t="shared" si="2676"/>
        <v>0</v>
      </c>
      <c r="BC290" s="256"/>
      <c r="BD290" s="66"/>
      <c r="BE290" s="66"/>
      <c r="BF290" s="261"/>
      <c r="BG290" s="66"/>
      <c r="BH290" s="175"/>
      <c r="BI290" s="66"/>
      <c r="BJ290" s="66"/>
      <c r="BK290" s="65">
        <f t="shared" si="2668"/>
        <v>0</v>
      </c>
      <c r="BL290" s="267">
        <f t="shared" si="2668"/>
        <v>0</v>
      </c>
      <c r="BM290" s="267">
        <f t="shared" si="2668"/>
        <v>0</v>
      </c>
      <c r="BN290" s="45">
        <f t="shared" si="2579"/>
        <v>1</v>
      </c>
      <c r="BO290" s="59"/>
      <c r="BP290" s="59"/>
      <c r="BR290" s="49">
        <f t="shared" si="2669"/>
        <v>0</v>
      </c>
      <c r="BS290" s="49">
        <f t="shared" si="2669"/>
        <v>0</v>
      </c>
      <c r="BT290" s="49">
        <f t="shared" si="2669"/>
        <v>0</v>
      </c>
      <c r="BU290" s="49">
        <f t="shared" si="2669"/>
        <v>0</v>
      </c>
      <c r="BV290" s="49">
        <f t="shared" si="2669"/>
        <v>0</v>
      </c>
      <c r="BW290" s="49">
        <f t="shared" si="2669"/>
        <v>0</v>
      </c>
      <c r="BX290" s="49">
        <f t="shared" si="2669"/>
        <v>44</v>
      </c>
      <c r="BY290" s="549">
        <f>IF(COUNT(Q290:U290)&gt;1,MINA(Q290:U290)*BY$9,0)</f>
        <v>0</v>
      </c>
      <c r="BZ290" s="85">
        <f t="shared" si="2670"/>
        <v>0</v>
      </c>
      <c r="CA290" s="85">
        <f t="shared" si="2670"/>
        <v>0</v>
      </c>
      <c r="CB290" s="85">
        <f t="shared" si="2670"/>
        <v>0</v>
      </c>
      <c r="CC290" s="85">
        <f t="shared" si="2670"/>
        <v>0</v>
      </c>
      <c r="CD290" s="85">
        <f t="shared" si="2670"/>
        <v>0</v>
      </c>
      <c r="CE290" s="85">
        <f>IF(AC290=0,0,AC290*CE$9)</f>
        <v>0</v>
      </c>
      <c r="CF290" s="85">
        <f>IF(AA290=0,0,AA290*CF$9)</f>
        <v>0</v>
      </c>
      <c r="CG290" s="85">
        <f>IF(AB290=0,0,AB290*CG$9)</f>
        <v>0</v>
      </c>
      <c r="CH290" s="85">
        <f t="shared" si="2671"/>
        <v>0</v>
      </c>
      <c r="CI290" s="85">
        <f t="shared" si="2671"/>
        <v>22.799999999999997</v>
      </c>
      <c r="CJ290" s="85">
        <f t="shared" si="2671"/>
        <v>0</v>
      </c>
      <c r="CK290" s="85">
        <f t="shared" si="2671"/>
        <v>0</v>
      </c>
      <c r="CL290" s="100">
        <f>SUM(BR290:CK290)</f>
        <v>66.8</v>
      </c>
      <c r="CM290" s="50"/>
      <c r="CN290" s="104">
        <f>J290</f>
        <v>68</v>
      </c>
      <c r="CO290" s="101">
        <f>CL290/CN290</f>
        <v>0.98235294117647054</v>
      </c>
      <c r="CP290" s="51">
        <f>Seilareal/Lwl/Lwl</f>
        <v>1.1772853185595569</v>
      </c>
      <c r="CQ290" s="116">
        <f>Seilareal/Depl^0.667/K$7</f>
        <v>1.6011697667902243</v>
      </c>
      <c r="CR290" s="51">
        <f>Seilareal/Lwl/Lwl/SApRS1</f>
        <v>1.7863177017074654</v>
      </c>
      <c r="CS290" s="204"/>
      <c r="CT290" s="204">
        <f>(ROUND(TBF/CT$6,3)*CT$6)*CT$4</f>
        <v>132.50000000000003</v>
      </c>
      <c r="CU290" s="107">
        <f t="shared" si="1267"/>
        <v>1.3252420005864933</v>
      </c>
      <c r="CV290" s="62">
        <f t="shared" si="2119"/>
        <v>4.2793838966525799</v>
      </c>
      <c r="CW290" s="62">
        <f t="shared" si="1268"/>
        <v>1.7902995318641803</v>
      </c>
      <c r="CX290" s="62">
        <f t="shared" si="2120"/>
        <v>1.6603643426724279</v>
      </c>
      <c r="CY290" s="107">
        <f t="shared" si="1269"/>
        <v>1.0471840350622168</v>
      </c>
      <c r="CZ290" s="168" t="str">
        <f t="shared" si="2502"/>
        <v>-</v>
      </c>
      <c r="DA290" s="158"/>
      <c r="DB290" s="168" t="str">
        <f t="shared" si="2572"/>
        <v>-</v>
      </c>
      <c r="DC290" s="160"/>
      <c r="DD290" s="190" t="s">
        <v>134</v>
      </c>
      <c r="DE290" s="62">
        <v>1</v>
      </c>
      <c r="DF290" s="62">
        <v>0.94</v>
      </c>
      <c r="DG290" s="62">
        <v>1.05</v>
      </c>
      <c r="DH290" s="150">
        <v>1.08</v>
      </c>
      <c r="DI290" s="62">
        <f t="shared" si="1299"/>
        <v>2.4650495680484883</v>
      </c>
      <c r="DJ290" s="47">
        <f t="shared" si="1300"/>
        <v>17.391304347826086</v>
      </c>
      <c r="DK290" s="48">
        <f t="shared" si="2580"/>
        <v>0</v>
      </c>
      <c r="DM290" s="107">
        <f t="shared" si="2581"/>
        <v>1.2493488890236075</v>
      </c>
      <c r="DN290" s="141" t="str">
        <f t="shared" si="2582"/>
        <v>-</v>
      </c>
      <c r="DO290" s="107">
        <f t="shared" si="2662"/>
        <v>6.0681827520474423</v>
      </c>
      <c r="DP290" s="133">
        <f t="shared" si="2605"/>
        <v>4.1214790836855126</v>
      </c>
      <c r="DQ290" s="133">
        <f t="shared" si="2606"/>
        <v>0</v>
      </c>
      <c r="DR290" s="133">
        <f t="shared" si="2607"/>
        <v>0</v>
      </c>
      <c r="DS290" s="133">
        <f t="shared" si="2608"/>
        <v>1.9467036683619294</v>
      </c>
      <c r="DT290" s="107">
        <f t="shared" si="2609"/>
        <v>1.6603643426724279</v>
      </c>
      <c r="DU290" s="133">
        <f t="shared" si="2610"/>
        <v>2.1329769189683425</v>
      </c>
      <c r="DW290" s="107">
        <f t="shared" si="1241"/>
        <v>1.3252420005864931</v>
      </c>
      <c r="DX290" s="107">
        <f t="shared" si="1301"/>
        <v>1.3235567232781926</v>
      </c>
      <c r="DZ290" s="107">
        <f t="shared" si="1302"/>
        <v>1.2659874185064579</v>
      </c>
      <c r="EA290" s="122" t="str">
        <f t="shared" si="2583"/>
        <v>-</v>
      </c>
      <c r="EB290" s="107">
        <f t="shared" si="2672"/>
        <v>1.2821932026772471</v>
      </c>
      <c r="EC290" s="122" t="str">
        <f t="shared" si="2584"/>
        <v>-</v>
      </c>
      <c r="ED290" s="107">
        <f t="shared" si="2611"/>
        <v>4.1212251106708608</v>
      </c>
      <c r="EE290" s="107">
        <f t="shared" si="2612"/>
        <v>1.9659622317285537</v>
      </c>
      <c r="EF290" s="107">
        <f t="shared" si="2613"/>
        <v>1.5911837978915342</v>
      </c>
      <c r="EH290" s="107">
        <f t="shared" si="2673"/>
        <v>1.2677351819129434</v>
      </c>
      <c r="EJ290" s="107">
        <f t="shared" si="2614"/>
        <v>4.1212251106708608</v>
      </c>
      <c r="EK290" s="107">
        <f t="shared" si="2615"/>
        <v>1.9660818532533053</v>
      </c>
      <c r="EL290" s="107">
        <f t="shared" si="2616"/>
        <v>1.8575202967688924</v>
      </c>
      <c r="EM290" s="107">
        <f t="shared" si="2674"/>
        <v>1.2664451066324398</v>
      </c>
      <c r="EO290" s="107">
        <f t="shared" si="2617"/>
        <v>6.5576266235632188</v>
      </c>
      <c r="EP290" s="107">
        <f t="shared" si="2618"/>
        <v>4.1212251106708608</v>
      </c>
      <c r="EQ290" s="107">
        <f t="shared" si="2619"/>
        <v>1.5911837978915342</v>
      </c>
      <c r="ER290" s="107">
        <f t="shared" si="2620"/>
        <v>1.6603643426724279</v>
      </c>
      <c r="ES290" s="107">
        <f t="shared" si="2585"/>
        <v>1.2752773645590829</v>
      </c>
      <c r="EU290" s="107">
        <f>IF(SeilBeregnet=0,EU289,(EV:EV*EW:EW)^EU$3)</f>
        <v>2.0469368117622699</v>
      </c>
      <c r="EV290" s="107">
        <f t="shared" si="2621"/>
        <v>4.1212251106708608</v>
      </c>
      <c r="EW290" s="107">
        <f t="shared" si="2622"/>
        <v>1.0166759152511904</v>
      </c>
      <c r="EX290" s="107">
        <f t="shared" si="2623"/>
        <v>1.7133221251981199</v>
      </c>
      <c r="EY290" s="107">
        <f t="shared" si="2586"/>
        <v>1.1792912080647664</v>
      </c>
      <c r="FA290" s="107">
        <f t="shared" si="2587"/>
        <v>2.0469998826562268</v>
      </c>
      <c r="FB290" s="107">
        <f t="shared" si="2624"/>
        <v>4.1214790836855126</v>
      </c>
      <c r="FC290" s="107">
        <f t="shared" si="2625"/>
        <v>1.0166759152511904</v>
      </c>
      <c r="FD290" s="107">
        <f t="shared" si="2626"/>
        <v>1.7133221251981199</v>
      </c>
      <c r="FE290" s="107">
        <f t="shared" si="2588"/>
        <v>1.266597085636098</v>
      </c>
      <c r="FF290" s="141" t="str">
        <f t="shared" si="2589"/>
        <v>-</v>
      </c>
      <c r="FG290" s="107">
        <f t="shared" si="2590"/>
        <v>4.260084081752181</v>
      </c>
      <c r="FH290" s="133">
        <f t="shared" si="2627"/>
        <v>4.1214790836855126</v>
      </c>
      <c r="FI290" s="133">
        <f t="shared" si="2628"/>
        <v>1.0336299166518454</v>
      </c>
      <c r="FJ290" s="107">
        <f t="shared" si="2629"/>
        <v>0.96347183436185602</v>
      </c>
      <c r="FK290" s="107">
        <f t="shared" si="2591"/>
        <v>1.3126636351059322</v>
      </c>
      <c r="FL290" s="141" t="str">
        <f t="shared" si="2592"/>
        <v>-</v>
      </c>
      <c r="FM290" s="107">
        <f t="shared" si="2593"/>
        <v>6.6435941595054713</v>
      </c>
      <c r="FN290" s="133">
        <f t="shared" si="2630"/>
        <v>4.1214790836855126</v>
      </c>
      <c r="FO290" s="133">
        <f t="shared" si="2631"/>
        <v>1.075411407458029</v>
      </c>
      <c r="FP290" s="133">
        <f t="shared" si="2632"/>
        <v>1.9467036683619294</v>
      </c>
      <c r="FQ290" s="107">
        <f t="shared" si="2633"/>
        <v>1.6603643426724279</v>
      </c>
      <c r="FR290" s="107">
        <f t="shared" si="2594"/>
        <v>1.2776355859088946</v>
      </c>
      <c r="FS290" s="141" t="str">
        <f t="shared" si="2595"/>
        <v>-</v>
      </c>
      <c r="FT290" s="107">
        <f t="shared" si="2596"/>
        <v>8.0232984512875518</v>
      </c>
      <c r="FU290" s="133">
        <f t="shared" si="2634"/>
        <v>4.1214790836855126</v>
      </c>
      <c r="FV290" s="133">
        <f t="shared" si="2635"/>
        <v>1.9467036683619294</v>
      </c>
      <c r="FW290" s="107">
        <f t="shared" si="2636"/>
        <v>1.6603643426724279</v>
      </c>
      <c r="FY290" s="336">
        <v>1</v>
      </c>
      <c r="FZ290" s="62">
        <f t="shared" si="2663"/>
        <v>1.2735561836934497</v>
      </c>
      <c r="GA290" s="62">
        <f t="shared" si="1303"/>
        <v>2.1329769189683425</v>
      </c>
      <c r="GB290" s="107">
        <f t="shared" si="1270"/>
        <v>1.5094418832307683</v>
      </c>
      <c r="GC290" s="440"/>
      <c r="GD290" s="17"/>
      <c r="GE290" s="442"/>
      <c r="GF290" s="462"/>
      <c r="GG290" s="17"/>
      <c r="GH290" s="17"/>
      <c r="GI290" s="17"/>
      <c r="GJ290" s="17"/>
      <c r="GL290" s="17"/>
      <c r="GM290" s="442"/>
      <c r="GN290" s="8"/>
      <c r="GO290" s="8"/>
      <c r="GP290" s="8"/>
      <c r="GQ290" s="8"/>
      <c r="GS290" s="17"/>
      <c r="GT290" s="17"/>
      <c r="GU290" s="17"/>
      <c r="GV290" s="629"/>
      <c r="GW290" s="17"/>
      <c r="GX290" s="17"/>
      <c r="GY290" s="17"/>
      <c r="GZ290" s="17"/>
    </row>
    <row r="291" spans="1:208" ht="15.6" x14ac:dyDescent="0.3">
      <c r="A291" s="52" t="s">
        <v>227</v>
      </c>
      <c r="B291" s="218">
        <f t="shared" si="1639"/>
        <v>55.118110236220474</v>
      </c>
      <c r="C291" s="53" t="s">
        <v>38</v>
      </c>
      <c r="D291" s="53"/>
      <c r="E291" s="53"/>
      <c r="F291" s="53"/>
      <c r="G291" s="54"/>
      <c r="H291" s="112">
        <f>J292</f>
        <v>102</v>
      </c>
      <c r="I291" s="601">
        <f>H292/100</f>
        <v>1.49</v>
      </c>
      <c r="J291" s="651">
        <f>IF(DC292=0,"-",DC292)</f>
        <v>1.42</v>
      </c>
      <c r="K291" s="123" t="str">
        <f>A291</f>
        <v>MOSK II</v>
      </c>
      <c r="L291" s="116"/>
      <c r="M291" s="116"/>
      <c r="N291" s="92"/>
      <c r="O291" s="165"/>
      <c r="P291" s="165"/>
      <c r="Q291" s="165">
        <v>28</v>
      </c>
      <c r="R291" s="165"/>
      <c r="S291" s="165"/>
      <c r="T291" s="165"/>
      <c r="U291" s="165"/>
      <c r="V291" s="559"/>
      <c r="W291" s="559"/>
      <c r="X291" s="165"/>
      <c r="Y291" s="165"/>
      <c r="Z291" s="165"/>
      <c r="AA291" s="165"/>
      <c r="AB291" s="165"/>
      <c r="AC291" s="165"/>
      <c r="AD291" s="165"/>
      <c r="AE291" s="165">
        <v>74</v>
      </c>
      <c r="AF291" s="165"/>
      <c r="AG291" s="552"/>
      <c r="AH291" s="244">
        <v>18</v>
      </c>
      <c r="AI291" s="244">
        <v>18</v>
      </c>
      <c r="AJ291" s="554"/>
      <c r="AK291" s="339"/>
      <c r="AL291" s="268"/>
      <c r="AM291" s="339"/>
      <c r="AN291" s="268" t="s">
        <v>214</v>
      </c>
      <c r="AO291" s="45">
        <f>VLOOKUP(AN291,Skrogform!$1:$1048576,3,FALSE)</f>
        <v>1</v>
      </c>
      <c r="AP291" s="55">
        <v>16.8</v>
      </c>
      <c r="AQ291" s="55">
        <v>9</v>
      </c>
      <c r="AR291" s="55">
        <v>3.14</v>
      </c>
      <c r="AS291" s="55">
        <v>1.9</v>
      </c>
      <c r="AT291" s="637">
        <f>AU291</f>
        <v>13.5</v>
      </c>
      <c r="AU291" s="55">
        <v>13.5</v>
      </c>
      <c r="AV291" s="55" t="s">
        <v>456</v>
      </c>
      <c r="AW291" s="55"/>
      <c r="AX291" s="253"/>
      <c r="AY291" s="253">
        <v>36</v>
      </c>
      <c r="AZ291" s="254">
        <f>AY291*7</f>
        <v>252</v>
      </c>
      <c r="BA291" s="253"/>
      <c r="BB291" s="253"/>
      <c r="BC291" s="244">
        <f>Depl+Diesel/1000*0.84+Vann/1000</f>
        <v>13.5</v>
      </c>
      <c r="BD291" s="95">
        <f>Bredde/(Loa+Lwl)*2</f>
        <v>0.24341085271317831</v>
      </c>
      <c r="BE291" s="95" t="e">
        <f>(Kjøl+Ballast)/Depl</f>
        <v>#VALUE!</v>
      </c>
      <c r="BF291" s="260" t="e">
        <f>BF$7*((Depl-Kjøl-Ballast-VektMotor/1000-VektAnnet/1000)/Lwl/Lwl/Bredde)</f>
        <v>#VALUE!</v>
      </c>
      <c r="BG291" s="95">
        <f>BG$7*(Depl/Loa/Lwl/Lwl)</f>
        <v>0.73005184523809519</v>
      </c>
      <c r="BH291" s="174">
        <f>BH$7*(Depl/Loa/Lwl/Bredde)</f>
        <v>0.77346181187443119</v>
      </c>
      <c r="BI291" s="95">
        <f>BI$7*Bredde/(Loa+Lwl)*2</f>
        <v>0.69437526048178699</v>
      </c>
      <c r="BJ291" s="95">
        <f>BJ$7*(Dypg/Lwl)</f>
        <v>1.1546859903381643</v>
      </c>
      <c r="BK291" s="56"/>
      <c r="BL291" s="268"/>
      <c r="BM291" s="268"/>
      <c r="BN291" s="45">
        <f t="shared" si="2579"/>
        <v>1</v>
      </c>
      <c r="BO291" s="59"/>
      <c r="BP291" s="59"/>
      <c r="BR291" s="209"/>
      <c r="BS291" s="209"/>
      <c r="BT291" s="209" t="str">
        <f>$A291</f>
        <v>MOSK II</v>
      </c>
      <c r="BU291" s="10"/>
      <c r="BV291" s="10"/>
      <c r="BW291" s="10"/>
      <c r="BX291" s="10"/>
      <c r="BY291" s="549"/>
      <c r="BZ291" s="10"/>
      <c r="CA291" s="10"/>
      <c r="CB291" s="209" t="str">
        <f>$A291</f>
        <v>MOSK II</v>
      </c>
      <c r="CC291" s="10"/>
      <c r="CD291" s="10"/>
      <c r="CE291" s="10"/>
      <c r="CF291" s="10"/>
      <c r="CG291" s="10"/>
      <c r="CH291" s="10"/>
      <c r="CI291" s="10">
        <f>IF(AE291=0,0,AE291*CI$9)</f>
        <v>70.3</v>
      </c>
      <c r="CJ291" s="10"/>
      <c r="CK291" s="10"/>
      <c r="CL291" s="209"/>
      <c r="CM291" s="10"/>
      <c r="CN291" s="209" t="str">
        <f>$A291</f>
        <v>MOSK II</v>
      </c>
      <c r="CO291" s="207"/>
      <c r="CP291" s="207"/>
      <c r="CQ291" s="116"/>
      <c r="CR291" s="207"/>
      <c r="CS291" s="203"/>
      <c r="CT291" s="203" t="s">
        <v>23</v>
      </c>
      <c r="CU291" s="107" t="str">
        <f t="shared" si="1267"/>
        <v>-</v>
      </c>
      <c r="CV291" s="62" t="str">
        <f t="shared" si="2119"/>
        <v>-</v>
      </c>
      <c r="CW291" s="62" t="str">
        <f t="shared" si="1268"/>
        <v>-</v>
      </c>
      <c r="CX291" s="62" t="str">
        <f t="shared" si="2120"/>
        <v>-</v>
      </c>
      <c r="CY291" s="107" t="str">
        <f t="shared" si="1269"/>
        <v>-</v>
      </c>
      <c r="CZ291" s="168" t="str">
        <f t="shared" si="2502"/>
        <v>-</v>
      </c>
      <c r="DA291" s="158"/>
      <c r="DB291" s="168" t="str">
        <f t="shared" si="2572"/>
        <v>-</v>
      </c>
      <c r="DC291" s="160">
        <v>1.42</v>
      </c>
      <c r="DD291" s="190" t="s">
        <v>134</v>
      </c>
      <c r="DE291" s="29" t="s">
        <v>23</v>
      </c>
      <c r="DF291" s="29" t="s">
        <v>23</v>
      </c>
      <c r="DG291" s="29" t="s">
        <v>23</v>
      </c>
      <c r="DH291" s="149">
        <v>2022</v>
      </c>
      <c r="DI291" s="62" t="str">
        <f t="shared" si="1299"/>
        <v>-</v>
      </c>
      <c r="DJ291" s="47">
        <f t="shared" si="1300"/>
        <v>14.45966514459665</v>
      </c>
      <c r="DK291" s="48">
        <f t="shared" si="2580"/>
        <v>0</v>
      </c>
      <c r="DM291" s="107" t="str">
        <f t="shared" si="2581"/>
        <v>-</v>
      </c>
      <c r="DN291" s="141" t="str">
        <f t="shared" si="2582"/>
        <v>-</v>
      </c>
      <c r="DO291" s="107">
        <f t="shared" si="2662"/>
        <v>7.0925414943249887</v>
      </c>
      <c r="DP291" s="133">
        <f>IF(SeilBeregnet=0,DP186,(SeilBeregnet^0.5/(Depl^0.3333))^DP$3*DP$7)</f>
        <v>4.6562011671243466</v>
      </c>
      <c r="DQ291" s="133">
        <f>IF(SeilBeregnet=0,DQ186,(SeilBeregnet^0.5/Lwl)^DQ$3*DQ$7)</f>
        <v>0</v>
      </c>
      <c r="DR291" s="133">
        <f>IF(SeilBeregnet=0,DR186,(0.1*Loa/Depl^0.3333)^DR$3*DR$7)</f>
        <v>0</v>
      </c>
      <c r="DS291" s="133">
        <f>IF(SeilBeregnet=0,DS186,((Loa)/Bredde)^DS$3*DS$7)</f>
        <v>2.4363403272006425</v>
      </c>
      <c r="DT291" s="107">
        <f>IF(SeilBeregnet=0,DT186,(Lwl)^DT$3)</f>
        <v>1.9315671412704052</v>
      </c>
      <c r="DU291" s="133">
        <f>IF(SeilBeregnet=0,DU186,(Dypg/Loa)^DU$3*5*DU$7)</f>
        <v>1.8470962903655979</v>
      </c>
      <c r="DW291" s="107" t="str">
        <f t="shared" si="1241"/>
        <v>-</v>
      </c>
      <c r="DX291" s="107" t="str">
        <f t="shared" si="1301"/>
        <v>-</v>
      </c>
      <c r="DZ291" s="107" t="str">
        <f t="shared" si="1302"/>
        <v>-</v>
      </c>
      <c r="EA291" s="122" t="str">
        <f t="shared" si="2583"/>
        <v>-</v>
      </c>
      <c r="EB291" s="107" t="str">
        <f t="shared" si="2672"/>
        <v>-</v>
      </c>
      <c r="EC291" s="122" t="str">
        <f t="shared" si="2584"/>
        <v>-</v>
      </c>
      <c r="ED291" s="107">
        <f>IF(SeilBeregnet=0,ED186,SeilBeregnet^0.5/Depl^0.33333)</f>
        <v>4.6557127794619042</v>
      </c>
      <c r="EE291" s="107">
        <f>IF(SeilBeregnet=0,EE186,Lwl^0.3333)</f>
        <v>2.4053316014652082</v>
      </c>
      <c r="EF291" s="107">
        <f>IF(SeilBeregnet=0,EF186,((Loa+Lwl)/Bredde)^EF$3)</f>
        <v>1.7704038094864074</v>
      </c>
      <c r="EH291" s="107" t="str">
        <f t="shared" si="2673"/>
        <v>-</v>
      </c>
      <c r="EJ291" s="107">
        <f>IF(SeilBeregnet=0,EJ186,SeilBeregnet^0.5/Depl^0.33333)</f>
        <v>4.6557127794619042</v>
      </c>
      <c r="EK291" s="107">
        <f>IF(SeilBeregnet=0,EK186,Lwl^EK$3)</f>
        <v>2.4055216296858064</v>
      </c>
      <c r="EL291" s="107">
        <f>IF(SeilBeregnet=0,EL186,((Loa+Lwl)/Bredde)^EL$3)</f>
        <v>2.1415589697189774</v>
      </c>
      <c r="EM291" s="107" t="str">
        <f t="shared" si="2674"/>
        <v>-</v>
      </c>
      <c r="EO291" s="107">
        <f>IF(SeilBeregnet=0,EO186,(EP291*EQ291)^EO$3)</f>
        <v>8.2424916406339062</v>
      </c>
      <c r="EP291" s="107">
        <f>IF(SeilBeregnet=0,EP186,SeilBeregnet^0.5/Depl^0.33333)</f>
        <v>4.6557127794619042</v>
      </c>
      <c r="EQ291" s="107">
        <f>IF(SeilBeregnet=0,EQ186,((Loa+Lwl)/Bredde)^EQ$3)</f>
        <v>1.7704038094864074</v>
      </c>
      <c r="ER291" s="107">
        <f>IF(SeilBeregnet=0,ER186,Lwl^ER$3)</f>
        <v>1.9315671412704052</v>
      </c>
      <c r="ES291" s="107" t="str">
        <f t="shared" si="2585"/>
        <v>-</v>
      </c>
      <c r="EU291" s="107">
        <f>IF(SeilBeregnet=0,EU186,(EV:EV*EW:EW)^EU$3)</f>
        <v>2.2948819567878824</v>
      </c>
      <c r="EV291" s="107">
        <f>IF(SeilBeregnet=0,EV186,SeilBeregnet^0.5/Depl^0.33333)</f>
        <v>4.6557127794619042</v>
      </c>
      <c r="EW291" s="107">
        <f>IF(SeilBeregnet=0,EW186,((Loa+Lwl)/Bredde/6)^EW$3)</f>
        <v>1.1311873058026716</v>
      </c>
      <c r="EX291" s="107">
        <f>IF(SeilBeregnet=0,EX186,(Lwl*0.7+Loa*0.3)^EX$3)</f>
        <v>2.0037084229436135</v>
      </c>
      <c r="EY291" s="107" t="str">
        <f t="shared" si="2586"/>
        <v>-</v>
      </c>
      <c r="FA291" s="107">
        <f t="shared" si="2587"/>
        <v>2.295002321025982</v>
      </c>
      <c r="FB291" s="107">
        <f>IF(SeilBeregnet=0,FB186,SeilBeregnet^0.5/Depl^0.3333)</f>
        <v>4.6562011671243466</v>
      </c>
      <c r="FC291" s="107">
        <f>IF(SeilBeregnet=0,FC186,((Loa+Lwl)/Bredde/6)^FC$3)</f>
        <v>1.1311873058026716</v>
      </c>
      <c r="FD291" s="107">
        <f>IF(SeilBeregnet=0,FD186,(Lwl*0.7+Loa*0.3)^FD$3)</f>
        <v>2.0037084229436135</v>
      </c>
      <c r="FE291" s="107" t="str">
        <f t="shared" si="2588"/>
        <v>-</v>
      </c>
      <c r="FF291" s="141" t="str">
        <f t="shared" si="2589"/>
        <v>-</v>
      </c>
      <c r="FG291" s="107">
        <f t="shared" si="2590"/>
        <v>5.958003870465844</v>
      </c>
      <c r="FH291" s="133">
        <f>IF(SeilBeregnet=0,FH186,(SeilBeregnet^0.5/(Depl^0.3333))^FH$3)</f>
        <v>4.6562011671243466</v>
      </c>
      <c r="FI291" s="133">
        <f>IF(SeilBeregnet=0,FI186,((Loa+Lwl)/Bredde/6)^FI$3)</f>
        <v>1.2795847208091067</v>
      </c>
      <c r="FJ291" s="107">
        <f>IF(SeilBeregnet=0,FJ186,(Lwl*0.07+Loa*0.03)^FJ$3)</f>
        <v>1.126768049853176</v>
      </c>
      <c r="FK291" s="107" t="str">
        <f t="shared" si="2591"/>
        <v>-</v>
      </c>
      <c r="FL291" s="141" t="str">
        <f t="shared" si="2592"/>
        <v>-</v>
      </c>
      <c r="FM291" s="107">
        <f t="shared" si="2593"/>
        <v>7.6653277387982701</v>
      </c>
      <c r="FN291" s="133">
        <f>IF(SeilBeregnet=0,FN186,(SeilBeregnet^0.5/(Depl^0.3333))^FN$3)</f>
        <v>4.6562011671243466</v>
      </c>
      <c r="FO291" s="133">
        <f>IF(SeilBeregnet=0,FO186,(SeilBeregnet^0.5/Lwl*FO$7)^FO$3)</f>
        <v>1.0727862444732814</v>
      </c>
      <c r="FP291" s="133">
        <f>IF(SeilBeregnet=0,FP186,((Loa)/Bredde)^FP$3*FP$7)</f>
        <v>2.4363403272006425</v>
      </c>
      <c r="FQ291" s="107">
        <f>IF(SeilBeregnet=0,FQ186,(Lwl)^FQ$3)</f>
        <v>1.9315671412704052</v>
      </c>
      <c r="FR291" s="107" t="str">
        <f t="shared" si="2594"/>
        <v>-</v>
      </c>
      <c r="FS291" s="141" t="str">
        <f t="shared" si="2595"/>
        <v>-</v>
      </c>
      <c r="FT291" s="107">
        <f t="shared" si="2596"/>
        <v>11.344090675023745</v>
      </c>
      <c r="FU291" s="133">
        <f>IF(SeilBeregnet=0,FU186,(SeilBeregnet^0.5/(Depl^0.3333))^FU$3)</f>
        <v>4.6562011671243466</v>
      </c>
      <c r="FV291" s="133">
        <f>IF(SeilBeregnet=0,FV186,(Loa/Bredde)^FV$3)</f>
        <v>2.4363403272006425</v>
      </c>
      <c r="FW291" s="107">
        <f>IF(SeilBeregnet=0,FW186,Lwl^FW$3)</f>
        <v>1.9315671412704052</v>
      </c>
      <c r="FY291" s="336">
        <v>1</v>
      </c>
      <c r="FZ291" s="62" t="str">
        <f t="shared" si="2663"/>
        <v>-</v>
      </c>
      <c r="GA291" s="62">
        <f t="shared" si="1303"/>
        <v>1.6814817728363731</v>
      </c>
      <c r="GB291" s="107" t="str">
        <f t="shared" si="1270"/>
        <v>-</v>
      </c>
      <c r="GC291" s="441" t="s">
        <v>844</v>
      </c>
      <c r="GD291" s="57" t="s">
        <v>840</v>
      </c>
      <c r="GE291" s="436" t="s">
        <v>845</v>
      </c>
      <c r="GF291" s="75"/>
      <c r="GG291" s="57"/>
      <c r="GH291" s="57"/>
      <c r="GI291" s="57"/>
      <c r="GJ291" s="57"/>
      <c r="GL291" s="57" t="s">
        <v>478</v>
      </c>
      <c r="GM291" s="436" t="s">
        <v>478</v>
      </c>
      <c r="GN291" s="58" t="s">
        <v>478</v>
      </c>
      <c r="GO291" s="58" t="s">
        <v>478</v>
      </c>
      <c r="GP291" s="58" t="s">
        <v>478</v>
      </c>
      <c r="GQ291" s="58" t="s">
        <v>478</v>
      </c>
      <c r="GS291" s="57" t="s">
        <v>208</v>
      </c>
      <c r="GT291" s="57" t="s">
        <v>841</v>
      </c>
      <c r="GU291" s="57" t="s">
        <v>842</v>
      </c>
      <c r="GV291" s="632" t="s">
        <v>843</v>
      </c>
      <c r="GW291" s="57">
        <v>1919</v>
      </c>
      <c r="GX291" s="57" t="s">
        <v>431</v>
      </c>
      <c r="GY291" s="57"/>
      <c r="GZ291" s="57"/>
    </row>
    <row r="292" spans="1:208" ht="15.6" x14ac:dyDescent="0.3">
      <c r="A292" s="60" t="s">
        <v>68</v>
      </c>
      <c r="B292" s="218"/>
      <c r="C292" s="61" t="str">
        <f>C291</f>
        <v>Bermuda</v>
      </c>
      <c r="D292" s="61"/>
      <c r="E292" s="61"/>
      <c r="F292" s="61"/>
      <c r="G292" s="54"/>
      <c r="H292" s="204">
        <f>IF(StH=0,0,TBFavrundet)</f>
        <v>149</v>
      </c>
      <c r="I292" s="63">
        <f>COUNTA(O292:AG292)</f>
        <v>2</v>
      </c>
      <c r="J292" s="222">
        <f>SUM(O292:AG292)</f>
        <v>102</v>
      </c>
      <c r="K292" s="116">
        <f>Seilareal/Depl^0.667/K$7</f>
        <v>1.6658009930431361</v>
      </c>
      <c r="L292" s="116">
        <f>Seilareal/Lwl/Lwl/L$7</f>
        <v>1.9106983416782073</v>
      </c>
      <c r="M292" s="92">
        <f>RiggF</f>
        <v>0.96372549019607845</v>
      </c>
      <c r="N292" s="242">
        <f>StHfaktor</f>
        <v>1.0905077326652577</v>
      </c>
      <c r="O292" s="143"/>
      <c r="P292" s="143"/>
      <c r="Q292" s="165">
        <v>28</v>
      </c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65">
        <v>74</v>
      </c>
      <c r="AF292" s="143"/>
      <c r="AG292" s="551"/>
      <c r="AH292" s="557">
        <f t="shared" ref="AH292:AI293" si="2677">AH291</f>
        <v>18</v>
      </c>
      <c r="AI292" s="557">
        <f t="shared" si="2677"/>
        <v>18</v>
      </c>
      <c r="AJ292" s="337">
        <f t="shared" ref="AJ292:AL293" si="2678" xml:space="preserve"> AJ291</f>
        <v>0</v>
      </c>
      <c r="AK292" s="339"/>
      <c r="AL292" s="337">
        <f t="shared" si="2678"/>
        <v>0</v>
      </c>
      <c r="AM292" s="339"/>
      <c r="AN292" s="267" t="str">
        <f xml:space="preserve"> AN291</f>
        <v>Meter</v>
      </c>
      <c r="AO292" s="45">
        <f>VLOOKUP(AN292,Skrogform!$1:$1048576,3,FALSE)</f>
        <v>1</v>
      </c>
      <c r="AP292" s="64">
        <f t="shared" ref="AP292:AZ292" si="2679">AP291</f>
        <v>16.8</v>
      </c>
      <c r="AQ292" s="64">
        <f t="shared" si="2679"/>
        <v>9</v>
      </c>
      <c r="AR292" s="64">
        <f t="shared" si="2679"/>
        <v>3.14</v>
      </c>
      <c r="AS292" s="64">
        <f t="shared" si="2679"/>
        <v>1.9</v>
      </c>
      <c r="AT292" s="64">
        <f t="shared" ref="AT292" si="2680">AT291</f>
        <v>13.5</v>
      </c>
      <c r="AU292" s="64">
        <f t="shared" si="2679"/>
        <v>13.5</v>
      </c>
      <c r="AV292" s="64" t="str">
        <f t="shared" si="2679"/>
        <v>?</v>
      </c>
      <c r="AW292" s="64">
        <f t="shared" si="2679"/>
        <v>0</v>
      </c>
      <c r="AX292" s="256">
        <f>AX291</f>
        <v>0</v>
      </c>
      <c r="AY292" s="256">
        <f t="shared" si="2679"/>
        <v>36</v>
      </c>
      <c r="AZ292" s="256">
        <f t="shared" si="2679"/>
        <v>252</v>
      </c>
      <c r="BA292" s="256">
        <f t="shared" ref="BA292:BB292" si="2681">BA291</f>
        <v>0</v>
      </c>
      <c r="BB292" s="256">
        <f t="shared" si="2681"/>
        <v>0</v>
      </c>
      <c r="BC292" s="256"/>
      <c r="BD292" s="66"/>
      <c r="BE292" s="66"/>
      <c r="BF292" s="261"/>
      <c r="BG292" s="66"/>
      <c r="BH292" s="175"/>
      <c r="BI292" s="66"/>
      <c r="BJ292" s="66"/>
      <c r="BK292" s="65">
        <f t="shared" ref="BK292:BM292" si="2682" xml:space="preserve"> BK291</f>
        <v>0</v>
      </c>
      <c r="BL292" s="267">
        <f t="shared" si="2682"/>
        <v>0</v>
      </c>
      <c r="BM292" s="267">
        <f t="shared" si="2682"/>
        <v>0</v>
      </c>
      <c r="BN292" s="45">
        <f t="shared" si="2579"/>
        <v>1</v>
      </c>
      <c r="BO292" s="59"/>
      <c r="BP292" s="59"/>
      <c r="BR292" s="49">
        <f t="shared" ref="BR292:BX293" si="2683">IF(O292=0,0,O292*BR$9)</f>
        <v>0</v>
      </c>
      <c r="BS292" s="49">
        <f t="shared" si="2683"/>
        <v>0</v>
      </c>
      <c r="BT292" s="49">
        <f t="shared" si="2683"/>
        <v>28</v>
      </c>
      <c r="BU292" s="49">
        <f t="shared" si="2683"/>
        <v>0</v>
      </c>
      <c r="BV292" s="49">
        <f t="shared" si="2683"/>
        <v>0</v>
      </c>
      <c r="BW292" s="49">
        <f t="shared" si="2683"/>
        <v>0</v>
      </c>
      <c r="BX292" s="49">
        <f t="shared" si="2683"/>
        <v>0</v>
      </c>
      <c r="BY292" s="549">
        <f>IF(COUNT(Q292:U292)&gt;1,MINA(Q292:U292)*BY$9,0)</f>
        <v>0</v>
      </c>
      <c r="BZ292" s="85">
        <f t="shared" ref="BZ292:CD293" si="2684">IF(V292=0,0,V292*BZ$9)</f>
        <v>0</v>
      </c>
      <c r="CA292" s="85">
        <f t="shared" si="2684"/>
        <v>0</v>
      </c>
      <c r="CB292" s="85">
        <f t="shared" si="2684"/>
        <v>0</v>
      </c>
      <c r="CC292" s="85">
        <f t="shared" si="2684"/>
        <v>0</v>
      </c>
      <c r="CD292" s="85">
        <f t="shared" si="2684"/>
        <v>0</v>
      </c>
      <c r="CE292" s="85">
        <f>IF(AC292=0,0,AC292*CE$9)</f>
        <v>0</v>
      </c>
      <c r="CF292" s="85">
        <f>IF(AA292=0,0,AA292*CF$9)</f>
        <v>0</v>
      </c>
      <c r="CG292" s="85">
        <f>IF(AB292=0,0,AB292*CG$9)</f>
        <v>0</v>
      </c>
      <c r="CH292" s="85">
        <f>IF(AD292=0,0,AD292*CH$9)</f>
        <v>0</v>
      </c>
      <c r="CI292" s="85">
        <f>IF(AE292=0,0,AE292*CI$9)</f>
        <v>70.3</v>
      </c>
      <c r="CJ292" s="85">
        <f>IF(AF292=0,0,AF292*CJ$9)</f>
        <v>0</v>
      </c>
      <c r="CK292" s="85">
        <f>IF(AG292=0,0,AG292*CK$9)</f>
        <v>0</v>
      </c>
      <c r="CL292" s="100">
        <f>SUM(BR292:CK292)</f>
        <v>98.3</v>
      </c>
      <c r="CM292" s="50"/>
      <c r="CN292" s="104">
        <f>J292</f>
        <v>102</v>
      </c>
      <c r="CO292" s="101">
        <f>CL292/CN292</f>
        <v>0.96372549019607845</v>
      </c>
      <c r="CP292" s="51">
        <f>Seilareal/Lwl/Lwl</f>
        <v>1.2592592592592593</v>
      </c>
      <c r="CQ292" s="116">
        <f>Seilareal/Depl^0.667/K$7</f>
        <v>1.6658009930431361</v>
      </c>
      <c r="CR292" s="51">
        <f>Seilareal/Lwl/Lwl/SApRS1</f>
        <v>1.9106983416782073</v>
      </c>
      <c r="CS292" s="204"/>
      <c r="CT292" s="204">
        <f>(ROUND(TBF/CT$6,3)*CT$6)*CT$4</f>
        <v>149</v>
      </c>
      <c r="CU292" s="107">
        <f t="shared" si="1267"/>
        <v>1.4908188546802743</v>
      </c>
      <c r="CV292" s="62">
        <f t="shared" si="2119"/>
        <v>4.5185454255010207</v>
      </c>
      <c r="CW292" s="62">
        <f t="shared" si="1268"/>
        <v>2.0268893050132437</v>
      </c>
      <c r="CX292" s="62">
        <f t="shared" si="2120"/>
        <v>1.7320508075688774</v>
      </c>
      <c r="CY292" s="107">
        <f t="shared" si="1269"/>
        <v>1.0905077326652577</v>
      </c>
      <c r="CZ292" s="168" t="str">
        <f t="shared" si="2502"/>
        <v>-</v>
      </c>
      <c r="DA292" s="159">
        <f>DA291</f>
        <v>0</v>
      </c>
      <c r="DB292" s="168">
        <f t="shared" si="2572"/>
        <v>1.3203508771929826</v>
      </c>
      <c r="DC292" s="159">
        <f>DC291</f>
        <v>1.42</v>
      </c>
      <c r="DD292" s="190" t="s">
        <v>134</v>
      </c>
      <c r="DE292" s="62" t="s">
        <v>102</v>
      </c>
      <c r="DF292" s="62" t="s">
        <v>102</v>
      </c>
      <c r="DG292" s="62" t="s">
        <v>102</v>
      </c>
      <c r="DH292" s="150" t="s">
        <v>102</v>
      </c>
      <c r="DI292" s="62">
        <f t="shared" si="1299"/>
        <v>2.194228467316091</v>
      </c>
      <c r="DJ292" s="47">
        <f t="shared" si="1300"/>
        <v>14.45966514459665</v>
      </c>
      <c r="DK292" s="48">
        <f t="shared" si="2580"/>
        <v>0</v>
      </c>
      <c r="DM292" s="107">
        <f t="shared" si="2581"/>
        <v>1.3911624827126914</v>
      </c>
      <c r="DN292" s="141" t="str">
        <f t="shared" si="2582"/>
        <v>-</v>
      </c>
      <c r="DO292" s="107">
        <f t="shared" si="2662"/>
        <v>6.4773228538764549</v>
      </c>
      <c r="DP292" s="133">
        <f>IF(SeilBeregnet=0,DP291,(SeilBeregnet^0.5/(Depl^0.3333))^DP$3*DP$7)</f>
        <v>4.164247310073879</v>
      </c>
      <c r="DQ292" s="133">
        <f>IF(SeilBeregnet=0,DQ291,(SeilBeregnet^0.5/Lwl)^DQ$3*DQ$7)</f>
        <v>0</v>
      </c>
      <c r="DR292" s="133">
        <f>IF(SeilBeregnet=0,DR291,(0.1*Loa/Depl^0.3333)^DR$3*DR$7)</f>
        <v>0</v>
      </c>
      <c r="DS292" s="133">
        <f>IF(SeilBeregnet=0,DS291,((Loa)/Bredde)^DS$3*DS$7)</f>
        <v>2.3130755438025754</v>
      </c>
      <c r="DT292" s="107">
        <f>IF(SeilBeregnet=0,DT291,(Lwl)^DT$3)</f>
        <v>1.7320508075688774</v>
      </c>
      <c r="DU292" s="133">
        <f>IF(SeilBeregnet=0,DU291,(Dypg/Loa)^DU$3*5*DU$7)</f>
        <v>1.6814817728363731</v>
      </c>
      <c r="DW292" s="107">
        <f t="shared" ref="DW292:DW298" si="2685">IF(SeilBeregnet=0,"-",Skaleringsfaktor*(1*(LBf+SaDeplf)*Lf*PropF+Strikkf2)+ErfaringsF+Dyp_F)</f>
        <v>1.4908188546802741</v>
      </c>
      <c r="DX292" s="107">
        <f t="shared" si="1301"/>
        <v>1.4857198463876848</v>
      </c>
      <c r="DZ292" s="107">
        <f t="shared" si="1302"/>
        <v>1.4217042732181993</v>
      </c>
      <c r="EA292" s="122" t="str">
        <f t="shared" si="2583"/>
        <v>-</v>
      </c>
      <c r="EB292" s="107">
        <f t="shared" si="2672"/>
        <v>1.4198814918891722</v>
      </c>
      <c r="EC292" s="122" t="str">
        <f t="shared" si="2584"/>
        <v>-</v>
      </c>
      <c r="ED292" s="107">
        <f>IF(SeilBeregnet=0,ED291,SeilBeregnet^0.5/Depl^0.33333)</f>
        <v>4.1639221754617637</v>
      </c>
      <c r="EE292" s="107">
        <f>IF(SeilBeregnet=0,EE291,Lwl^0.3333)</f>
        <v>2.0799314815874812</v>
      </c>
      <c r="EF292" s="107">
        <f>IF(SeilBeregnet=0,EF291,((Loa+Lwl)/Bredde)^EF$3)</f>
        <v>1.6930606440936209</v>
      </c>
      <c r="EH292" s="107">
        <f t="shared" si="2673"/>
        <v>1.4137934312873297</v>
      </c>
      <c r="EJ292" s="107">
        <f>IF(SeilBeregnet=0,EJ291,SeilBeregnet^0.5/Depl^0.33333)</f>
        <v>4.1639221754617637</v>
      </c>
      <c r="EK292" s="107">
        <f>IF(SeilBeregnet=0,EK291,Lwl^EK$3)</f>
        <v>2.0800685884033645</v>
      </c>
      <c r="EL292" s="107">
        <f>IF(SeilBeregnet=0,EL291,((Loa+Lwl)/Bredde)^EL$3)</f>
        <v>2.0177446120572395</v>
      </c>
      <c r="EM292" s="107">
        <f t="shared" si="2674"/>
        <v>1.3971014386232801</v>
      </c>
      <c r="EO292" s="107">
        <f>IF(SeilBeregnet=0,EO291,(EP292*EQ292)^EO$3)</f>
        <v>7.0497727603430045</v>
      </c>
      <c r="EP292" s="107">
        <f>IF(SeilBeregnet=0,EP291,SeilBeregnet^0.5/Depl^0.33333)</f>
        <v>4.1639221754617637</v>
      </c>
      <c r="EQ292" s="107">
        <f>IF(SeilBeregnet=0,EQ291,((Loa+Lwl)/Bredde)^EQ$3)</f>
        <v>1.6930606440936209</v>
      </c>
      <c r="ER292" s="107">
        <f>IF(SeilBeregnet=0,ER291,Lwl^ER$3)</f>
        <v>1.7320508075688774</v>
      </c>
      <c r="ES292" s="107">
        <f t="shared" si="2585"/>
        <v>1.4324947052283785</v>
      </c>
      <c r="EU292" s="107">
        <f>IF(SeilBeregnet=0,EU291,(EV:EV*EW:EW)^EU$3)</f>
        <v>2.1223580498408774</v>
      </c>
      <c r="EV292" s="107">
        <f>IF(SeilBeregnet=0,EV291,SeilBeregnet^0.5/Depl^0.33333)</f>
        <v>4.1639221754617637</v>
      </c>
      <c r="EW292" s="107">
        <f>IF(SeilBeregnet=0,EW291,((Loa+Lwl)/Bredde/6)^EW$3)</f>
        <v>1.0817694236143716</v>
      </c>
      <c r="EX292" s="107">
        <f>IF(SeilBeregnet=0,EX291,(Lwl*0.7+Loa*0.3)^EX$3)</f>
        <v>1.8350726547187572</v>
      </c>
      <c r="EY292" s="107">
        <f t="shared" si="2586"/>
        <v>1.3096434984427749</v>
      </c>
      <c r="FA292" s="107">
        <f t="shared" si="2587"/>
        <v>2.1224409090493701</v>
      </c>
      <c r="FB292" s="107">
        <f>IF(SeilBeregnet=0,FB291,SeilBeregnet^0.5/Depl^0.3333)</f>
        <v>4.164247310073879</v>
      </c>
      <c r="FC292" s="107">
        <f>IF(SeilBeregnet=0,FC291,((Loa+Lwl)/Bredde/6)^FC$3)</f>
        <v>1.0817694236143716</v>
      </c>
      <c r="FD292" s="107">
        <f>IF(SeilBeregnet=0,FD291,(Lwl*0.7+Loa*0.3)^FD$3)</f>
        <v>1.8350726547187572</v>
      </c>
      <c r="FE292" s="107">
        <f t="shared" si="2588"/>
        <v>1.4894490174908848</v>
      </c>
      <c r="FF292" s="141" t="str">
        <f t="shared" si="2589"/>
        <v>-</v>
      </c>
      <c r="FG292" s="107">
        <f t="shared" si="2590"/>
        <v>4.8731066660025029</v>
      </c>
      <c r="FH292" s="133">
        <f>IF(SeilBeregnet=0,FH291,(SeilBeregnet^0.5/(Depl^0.3333))^FH$3)</f>
        <v>4.164247310073879</v>
      </c>
      <c r="FI292" s="133">
        <f>IF(SeilBeregnet=0,FI291,((Loa+Lwl)/Bredde/6)^FI$3)</f>
        <v>1.1702250858669698</v>
      </c>
      <c r="FJ292" s="107">
        <f>IF(SeilBeregnet=0,FJ291,(Lwl*0.07+Loa*0.03)^FJ$3)</f>
        <v>1.0319371884751178</v>
      </c>
      <c r="FK292" s="107">
        <f t="shared" si="2591"/>
        <v>1.4590708281164932</v>
      </c>
      <c r="FL292" s="141" t="str">
        <f t="shared" si="2592"/>
        <v>-</v>
      </c>
      <c r="FM292" s="107">
        <f t="shared" si="2593"/>
        <v>7.0789490368049375</v>
      </c>
      <c r="FN292" s="133">
        <f>IF(SeilBeregnet=0,FN291,(SeilBeregnet^0.5/(Depl^0.3333))^FN$3)</f>
        <v>4.164247310073879</v>
      </c>
      <c r="FO292" s="133">
        <f>IF(SeilBeregnet=0,FO291,(SeilBeregnet^0.5/Lwl*FO$7)^FO$3)</f>
        <v>1.1016261829284835</v>
      </c>
      <c r="FP292" s="133">
        <f>IF(SeilBeregnet=0,FP291,((Loa)/Bredde)^FP$3*FP$7)</f>
        <v>2.3130755438025754</v>
      </c>
      <c r="FQ292" s="107">
        <f>IF(SeilBeregnet=0,FQ291,(Lwl)^FQ$3)</f>
        <v>1.7320508075688774</v>
      </c>
      <c r="FR292" s="107">
        <f t="shared" si="2594"/>
        <v>1.5111484962956006</v>
      </c>
      <c r="FS292" s="141" t="str">
        <f t="shared" si="2595"/>
        <v>-</v>
      </c>
      <c r="FT292" s="107">
        <f t="shared" si="2596"/>
        <v>9.6322186112775494</v>
      </c>
      <c r="FU292" s="133">
        <f>IF(SeilBeregnet=0,FU291,(SeilBeregnet^0.5/(Depl^0.3333))^FU$3)</f>
        <v>4.164247310073879</v>
      </c>
      <c r="FV292" s="133">
        <f>IF(SeilBeregnet=0,FV291,(Loa/Bredde)^FV$3)</f>
        <v>2.3130755438025754</v>
      </c>
      <c r="FW292" s="107">
        <f>IF(SeilBeregnet=0,FW291,Lwl^FW$3)</f>
        <v>1.7320508075688774</v>
      </c>
      <c r="FY292" s="336">
        <v>1</v>
      </c>
      <c r="FZ292" s="62">
        <f t="shared" si="2663"/>
        <v>1.3216678255511607</v>
      </c>
      <c r="GA292" s="62">
        <f t="shared" si="1303"/>
        <v>1.6814817728363731</v>
      </c>
      <c r="GB292" s="107">
        <f t="shared" si="1270"/>
        <v>1.4854789521332019</v>
      </c>
      <c r="GC292" s="440"/>
      <c r="GD292" s="17"/>
      <c r="GE292" s="442"/>
      <c r="GF292" s="462"/>
      <c r="GG292" s="17"/>
      <c r="GH292" s="17"/>
      <c r="GI292" s="17"/>
      <c r="GJ292" s="17"/>
      <c r="GL292" s="17"/>
      <c r="GM292" s="442"/>
      <c r="GN292" s="8"/>
      <c r="GO292" s="8"/>
      <c r="GP292" s="8"/>
      <c r="GQ292" s="8"/>
      <c r="GS292" s="17"/>
      <c r="GT292" s="17"/>
      <c r="GU292" s="17"/>
      <c r="GV292" s="629"/>
      <c r="GW292" s="17"/>
      <c r="GX292" s="17"/>
      <c r="GY292" s="17"/>
      <c r="GZ292" s="17"/>
    </row>
    <row r="293" spans="1:208" ht="15.6" x14ac:dyDescent="0.3">
      <c r="A293" s="60"/>
      <c r="B293" s="218"/>
      <c r="C293" s="61" t="str">
        <f t="shared" ref="C293" si="2686">C292</f>
        <v>Bermuda</v>
      </c>
      <c r="D293" s="61"/>
      <c r="E293" s="61"/>
      <c r="F293" s="61"/>
      <c r="G293" s="54"/>
      <c r="H293" s="204">
        <f>TBFavrundet</f>
        <v>149</v>
      </c>
      <c r="I293" s="63">
        <f>COUNTA(O293:AG293)</f>
        <v>2</v>
      </c>
      <c r="J293" s="222">
        <f>SUM(O293:AG293)</f>
        <v>102</v>
      </c>
      <c r="K293" s="116">
        <f>Seilareal/Depl^0.667/K$7</f>
        <v>1.6658009930431361</v>
      </c>
      <c r="L293" s="116">
        <f>Seilareal/Lwl/Lwl/L$7</f>
        <v>1.9106983416782073</v>
      </c>
      <c r="M293" s="92">
        <f>RiggF</f>
        <v>0.96372549019607845</v>
      </c>
      <c r="N293" s="242">
        <f>StHfaktor</f>
        <v>1.0905077326652577</v>
      </c>
      <c r="O293" s="143"/>
      <c r="P293" s="143"/>
      <c r="Q293" s="165">
        <v>28</v>
      </c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65">
        <v>74</v>
      </c>
      <c r="AF293" s="143"/>
      <c r="AG293" s="551"/>
      <c r="AH293" s="557">
        <f t="shared" si="2677"/>
        <v>18</v>
      </c>
      <c r="AI293" s="557">
        <f t="shared" si="2677"/>
        <v>18</v>
      </c>
      <c r="AJ293" s="337">
        <f t="shared" si="2678"/>
        <v>0</v>
      </c>
      <c r="AK293" s="339"/>
      <c r="AL293" s="337">
        <f t="shared" si="2678"/>
        <v>0</v>
      </c>
      <c r="AM293" s="339"/>
      <c r="AN293" s="267" t="str">
        <f xml:space="preserve"> AN292</f>
        <v>Meter</v>
      </c>
      <c r="AO293" s="45">
        <f>VLOOKUP(AN293,Skrogform!$1:$1048576,3,FALSE)</f>
        <v>1</v>
      </c>
      <c r="AP293" s="64">
        <f t="shared" ref="AP293:AZ293" si="2687">AP292</f>
        <v>16.8</v>
      </c>
      <c r="AQ293" s="64">
        <f t="shared" si="2687"/>
        <v>9</v>
      </c>
      <c r="AR293" s="64">
        <f t="shared" si="2687"/>
        <v>3.14</v>
      </c>
      <c r="AS293" s="64">
        <f t="shared" si="2687"/>
        <v>1.9</v>
      </c>
      <c r="AT293" s="64">
        <f t="shared" ref="AT293" si="2688">AT292</f>
        <v>13.5</v>
      </c>
      <c r="AU293" s="64">
        <f t="shared" si="2687"/>
        <v>13.5</v>
      </c>
      <c r="AV293" s="64" t="str">
        <f t="shared" si="2687"/>
        <v>?</v>
      </c>
      <c r="AW293" s="64">
        <f t="shared" si="2687"/>
        <v>0</v>
      </c>
      <c r="AX293" s="256">
        <f>AX292</f>
        <v>0</v>
      </c>
      <c r="AY293" s="256">
        <f t="shared" si="2687"/>
        <v>36</v>
      </c>
      <c r="AZ293" s="256">
        <f t="shared" si="2687"/>
        <v>252</v>
      </c>
      <c r="BA293" s="256">
        <f t="shared" ref="BA293:BB293" si="2689">BA292</f>
        <v>0</v>
      </c>
      <c r="BB293" s="256">
        <f t="shared" si="2689"/>
        <v>0</v>
      </c>
      <c r="BC293" s="256"/>
      <c r="BD293" s="66"/>
      <c r="BE293" s="66"/>
      <c r="BF293" s="261"/>
      <c r="BG293" s="66"/>
      <c r="BH293" s="175"/>
      <c r="BI293" s="66"/>
      <c r="BJ293" s="66"/>
      <c r="BK293" s="65">
        <f t="shared" ref="BK293:BM293" si="2690" xml:space="preserve"> BK292</f>
        <v>0</v>
      </c>
      <c r="BL293" s="267">
        <f t="shared" si="2690"/>
        <v>0</v>
      </c>
      <c r="BM293" s="267">
        <f t="shared" si="2690"/>
        <v>0</v>
      </c>
      <c r="BN293" s="45">
        <f t="shared" si="2579"/>
        <v>1</v>
      </c>
      <c r="BO293" s="59"/>
      <c r="BP293" s="59"/>
      <c r="BR293" s="49">
        <f t="shared" si="2683"/>
        <v>0</v>
      </c>
      <c r="BS293" s="49">
        <f t="shared" si="2683"/>
        <v>0</v>
      </c>
      <c r="BT293" s="49">
        <f t="shared" si="2683"/>
        <v>28</v>
      </c>
      <c r="BU293" s="49">
        <f t="shared" si="2683"/>
        <v>0</v>
      </c>
      <c r="BV293" s="49">
        <f t="shared" si="2683"/>
        <v>0</v>
      </c>
      <c r="BW293" s="49">
        <f t="shared" si="2683"/>
        <v>0</v>
      </c>
      <c r="BX293" s="49">
        <f t="shared" si="2683"/>
        <v>0</v>
      </c>
      <c r="BY293" s="549">
        <f>IF(COUNT(Q293:U293)&gt;1,MINA(Q293:U293)*BY$9,0)</f>
        <v>0</v>
      </c>
      <c r="BZ293" s="85">
        <f t="shared" si="2684"/>
        <v>0</v>
      </c>
      <c r="CA293" s="85">
        <f t="shared" si="2684"/>
        <v>0</v>
      </c>
      <c r="CB293" s="85">
        <f t="shared" si="2684"/>
        <v>0</v>
      </c>
      <c r="CC293" s="85">
        <f t="shared" si="2684"/>
        <v>0</v>
      </c>
      <c r="CD293" s="85">
        <f t="shared" si="2684"/>
        <v>0</v>
      </c>
      <c r="CE293" s="85">
        <f>IF(AC293=0,0,AC293*CE$9)</f>
        <v>0</v>
      </c>
      <c r="CF293" s="85">
        <f>IF(AA293=0,0,AA293*CF$9)</f>
        <v>0</v>
      </c>
      <c r="CG293" s="85">
        <f>IF(AB293=0,0,AB293*CG$9)</f>
        <v>0</v>
      </c>
      <c r="CH293" s="85">
        <f>IF(AD293=0,0,AD293*CH$9)</f>
        <v>0</v>
      </c>
      <c r="CI293" s="85">
        <f>IF(AE293=0,0,AE293*CI$9)</f>
        <v>70.3</v>
      </c>
      <c r="CJ293" s="85">
        <f>IF(AF293=0,0,AF293*CJ$9)</f>
        <v>0</v>
      </c>
      <c r="CK293" s="85">
        <f>IF(AG293=0,0,AG293*CK$9)</f>
        <v>0</v>
      </c>
      <c r="CL293" s="100">
        <f>SUM(BR293:CK293)</f>
        <v>98.3</v>
      </c>
      <c r="CM293" s="50"/>
      <c r="CN293" s="104">
        <f>J293</f>
        <v>102</v>
      </c>
      <c r="CO293" s="101">
        <f>CL293/CN293</f>
        <v>0.96372549019607845</v>
      </c>
      <c r="CP293" s="51">
        <f>Seilareal/Lwl/Lwl</f>
        <v>1.2592592592592593</v>
      </c>
      <c r="CQ293" s="116">
        <f>Seilareal/Depl^0.667/K$7</f>
        <v>1.6658009930431361</v>
      </c>
      <c r="CR293" s="51">
        <f>Seilareal/Lwl/Lwl/SApRS1</f>
        <v>1.9106983416782073</v>
      </c>
      <c r="CS293" s="204"/>
      <c r="CT293" s="204">
        <f>(ROUND(TBF/CT$6,3)*CT$6)*CT$4</f>
        <v>149</v>
      </c>
      <c r="CU293" s="107">
        <f t="shared" si="1267"/>
        <v>1.4908188546802743</v>
      </c>
      <c r="CV293" s="62">
        <f t="shared" si="1297"/>
        <v>4.5185454255010207</v>
      </c>
      <c r="CW293" s="62">
        <f t="shared" si="1268"/>
        <v>2.0268893050132437</v>
      </c>
      <c r="CX293" s="62">
        <f t="shared" si="1298"/>
        <v>1.7320508075688774</v>
      </c>
      <c r="CY293" s="107">
        <f t="shared" si="1269"/>
        <v>1.0905077326652577</v>
      </c>
      <c r="CZ293" s="168" t="str">
        <f t="shared" si="2502"/>
        <v>-</v>
      </c>
      <c r="DA293" s="158"/>
      <c r="DB293" s="168" t="str">
        <f t="shared" si="2572"/>
        <v>-</v>
      </c>
      <c r="DC293" s="160"/>
      <c r="DD293" s="190" t="s">
        <v>134</v>
      </c>
      <c r="DE293" s="62" t="s">
        <v>102</v>
      </c>
      <c r="DF293" s="62" t="s">
        <v>102</v>
      </c>
      <c r="DG293" s="62" t="s">
        <v>102</v>
      </c>
      <c r="DH293" s="150" t="s">
        <v>102</v>
      </c>
      <c r="DI293" s="62">
        <f t="shared" si="1299"/>
        <v>2.194228467316091</v>
      </c>
      <c r="DJ293" s="47">
        <f t="shared" si="1300"/>
        <v>14.45966514459665</v>
      </c>
      <c r="DK293" s="48">
        <f t="shared" si="2580"/>
        <v>0</v>
      </c>
      <c r="DM293" s="107">
        <f t="shared" si="2581"/>
        <v>1.3911624827126914</v>
      </c>
      <c r="DN293" s="141" t="str">
        <f t="shared" si="2582"/>
        <v>-</v>
      </c>
      <c r="DO293" s="107">
        <f t="shared" si="2662"/>
        <v>6.4773228538764549</v>
      </c>
      <c r="DP293" s="133">
        <f>IF(SeilBeregnet=0,DP292,(SeilBeregnet^0.5/(Depl^0.3333))^DP$3*DP$7)</f>
        <v>4.164247310073879</v>
      </c>
      <c r="DQ293" s="133">
        <f>IF(SeilBeregnet=0,DQ292,(SeilBeregnet^0.5/Lwl)^DQ$3*DQ$7)</f>
        <v>0</v>
      </c>
      <c r="DR293" s="133">
        <f>IF(SeilBeregnet=0,DR292,(0.1*Loa/Depl^0.3333)^DR$3*DR$7)</f>
        <v>0</v>
      </c>
      <c r="DS293" s="133">
        <f>IF(SeilBeregnet=0,DS292,((Loa)/Bredde)^DS$3*DS$7)</f>
        <v>2.3130755438025754</v>
      </c>
      <c r="DT293" s="107">
        <f>IF(SeilBeregnet=0,DT292,(Lwl)^DT$3)</f>
        <v>1.7320508075688774</v>
      </c>
      <c r="DU293" s="133">
        <f>IF(SeilBeregnet=0,DU292,(Dypg/Loa)^DU$3*5*DU$7)</f>
        <v>1.6814817728363731</v>
      </c>
      <c r="DW293" s="107">
        <f t="shared" si="2685"/>
        <v>1.4908188546802741</v>
      </c>
      <c r="DX293" s="107">
        <f t="shared" si="1301"/>
        <v>1.4857198463876848</v>
      </c>
      <c r="DZ293" s="107">
        <f t="shared" si="1302"/>
        <v>1.4217042732181993</v>
      </c>
      <c r="EA293" s="122" t="str">
        <f t="shared" si="2583"/>
        <v>-</v>
      </c>
      <c r="EB293" s="107">
        <f t="shared" si="2672"/>
        <v>1.4198814918891722</v>
      </c>
      <c r="EC293" s="122" t="str">
        <f t="shared" si="2584"/>
        <v>-</v>
      </c>
      <c r="ED293" s="107">
        <f t="shared" ref="ED293" si="2691">IF(SeilBeregnet=0,ED292,SeilBeregnet^0.5/Depl^0.33333)</f>
        <v>4.1639221754617637</v>
      </c>
      <c r="EE293" s="107">
        <f t="shared" ref="EE293" si="2692">IF(SeilBeregnet=0,EE292,Lwl^0.3333)</f>
        <v>2.0799314815874812</v>
      </c>
      <c r="EF293" s="107">
        <f>IF(SeilBeregnet=0,EF292,((Loa+Lwl)/Bredde)^EF$3)</f>
        <v>1.6930606440936209</v>
      </c>
      <c r="EH293" s="107">
        <f t="shared" si="2673"/>
        <v>1.4137934312873297</v>
      </c>
      <c r="EJ293" s="107">
        <f t="shared" ref="EJ293" si="2693">IF(SeilBeregnet=0,EJ292,SeilBeregnet^0.5/Depl^0.33333)</f>
        <v>4.1639221754617637</v>
      </c>
      <c r="EK293" s="107">
        <f>IF(SeilBeregnet=0,EK292,Lwl^EK$3)</f>
        <v>2.0800685884033645</v>
      </c>
      <c r="EL293" s="107">
        <f>IF(SeilBeregnet=0,EL292,((Loa+Lwl)/Bredde)^EL$3)</f>
        <v>2.0177446120572395</v>
      </c>
      <c r="EM293" s="107">
        <f t="shared" si="2674"/>
        <v>1.3971014386232801</v>
      </c>
      <c r="EO293" s="107">
        <f>IF(SeilBeregnet=0,EO292,(EP293*EQ293)^EO$3)</f>
        <v>7.0497727603430045</v>
      </c>
      <c r="EP293" s="107">
        <f t="shared" ref="EP293" si="2694">IF(SeilBeregnet=0,EP292,SeilBeregnet^0.5/Depl^0.33333)</f>
        <v>4.1639221754617637</v>
      </c>
      <c r="EQ293" s="107">
        <f>IF(SeilBeregnet=0,EQ292,((Loa+Lwl)/Bredde)^EQ$3)</f>
        <v>1.6930606440936209</v>
      </c>
      <c r="ER293" s="107">
        <f>IF(SeilBeregnet=0,ER292,Lwl^ER$3)</f>
        <v>1.7320508075688774</v>
      </c>
      <c r="ES293" s="107">
        <f t="shared" si="2585"/>
        <v>1.4324947052283785</v>
      </c>
      <c r="EU293" s="107">
        <f>IF(SeilBeregnet=0,EU292,(EV:EV*EW:EW)^EU$3)</f>
        <v>2.1223580498408774</v>
      </c>
      <c r="EV293" s="107">
        <f t="shared" ref="EV293" si="2695">IF(SeilBeregnet=0,EV292,SeilBeregnet^0.5/Depl^0.33333)</f>
        <v>4.1639221754617637</v>
      </c>
      <c r="EW293" s="107">
        <f>IF(SeilBeregnet=0,EW292,((Loa+Lwl)/Bredde/6)^EW$3)</f>
        <v>1.0817694236143716</v>
      </c>
      <c r="EX293" s="107">
        <f>IF(SeilBeregnet=0,EX292,(Lwl*0.7+Loa*0.3)^EX$3)</f>
        <v>1.8350726547187572</v>
      </c>
      <c r="EY293" s="107">
        <f t="shared" si="2586"/>
        <v>1.3096434984427749</v>
      </c>
      <c r="FA293" s="107">
        <f t="shared" si="2587"/>
        <v>2.1224409090493701</v>
      </c>
      <c r="FB293" s="107">
        <f t="shared" ref="FB293" si="2696">IF(SeilBeregnet=0,FB292,SeilBeregnet^0.5/Depl^0.3333)</f>
        <v>4.164247310073879</v>
      </c>
      <c r="FC293" s="107">
        <f>IF(SeilBeregnet=0,FC292,((Loa+Lwl)/Bredde/6)^FC$3)</f>
        <v>1.0817694236143716</v>
      </c>
      <c r="FD293" s="107">
        <f>IF(SeilBeregnet=0,FD292,(Lwl*0.7+Loa*0.3)^FD$3)</f>
        <v>1.8350726547187572</v>
      </c>
      <c r="FE293" s="107">
        <f t="shared" si="2588"/>
        <v>1.4894490174908848</v>
      </c>
      <c r="FF293" s="141" t="str">
        <f t="shared" si="2589"/>
        <v>-</v>
      </c>
      <c r="FG293" s="107">
        <f t="shared" si="2590"/>
        <v>4.8731066660025029</v>
      </c>
      <c r="FH293" s="133">
        <f>IF(SeilBeregnet=0,FH292,(SeilBeregnet^0.5/(Depl^0.3333))^FH$3)</f>
        <v>4.164247310073879</v>
      </c>
      <c r="FI293" s="133">
        <f>IF(SeilBeregnet=0,FI292,((Loa+Lwl)/Bredde/6)^FI$3)</f>
        <v>1.1702250858669698</v>
      </c>
      <c r="FJ293" s="107">
        <f>IF(SeilBeregnet=0,FJ292,(Lwl*0.07+Loa*0.03)^FJ$3)</f>
        <v>1.0319371884751178</v>
      </c>
      <c r="FK293" s="107">
        <f t="shared" si="2591"/>
        <v>1.4590708281164932</v>
      </c>
      <c r="FL293" s="141" t="str">
        <f t="shared" si="2592"/>
        <v>-</v>
      </c>
      <c r="FM293" s="107">
        <f t="shared" si="2593"/>
        <v>7.0789490368049375</v>
      </c>
      <c r="FN293" s="133">
        <f>IF(SeilBeregnet=0,FN292,(SeilBeregnet^0.5/(Depl^0.3333))^FN$3)</f>
        <v>4.164247310073879</v>
      </c>
      <c r="FO293" s="133">
        <f>IF(SeilBeregnet=0,FO292,(SeilBeregnet^0.5/Lwl*FO$7)^FO$3)</f>
        <v>1.1016261829284835</v>
      </c>
      <c r="FP293" s="133">
        <f>IF(SeilBeregnet=0,FP292,((Loa)/Bredde)^FP$3*FP$7)</f>
        <v>2.3130755438025754</v>
      </c>
      <c r="FQ293" s="107">
        <f>IF(SeilBeregnet=0,FQ292,(Lwl)^FQ$3)</f>
        <v>1.7320508075688774</v>
      </c>
      <c r="FR293" s="107">
        <f t="shared" si="2594"/>
        <v>1.5111484962956006</v>
      </c>
      <c r="FS293" s="141" t="str">
        <f t="shared" si="2595"/>
        <v>-</v>
      </c>
      <c r="FT293" s="107">
        <f t="shared" si="2596"/>
        <v>9.6322186112775494</v>
      </c>
      <c r="FU293" s="133">
        <f>IF(SeilBeregnet=0,FU292,(SeilBeregnet^0.5/(Depl^0.3333))^FU$3)</f>
        <v>4.164247310073879</v>
      </c>
      <c r="FV293" s="133">
        <f>IF(SeilBeregnet=0,FV292,(Loa/Bredde)^FV$3)</f>
        <v>2.3130755438025754</v>
      </c>
      <c r="FW293" s="107">
        <f>IF(SeilBeregnet=0,FW292,Lwl^FW$3)</f>
        <v>1.7320508075688774</v>
      </c>
      <c r="FY293" s="336">
        <v>1</v>
      </c>
      <c r="FZ293" s="62">
        <f t="shared" si="2663"/>
        <v>1.3216678255511607</v>
      </c>
      <c r="GA293" s="62">
        <f t="shared" si="1303"/>
        <v>1.6814817728363731</v>
      </c>
      <c r="GB293" s="107">
        <f t="shared" si="1270"/>
        <v>1.4854789521332019</v>
      </c>
      <c r="GC293" s="440"/>
      <c r="GD293" s="17"/>
      <c r="GE293" s="442"/>
      <c r="GF293" s="462"/>
      <c r="GG293" s="17"/>
      <c r="GH293" s="17"/>
      <c r="GI293" s="17"/>
      <c r="GJ293" s="17"/>
      <c r="GL293" s="17"/>
      <c r="GM293" s="442"/>
      <c r="GN293" s="8"/>
      <c r="GO293" s="8"/>
      <c r="GP293" s="8"/>
      <c r="GQ293" s="8"/>
      <c r="GS293" s="17"/>
      <c r="GT293" s="17"/>
      <c r="GU293" s="17"/>
      <c r="GV293" s="629"/>
      <c r="GW293" s="17"/>
      <c r="GX293" s="17"/>
      <c r="GY293" s="17"/>
      <c r="GZ293" s="17"/>
    </row>
    <row r="294" spans="1:208" ht="15.6" x14ac:dyDescent="0.3">
      <c r="A294" s="52" t="s">
        <v>188</v>
      </c>
      <c r="B294" s="218">
        <f t="shared" ref="B294" si="2697">Loa/0.3048</f>
        <v>44.717847769028872</v>
      </c>
      <c r="C294" s="53" t="s">
        <v>38</v>
      </c>
      <c r="D294" s="53"/>
      <c r="E294" s="53"/>
      <c r="F294" s="53"/>
      <c r="G294" s="54"/>
      <c r="H294" s="112">
        <f>J295</f>
        <v>93</v>
      </c>
      <c r="I294" s="601">
        <f>H295/100</f>
        <v>1.47</v>
      </c>
      <c r="J294" s="651">
        <f>IF(DC295=0,"-",DC295)</f>
        <v>1.36</v>
      </c>
      <c r="K294" s="123" t="str">
        <f>A294</f>
        <v>Glæden</v>
      </c>
      <c r="L294" s="116"/>
      <c r="M294" s="116"/>
      <c r="N294" s="92"/>
      <c r="O294" s="165"/>
      <c r="P294" s="165"/>
      <c r="Q294" s="165">
        <v>52</v>
      </c>
      <c r="R294" s="165"/>
      <c r="S294" s="165"/>
      <c r="T294" s="165"/>
      <c r="U294" s="165"/>
      <c r="V294" s="559"/>
      <c r="W294" s="559"/>
      <c r="X294" s="165"/>
      <c r="Y294" s="165"/>
      <c r="Z294" s="165"/>
      <c r="AA294" s="165"/>
      <c r="AB294" s="165"/>
      <c r="AC294" s="165"/>
      <c r="AD294" s="165"/>
      <c r="AE294" s="165">
        <v>41</v>
      </c>
      <c r="AF294" s="165"/>
      <c r="AG294" s="552"/>
      <c r="AH294" s="244">
        <v>14.3</v>
      </c>
      <c r="AI294" s="244">
        <v>14.3</v>
      </c>
      <c r="AJ294" s="554"/>
      <c r="AK294" s="339"/>
      <c r="AL294" s="268"/>
      <c r="AM294" s="339"/>
      <c r="AN294" s="268" t="s">
        <v>214</v>
      </c>
      <c r="AO294" s="45">
        <f>VLOOKUP(AN294,Skrogform!$1:$1048576,3,FALSE)</f>
        <v>1</v>
      </c>
      <c r="AP294" s="55">
        <v>13.63</v>
      </c>
      <c r="AQ294" s="55">
        <v>9.1999999999999993</v>
      </c>
      <c r="AR294" s="55">
        <v>3.1</v>
      </c>
      <c r="AS294" s="55">
        <v>2.4</v>
      </c>
      <c r="AT294" s="637">
        <f>AU294</f>
        <v>11</v>
      </c>
      <c r="AU294" s="55">
        <v>11</v>
      </c>
      <c r="AV294" s="55">
        <v>5</v>
      </c>
      <c r="AW294" s="55"/>
      <c r="AX294" s="253"/>
      <c r="AY294" s="253"/>
      <c r="AZ294" s="254">
        <f>AY294*7</f>
        <v>0</v>
      </c>
      <c r="BA294" s="253"/>
      <c r="BB294" s="253"/>
      <c r="BC294" s="244">
        <f>Depl+Diesel/1000*0.84+Vann/1000</f>
        <v>11</v>
      </c>
      <c r="BD294" s="95">
        <f>Bredde/(Loa+Lwl)*2</f>
        <v>0.27157249233464742</v>
      </c>
      <c r="BE294" s="95">
        <f>(Kjøl+Ballast)/Depl</f>
        <v>0.45454545454545453</v>
      </c>
      <c r="BF294" s="260">
        <f>BF$7*((Depl-Kjøl-Ballast-VektMotor/1000-VektAnnet/1000)/Lwl/Lwl/Bredde)</f>
        <v>0.86296568271048424</v>
      </c>
      <c r="BG294" s="95">
        <f>BG$7*(Depl/Loa/Lwl/Lwl)</f>
        <v>0.70167404098598241</v>
      </c>
      <c r="BH294" s="174">
        <f>BH$7*(Depl/Loa/Lwl/Bredde)</f>
        <v>0.76972192095441638</v>
      </c>
      <c r="BI294" s="95">
        <f>BI$7*Bredde/(Loa+Lwl)*2</f>
        <v>0.77471163673528987</v>
      </c>
      <c r="BJ294" s="95">
        <f>BJ$7*(Dypg/Lwl)</f>
        <v>1.4268431001890358</v>
      </c>
      <c r="BK294" s="56"/>
      <c r="BL294" s="268"/>
      <c r="BM294" s="268"/>
      <c r="BN294" s="45">
        <f t="shared" si="2579"/>
        <v>1</v>
      </c>
      <c r="BO294" s="59"/>
      <c r="BP294" s="59"/>
      <c r="BR294" s="209"/>
      <c r="BS294" s="209"/>
      <c r="BT294" s="209" t="str">
        <f>$A294</f>
        <v>Glæden</v>
      </c>
      <c r="BU294" s="10"/>
      <c r="BV294" s="10"/>
      <c r="BW294" s="10"/>
      <c r="BX294" s="10"/>
      <c r="BY294" s="549"/>
      <c r="BZ294" s="10"/>
      <c r="CA294" s="10"/>
      <c r="CB294" s="209" t="str">
        <f>$A294</f>
        <v>Glæden</v>
      </c>
      <c r="CC294" s="10"/>
      <c r="CD294" s="10"/>
      <c r="CE294" s="10"/>
      <c r="CF294" s="10"/>
      <c r="CG294" s="10"/>
      <c r="CH294" s="10"/>
      <c r="CI294" s="10"/>
      <c r="CJ294" s="10"/>
      <c r="CK294" s="10"/>
      <c r="CL294" s="209"/>
      <c r="CM294" s="10"/>
      <c r="CN294" s="209" t="str">
        <f>$A294</f>
        <v>Glæden</v>
      </c>
      <c r="CO294" s="207"/>
      <c r="CP294" s="207"/>
      <c r="CQ294" s="116"/>
      <c r="CR294" s="207"/>
      <c r="CS294" s="203"/>
      <c r="CT294" s="203" t="s">
        <v>23</v>
      </c>
      <c r="CU294" s="107" t="str">
        <f t="shared" si="1267"/>
        <v>-</v>
      </c>
      <c r="CV294" s="62" t="str">
        <f t="shared" si="1297"/>
        <v>-</v>
      </c>
      <c r="CW294" s="62" t="str">
        <f t="shared" si="1268"/>
        <v>-</v>
      </c>
      <c r="CX294" s="62" t="str">
        <f t="shared" si="1298"/>
        <v>-</v>
      </c>
      <c r="CY294" s="107" t="str">
        <f t="shared" si="1269"/>
        <v>-</v>
      </c>
      <c r="CZ294" s="168" t="str">
        <f t="shared" si="2502"/>
        <v>-</v>
      </c>
      <c r="DA294" s="158"/>
      <c r="DB294" s="168" t="str">
        <f t="shared" si="2572"/>
        <v>-</v>
      </c>
      <c r="DC294" s="160">
        <v>1.36</v>
      </c>
      <c r="DD294" s="190" t="s">
        <v>134</v>
      </c>
      <c r="DE294" s="29" t="s">
        <v>23</v>
      </c>
      <c r="DF294" s="29" t="s">
        <v>23</v>
      </c>
      <c r="DG294" s="29" t="s">
        <v>23</v>
      </c>
      <c r="DH294" s="149">
        <v>2022</v>
      </c>
      <c r="DI294" s="62" t="str">
        <f t="shared" si="1299"/>
        <v>-</v>
      </c>
      <c r="DJ294" s="47">
        <f t="shared" si="1300"/>
        <v>18.045112781954888</v>
      </c>
      <c r="DK294" s="48">
        <f t="shared" si="2580"/>
        <v>0</v>
      </c>
      <c r="DM294" s="107" t="str">
        <f t="shared" si="2581"/>
        <v>-</v>
      </c>
      <c r="DN294" s="141" t="str">
        <f t="shared" ref="DN294:DN305" si="2698">IF($DY294=0,"-",(DM294-$DW294)*100)</f>
        <v>-</v>
      </c>
      <c r="DO294" s="107">
        <f t="shared" si="2662"/>
        <v>0</v>
      </c>
      <c r="DP294" s="133">
        <f>IF(SeilBeregnet=0,DP280,(SeilBeregnet^0.5/(Depl^0.3333))^DP$3*DP$7)</f>
        <v>0</v>
      </c>
      <c r="DQ294" s="133">
        <f>IF(SeilBeregnet=0,DQ280,(SeilBeregnet^0.5/Lwl)^DQ$3*DQ$7)</f>
        <v>0</v>
      </c>
      <c r="DR294" s="133">
        <f>IF(SeilBeregnet=0,DR280,(0.1*Loa/Depl^0.3333)^DR$3*DR$7)</f>
        <v>0</v>
      </c>
      <c r="DS294" s="133">
        <f>IF(SeilBeregnet=0,DS280,((Loa)/Bredde)^DS$3*DS$7)</f>
        <v>0</v>
      </c>
      <c r="DT294" s="107">
        <f>IF(SeilBeregnet=0,DT280,(Lwl)^DT$3)</f>
        <v>0</v>
      </c>
      <c r="DU294" s="133">
        <f>IF(SeilBeregnet=0,DU280,(Dypg/Loa)^DU$3*5*DU$7)</f>
        <v>0</v>
      </c>
      <c r="DW294" s="107" t="str">
        <f t="shared" si="1241"/>
        <v>-</v>
      </c>
      <c r="DX294" s="107" t="str">
        <f t="shared" si="1301"/>
        <v>-</v>
      </c>
      <c r="DZ294" s="107" t="str">
        <f t="shared" si="1302"/>
        <v>-</v>
      </c>
      <c r="EA294" s="122" t="str">
        <f t="shared" ref="EA294:EA305" si="2699">IF($DY294=0,"-",DZ294-$DW294)</f>
        <v>-</v>
      </c>
      <c r="EB294" s="107" t="str">
        <f t="shared" si="2672"/>
        <v>-</v>
      </c>
      <c r="EC294" s="122" t="str">
        <f t="shared" ref="EC294:EC305" si="2700">IF($DY294=0,"-",EB294-$DW294)</f>
        <v>-</v>
      </c>
      <c r="ED294" s="107">
        <f>IF(SeilBeregnet=0,ED302,SeilBeregnet^0.5/Depl^0.33333)</f>
        <v>3.6436770744852511</v>
      </c>
      <c r="EE294" s="107">
        <f>IF(SeilBeregnet=0,EE302,Lwl^0.3333)</f>
        <v>2.2034013597348872</v>
      </c>
      <c r="EF294" s="107">
        <f>IF(SeilBeregnet=0,EF302,((Loa+Lwl)/Bredde)^EF$3)</f>
        <v>1.6974975484377828</v>
      </c>
      <c r="EH294" s="107" t="str">
        <f t="shared" si="2673"/>
        <v>-</v>
      </c>
      <c r="EJ294" s="107">
        <f>IF(SeilBeregnet=0,EJ302,SeilBeregnet^0.5/Depl^0.33333)</f>
        <v>3.6436770744852511</v>
      </c>
      <c r="EK294" s="107">
        <f>IF(SeilBeregnet=0,EK302,Lwl^EK$3)</f>
        <v>2.2035580432539792</v>
      </c>
      <c r="EL294" s="107">
        <f>IF(SeilBeregnet=0,EL302,((Loa+Lwl)/Bredde)^EL$3)</f>
        <v>2.0247973624437603</v>
      </c>
      <c r="EM294" s="107" t="str">
        <f t="shared" si="2674"/>
        <v>-</v>
      </c>
      <c r="EO294" s="107">
        <f>IF(SeilBeregnet=0,EO302,(EP294*EQ294)^EO$3)</f>
        <v>6.1851329012376661</v>
      </c>
      <c r="EP294" s="107">
        <f>IF(SeilBeregnet=0,EP302,SeilBeregnet^0.5/Depl^0.33333)</f>
        <v>3.6436770744852511</v>
      </c>
      <c r="EQ294" s="107">
        <f>IF(SeilBeregnet=0,EQ302,((Loa+Lwl)/Bredde)^EQ$3)</f>
        <v>1.6974975484377828</v>
      </c>
      <c r="ER294" s="107">
        <f>IF(SeilBeregnet=0,ER302,Lwl^ER$3)</f>
        <v>1.808614233815278</v>
      </c>
      <c r="ES294" s="107" t="str">
        <f t="shared" si="2585"/>
        <v>-</v>
      </c>
      <c r="EU294" s="107">
        <f>IF(SeilBeregnet=0,EU302,(EV:EV*EW:EW)^EU$3)</f>
        <v>1.9879507076616734</v>
      </c>
      <c r="EV294" s="107">
        <f>IF(SeilBeregnet=0,EV302,SeilBeregnet^0.5/Depl^0.33333)</f>
        <v>3.6436770744852511</v>
      </c>
      <c r="EW294" s="107">
        <f>IF(SeilBeregnet=0,EW302,((Loa+Lwl)/Bredde/6)^EW$3)</f>
        <v>1.0846043530492742</v>
      </c>
      <c r="EX294" s="107">
        <f>IF(SeilBeregnet=0,EX302,(Lwl*0.7+Loa*0.3)^EX$3)</f>
        <v>1.8803015465431969</v>
      </c>
      <c r="EY294" s="107" t="str">
        <f t="shared" si="2586"/>
        <v>-</v>
      </c>
      <c r="FA294" s="107">
        <f t="shared" si="2587"/>
        <v>1.9880351937839988</v>
      </c>
      <c r="FB294" s="107">
        <f>IF(SeilBeregnet=0,FB302,SeilBeregnet^0.5/Depl^0.3333)</f>
        <v>3.6439867870825586</v>
      </c>
      <c r="FC294" s="107">
        <f>IF(SeilBeregnet=0,FC302,((Loa+Lwl)/Bredde/6)^FC$3)</f>
        <v>1.0846043530492742</v>
      </c>
      <c r="FD294" s="107">
        <f>IF(SeilBeregnet=0,FD302,(Lwl*0.7+Loa*0.3)^FD$3)</f>
        <v>1.8803015465431969</v>
      </c>
      <c r="FE294" s="107" t="str">
        <f t="shared" si="2588"/>
        <v>-</v>
      </c>
      <c r="FF294" s="141" t="str">
        <f t="shared" ref="FF294:FF305" si="2701">IF($DY294=0,"-",(FE294-$DW294)*100)</f>
        <v>-</v>
      </c>
      <c r="FG294" s="107">
        <f t="shared" si="2590"/>
        <v>4.2866643568343141</v>
      </c>
      <c r="FH294" s="133">
        <f>IF(SeilBeregnet=0,FH302,(SeilBeregnet^0.5/(Depl^0.3333))^FH$3)</f>
        <v>3.6439867870825586</v>
      </c>
      <c r="FI294" s="133">
        <f>IF(SeilBeregnet=0,FI302,((Loa+Lwl)/Bredde/6)^FI$3)</f>
        <v>1.1763666026534347</v>
      </c>
      <c r="FJ294" s="107">
        <f>IF(SeilBeregnet=0,FJ302,(Lwl*0.07+Loa*0.03)^FJ$3)</f>
        <v>1.0573712634405641</v>
      </c>
      <c r="FK294" s="107" t="str">
        <f t="shared" si="2591"/>
        <v>-</v>
      </c>
      <c r="FL294" s="141" t="str">
        <f t="shared" ref="FL294:FL305" si="2702">IF($DY294=0,"-",(FK294-$DW294)*100)</f>
        <v>-</v>
      </c>
      <c r="FM294" s="107">
        <f t="shared" si="2593"/>
        <v>6.2691575829309247</v>
      </c>
      <c r="FN294" s="133">
        <f>IF(SeilBeregnet=0,FN302,(SeilBeregnet^0.5/(Depl^0.3333))^FN$3)</f>
        <v>3.6439867870825586</v>
      </c>
      <c r="FO294" s="133">
        <f>IF(SeilBeregnet=0,FO302,(SeilBeregnet^0.5/Lwl*FO$7)^FO$3)</f>
        <v>0.87559171064018859</v>
      </c>
      <c r="FP294" s="133">
        <f>IF(SeilBeregnet=0,FP302,((Loa)/Bredde)^FP$3*FP$7)</f>
        <v>2.2495790852081776</v>
      </c>
      <c r="FQ294" s="107">
        <f>IF(SeilBeregnet=0,FQ302,(Lwl)^FQ$3)</f>
        <v>1.808614233815278</v>
      </c>
      <c r="FR294" s="107" t="str">
        <f t="shared" si="2594"/>
        <v>-</v>
      </c>
      <c r="FS294" s="141" t="str">
        <f t="shared" ref="FS294:FS305" si="2703">IF($DY294=0,"-",(FR294-$DW294)*100)</f>
        <v>-</v>
      </c>
      <c r="FT294" s="107">
        <f t="shared" si="2596"/>
        <v>8.1974364629958689</v>
      </c>
      <c r="FU294" s="133">
        <f>IF(SeilBeregnet=0,FU302,(SeilBeregnet^0.5/(Depl^0.3333))^FU$3)</f>
        <v>3.6439867870825586</v>
      </c>
      <c r="FV294" s="133">
        <f>IF(SeilBeregnet=0,FV302,(Loa/Bredde)^FV$3)</f>
        <v>2.2495790852081776</v>
      </c>
      <c r="FW294" s="107">
        <f>IF(SeilBeregnet=0,FW302,Lwl^FW$3)</f>
        <v>1.808614233815278</v>
      </c>
      <c r="FY294" s="336">
        <v>1</v>
      </c>
      <c r="FZ294" s="62" t="str">
        <f t="shared" si="2663"/>
        <v>-</v>
      </c>
      <c r="GA294" s="62">
        <f t="shared" si="1303"/>
        <v>2.0981073118415403</v>
      </c>
      <c r="GB294" s="107" t="str">
        <f t="shared" si="1270"/>
        <v>-</v>
      </c>
      <c r="GC294" s="441"/>
      <c r="GD294" s="57"/>
      <c r="GE294" s="436"/>
      <c r="GF294" s="75"/>
      <c r="GG294" s="57"/>
      <c r="GH294" s="57"/>
      <c r="GI294" s="57"/>
      <c r="GJ294" s="57"/>
      <c r="GL294" s="57" t="s">
        <v>478</v>
      </c>
      <c r="GM294" s="436" t="s">
        <v>478</v>
      </c>
      <c r="GN294" s="58" t="s">
        <v>478</v>
      </c>
      <c r="GO294" s="58" t="s">
        <v>478</v>
      </c>
      <c r="GP294" s="58" t="s">
        <v>478</v>
      </c>
      <c r="GQ294" s="58" t="s">
        <v>478</v>
      </c>
      <c r="GS294" s="57"/>
      <c r="GT294" s="57"/>
      <c r="GU294" s="57"/>
      <c r="GV294" s="632"/>
      <c r="GW294" s="57"/>
      <c r="GX294" s="57"/>
      <c r="GY294" s="57"/>
      <c r="GZ294" s="57"/>
    </row>
    <row r="295" spans="1:208" ht="15.6" x14ac:dyDescent="0.3">
      <c r="A295" s="60" t="s">
        <v>68</v>
      </c>
      <c r="B295" s="218"/>
      <c r="C295" s="61" t="str">
        <f>C294</f>
        <v>Bermuda</v>
      </c>
      <c r="D295" s="61"/>
      <c r="E295" s="61"/>
      <c r="F295" s="61"/>
      <c r="G295" s="54"/>
      <c r="H295" s="204">
        <f>IF(StH=0,0,TBFavrundet)</f>
        <v>147</v>
      </c>
      <c r="I295" s="63">
        <f>COUNTA(O295:AG295)</f>
        <v>2</v>
      </c>
      <c r="J295" s="222">
        <f>SUM(O295:AG295)</f>
        <v>93</v>
      </c>
      <c r="K295" s="116">
        <f>Seilareal/Depl^0.667/K$7</f>
        <v>1.7411235752947827</v>
      </c>
      <c r="L295" s="116">
        <f>Seilareal/Lwl/Lwl/L$7</f>
        <v>1.6671868175087494</v>
      </c>
      <c r="M295" s="92">
        <f>RiggF</f>
        <v>0.97795698924731167</v>
      </c>
      <c r="N295" s="242">
        <f>StHfaktor</f>
        <v>1.0566800942699763</v>
      </c>
      <c r="O295" s="143"/>
      <c r="P295" s="143"/>
      <c r="Q295" s="165">
        <v>52</v>
      </c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65">
        <v>41</v>
      </c>
      <c r="AF295" s="143"/>
      <c r="AG295" s="551"/>
      <c r="AH295" s="557">
        <f t="shared" ref="AH295:AI295" si="2704">AH294</f>
        <v>14.3</v>
      </c>
      <c r="AI295" s="557">
        <f t="shared" si="2704"/>
        <v>14.3</v>
      </c>
      <c r="AJ295" s="337">
        <f t="shared" ref="AJ295:AL295" si="2705" xml:space="preserve"> AJ294</f>
        <v>0</v>
      </c>
      <c r="AK295" s="339"/>
      <c r="AL295" s="337">
        <f t="shared" si="2705"/>
        <v>0</v>
      </c>
      <c r="AM295" s="339"/>
      <c r="AN295" s="267" t="str">
        <f t="shared" ref="AN295" si="2706" xml:space="preserve"> AN294</f>
        <v>Meter</v>
      </c>
      <c r="AO295" s="45">
        <f>VLOOKUP(AN295,Skrogform!$1:$1048576,3,FALSE)</f>
        <v>1</v>
      </c>
      <c r="AP295" s="64">
        <f t="shared" ref="AP295:AZ295" si="2707">AP294</f>
        <v>13.63</v>
      </c>
      <c r="AQ295" s="64">
        <f t="shared" si="2707"/>
        <v>9.1999999999999993</v>
      </c>
      <c r="AR295" s="64">
        <f t="shared" si="2707"/>
        <v>3.1</v>
      </c>
      <c r="AS295" s="64">
        <f t="shared" si="2707"/>
        <v>2.4</v>
      </c>
      <c r="AT295" s="64">
        <f t="shared" ref="AT295" si="2708">AT294</f>
        <v>11</v>
      </c>
      <c r="AU295" s="64">
        <f t="shared" si="2707"/>
        <v>11</v>
      </c>
      <c r="AV295" s="64">
        <f t="shared" si="2707"/>
        <v>5</v>
      </c>
      <c r="AW295" s="64">
        <f t="shared" si="2707"/>
        <v>0</v>
      </c>
      <c r="AX295" s="256">
        <f>AX294</f>
        <v>0</v>
      </c>
      <c r="AY295" s="256">
        <f t="shared" si="2707"/>
        <v>0</v>
      </c>
      <c r="AZ295" s="256">
        <f t="shared" si="2707"/>
        <v>0</v>
      </c>
      <c r="BA295" s="256">
        <f t="shared" ref="BA295:BB295" si="2709">BA294</f>
        <v>0</v>
      </c>
      <c r="BB295" s="256">
        <f t="shared" si="2709"/>
        <v>0</v>
      </c>
      <c r="BC295" s="256"/>
      <c r="BD295" s="66"/>
      <c r="BE295" s="66"/>
      <c r="BF295" s="261"/>
      <c r="BG295" s="66"/>
      <c r="BH295" s="175"/>
      <c r="BI295" s="66"/>
      <c r="BJ295" s="66"/>
      <c r="BK295" s="65">
        <f t="shared" ref="BK295:BM295" si="2710" xml:space="preserve"> BK294</f>
        <v>0</v>
      </c>
      <c r="BL295" s="267">
        <f t="shared" si="2710"/>
        <v>0</v>
      </c>
      <c r="BM295" s="267">
        <f t="shared" si="2710"/>
        <v>0</v>
      </c>
      <c r="BN295" s="45">
        <f t="shared" si="2579"/>
        <v>1</v>
      </c>
      <c r="BO295" s="59"/>
      <c r="BP295" s="59"/>
      <c r="BR295" s="49">
        <f t="shared" ref="BR295:BX295" si="2711">IF(O295=0,0,O295*BR$9)</f>
        <v>0</v>
      </c>
      <c r="BS295" s="49">
        <f t="shared" si="2711"/>
        <v>0</v>
      </c>
      <c r="BT295" s="49">
        <f t="shared" si="2711"/>
        <v>52</v>
      </c>
      <c r="BU295" s="49">
        <f t="shared" si="2711"/>
        <v>0</v>
      </c>
      <c r="BV295" s="49">
        <f t="shared" si="2711"/>
        <v>0</v>
      </c>
      <c r="BW295" s="49">
        <f t="shared" si="2711"/>
        <v>0</v>
      </c>
      <c r="BX295" s="49">
        <f t="shared" si="2711"/>
        <v>0</v>
      </c>
      <c r="BY295" s="549">
        <f>IF(COUNT(Q295:U295)&gt;1,MINA(Q295:U295)*BY$9,0)</f>
        <v>0</v>
      </c>
      <c r="BZ295" s="85">
        <f>IF(V295=0,0,V295*BZ$9)</f>
        <v>0</v>
      </c>
      <c r="CA295" s="85">
        <f>IF(W295=0,0,W295*CA$9)</f>
        <v>0</v>
      </c>
      <c r="CB295" s="85">
        <f>IF(X295=0,0,X295*CB$9)</f>
        <v>0</v>
      </c>
      <c r="CC295" s="85">
        <f>IF(Y295=0,0,Y295*CC$9)</f>
        <v>0</v>
      </c>
      <c r="CD295" s="85">
        <f>IF(Z295=0,0,Z295*CD$9)</f>
        <v>0</v>
      </c>
      <c r="CE295" s="85">
        <f>IF(AC295=0,0,AC295*CE$9)</f>
        <v>0</v>
      </c>
      <c r="CF295" s="85">
        <f>IF(AA295=0,0,AA295*CF$9)</f>
        <v>0</v>
      </c>
      <c r="CG295" s="85">
        <f>IF(AB295=0,0,AB295*CG$9)</f>
        <v>0</v>
      </c>
      <c r="CH295" s="85">
        <f>IF(AD295=0,0,AD295*CH$9)</f>
        <v>0</v>
      </c>
      <c r="CI295" s="85">
        <f>IF(AE295=0,0,AE295*CI$9)</f>
        <v>38.949999999999996</v>
      </c>
      <c r="CJ295" s="85">
        <f>IF(AF295=0,0,AF295*CJ$9)</f>
        <v>0</v>
      </c>
      <c r="CK295" s="85">
        <f>IF(AG295=0,0,AG295*CK$9)</f>
        <v>0</v>
      </c>
      <c r="CL295" s="100">
        <f>SUM(BR295:CK295)</f>
        <v>90.949999999999989</v>
      </c>
      <c r="CM295" s="50"/>
      <c r="CN295" s="104">
        <f>J295</f>
        <v>93</v>
      </c>
      <c r="CO295" s="101">
        <f>CL295/CN295</f>
        <v>0.97795698924731167</v>
      </c>
      <c r="CP295" s="51">
        <f>Seilareal/Lwl/Lwl</f>
        <v>1.0987712665406428</v>
      </c>
      <c r="CQ295" s="116">
        <f>Seilareal/Depl^0.667/K$7</f>
        <v>1.7411235752947827</v>
      </c>
      <c r="CR295" s="51">
        <f>Seilareal/Lwl/Lwl/SApRS1</f>
        <v>1.6671868175087494</v>
      </c>
      <c r="CS295" s="204"/>
      <c r="CT295" s="204">
        <f>(ROUND(TBF/CT$6,3)*CT$6)*CT$4</f>
        <v>147</v>
      </c>
      <c r="CU295" s="107">
        <f t="shared" si="1267"/>
        <v>1.4709920044678539</v>
      </c>
      <c r="CV295" s="62">
        <f t="shared" si="1297"/>
        <v>4.5040742063939936</v>
      </c>
      <c r="CW295" s="62">
        <f t="shared" si="1268"/>
        <v>1.9189210678180926</v>
      </c>
      <c r="CX295" s="62">
        <f t="shared" si="1298"/>
        <v>1.7415941483654049</v>
      </c>
      <c r="CY295" s="107">
        <f t="shared" si="1269"/>
        <v>1.0566800942699763</v>
      </c>
      <c r="CZ295" s="168" t="str">
        <f t="shared" ref="CZ295:CZ305" si="2712">IF(DA295=0,"-",IF(CP295="TBF","-",CZ$7*DA295))</f>
        <v>-</v>
      </c>
      <c r="DA295" s="159">
        <f>DA294</f>
        <v>0</v>
      </c>
      <c r="DB295" s="168">
        <f t="shared" si="2572"/>
        <v>1.2645614035087722</v>
      </c>
      <c r="DC295" s="159">
        <f>DC294</f>
        <v>1.36</v>
      </c>
      <c r="DD295" s="190" t="s">
        <v>134</v>
      </c>
      <c r="DE295" s="62" t="s">
        <v>102</v>
      </c>
      <c r="DF295" s="62" t="s">
        <v>102</v>
      </c>
      <c r="DG295" s="62" t="s">
        <v>102</v>
      </c>
      <c r="DH295" s="150" t="s">
        <v>102</v>
      </c>
      <c r="DI295" s="62">
        <f t="shared" si="1299"/>
        <v>2.4336826384456436</v>
      </c>
      <c r="DJ295" s="47">
        <f t="shared" si="1300"/>
        <v>18.045112781954888</v>
      </c>
      <c r="DK295" s="48">
        <f t="shared" si="2580"/>
        <v>0</v>
      </c>
      <c r="DM295" s="107">
        <f t="shared" si="2581"/>
        <v>1.3789645194214462</v>
      </c>
      <c r="DN295" s="141" t="str">
        <f t="shared" si="2698"/>
        <v>-</v>
      </c>
      <c r="DO295" s="107">
        <f t="shared" si="2662"/>
        <v>6.3853462178171219</v>
      </c>
      <c r="DP295" s="133">
        <f>IF(SeilBeregnet=0,DP294,(SeilBeregnet^0.5/(Depl^0.3333))^DP$3*DP$7)</f>
        <v>4.2884975839027932</v>
      </c>
      <c r="DQ295" s="133">
        <f>IF(SeilBeregnet=0,DQ294,(SeilBeregnet^0.5/Lwl)^DQ$3*DQ$7)</f>
        <v>0</v>
      </c>
      <c r="DR295" s="133">
        <f>IF(SeilBeregnet=0,DR294,(0.1*Loa/Depl^0.3333)^DR$3*DR$7)</f>
        <v>0</v>
      </c>
      <c r="DS295" s="133">
        <f>IF(SeilBeregnet=0,DS294,((Loa)/Bredde)^DS$3*DS$7)</f>
        <v>2.0968486339143286</v>
      </c>
      <c r="DT295" s="107">
        <f>IF(SeilBeregnet=0,DT294,(Lwl)^DT$3)</f>
        <v>1.7415941483654049</v>
      </c>
      <c r="DU295" s="133">
        <f>IF(SeilBeregnet=0,DU294,(Dypg/Loa)^DU$3*5*DU$7)</f>
        <v>2.0981073118415403</v>
      </c>
      <c r="DW295" s="107">
        <f t="shared" si="1241"/>
        <v>1.4709920044678542</v>
      </c>
      <c r="DX295" s="107">
        <f t="shared" si="1301"/>
        <v>1.4327029977567385</v>
      </c>
      <c r="DZ295" s="107">
        <f t="shared" si="1302"/>
        <v>1.3829475055084359</v>
      </c>
      <c r="EA295" s="122" t="str">
        <f t="shared" si="2699"/>
        <v>-</v>
      </c>
      <c r="EB295" s="107">
        <f t="shared" si="2672"/>
        <v>1.4306054447955057</v>
      </c>
      <c r="EC295" s="122" t="str">
        <f t="shared" si="2700"/>
        <v>-</v>
      </c>
      <c r="ED295" s="107">
        <f t="shared" si="2328"/>
        <v>4.2881890939563085</v>
      </c>
      <c r="EE295" s="107">
        <f t="shared" si="2329"/>
        <v>2.0952241096557445</v>
      </c>
      <c r="EF295" s="107">
        <f t="shared" ref="EF295:EF305" si="2713">IF(SeilBeregnet=0,EF294,((Loa+Lwl)/Bredde)^EF$3)</f>
        <v>1.6473506606766539</v>
      </c>
      <c r="EH295" s="107">
        <f t="shared" si="2673"/>
        <v>1.4140504285770086</v>
      </c>
      <c r="EJ295" s="107">
        <f t="shared" si="2331"/>
        <v>4.2881890939563085</v>
      </c>
      <c r="EK295" s="107">
        <f t="shared" ref="EK295:EK305" si="2714">IF(SeilBeregnet=0,EK294,Lwl^EK$3)</f>
        <v>2.095363606158581</v>
      </c>
      <c r="EL295" s="107">
        <f t="shared" ref="EL295:EL305" si="2715">IF(SeilBeregnet=0,EL294,((Loa+Lwl)/Bredde)^EL$3)</f>
        <v>1.9454459426913298</v>
      </c>
      <c r="EM295" s="107">
        <f t="shared" si="2674"/>
        <v>1.4070312187454601</v>
      </c>
      <c r="EO295" s="107">
        <f t="shared" ref="EO295:EO305" si="2716">IF(SeilBeregnet=0,EO294,(EP295*EQ295)^EO$3)</f>
        <v>7.0641511370353465</v>
      </c>
      <c r="EP295" s="107">
        <f t="shared" si="2335"/>
        <v>4.2881890939563085</v>
      </c>
      <c r="EQ295" s="107">
        <f t="shared" ref="EQ295:EQ305" si="2717">IF(SeilBeregnet=0,EQ294,((Loa+Lwl)/Bredde)^EQ$3)</f>
        <v>1.6473506606766539</v>
      </c>
      <c r="ER295" s="107">
        <f t="shared" ref="ER295:ER305" si="2718">IF(SeilBeregnet=0,ER294,Lwl^ER$3)</f>
        <v>1.7415941483654049</v>
      </c>
      <c r="ES295" s="107">
        <f t="shared" si="2585"/>
        <v>1.4080407990888295</v>
      </c>
      <c r="EU295" s="107">
        <f>IF(SeilBeregnet=0,EU294,(EV:EV*EW:EW)^EU$3)</f>
        <v>2.1245212769850528</v>
      </c>
      <c r="EV295" s="107">
        <f t="shared" si="2339"/>
        <v>4.2881890939563085</v>
      </c>
      <c r="EW295" s="107">
        <f t="shared" ref="EW295:EW305" si="2719">IF(SeilBeregnet=0,EW294,((Loa+Lwl)/Bredde/6)^EW$3)</f>
        <v>1.0525633449148892</v>
      </c>
      <c r="EX295" s="107">
        <f t="shared" ref="EX295:EX305" si="2720">IF(SeilBeregnet=0,EX294,(Lwl*0.7+Loa*0.3)^EX$3)</f>
        <v>1.8013445147642846</v>
      </c>
      <c r="EY295" s="107">
        <f t="shared" si="2586"/>
        <v>1.2868789795098081</v>
      </c>
      <c r="FA295" s="107">
        <f t="shared" si="2587"/>
        <v>2.1245976940522517</v>
      </c>
      <c r="FB295" s="107">
        <f t="shared" si="2342"/>
        <v>4.2884975839027932</v>
      </c>
      <c r="FC295" s="107">
        <f t="shared" ref="FC295:FC305" si="2721">IF(SeilBeregnet=0,FC294,((Loa+Lwl)/Bredde/6)^FC$3)</f>
        <v>1.0525633449148892</v>
      </c>
      <c r="FD295" s="107">
        <f t="shared" ref="FD295:FD305" si="2722">IF(SeilBeregnet=0,FD294,(Lwl*0.7+Loa*0.3)^FD$3)</f>
        <v>1.8013445147642846</v>
      </c>
      <c r="FE295" s="107">
        <f t="shared" si="2588"/>
        <v>1.4361370372249946</v>
      </c>
      <c r="FF295" s="141" t="str">
        <f t="shared" si="2701"/>
        <v>-</v>
      </c>
      <c r="FG295" s="107">
        <f t="shared" si="2590"/>
        <v>4.7511818516390774</v>
      </c>
      <c r="FH295" s="133">
        <f t="shared" ref="FH295:FH305" si="2723">IF(SeilBeregnet=0,FH294,(SeilBeregnet^0.5/(Depl^0.3333))^FH$3)</f>
        <v>4.2884975839027932</v>
      </c>
      <c r="FI295" s="133">
        <f t="shared" ref="FI295:FI305" si="2724">IF(SeilBeregnet=0,FI294,((Loa+Lwl)/Bredde/6)^FI$3)</f>
        <v>1.1078895950584198</v>
      </c>
      <c r="FJ295" s="107">
        <f t="shared" ref="FJ295:FJ305" si="2725">IF(SeilBeregnet=0,FJ294,(Lwl*0.07+Loa*0.03)^FJ$3)</f>
        <v>1.0129704615569142</v>
      </c>
      <c r="FK295" s="107">
        <f t="shared" si="2591"/>
        <v>1.4345724499392365</v>
      </c>
      <c r="FL295" s="141" t="str">
        <f t="shared" si="2702"/>
        <v>-</v>
      </c>
      <c r="FM295" s="107">
        <f t="shared" si="2593"/>
        <v>6.9219517549900349</v>
      </c>
      <c r="FN295" s="133">
        <f t="shared" ref="FN295:FN305" si="2726">IF(SeilBeregnet=0,FN294,(SeilBeregnet^0.5/(Depl^0.3333))^FN$3)</f>
        <v>4.2884975839027932</v>
      </c>
      <c r="FO295" s="133">
        <f>IF(SeilBeregnet=0,FO294,(SeilBeregnet^0.5/Lwl*FO$7)^FO$3)</f>
        <v>1.0366055371729126</v>
      </c>
      <c r="FP295" s="133">
        <f>IF(SeilBeregnet=0,FP294,((Loa)/Bredde)^FP$3*FP$7)</f>
        <v>2.0968486339143286</v>
      </c>
      <c r="FQ295" s="107">
        <f t="shared" ref="FQ295:FQ305" si="2727">IF(SeilBeregnet=0,FQ294,(Lwl)^FQ$3)</f>
        <v>1.7415941483654049</v>
      </c>
      <c r="FR295" s="107">
        <f t="shared" si="2594"/>
        <v>1.4481514511822506</v>
      </c>
      <c r="FS295" s="141" t="str">
        <f t="shared" si="2703"/>
        <v>-</v>
      </c>
      <c r="FT295" s="107">
        <f t="shared" si="2596"/>
        <v>8.9923303003514707</v>
      </c>
      <c r="FU295" s="133">
        <f t="shared" ref="FU295:FU305" si="2728">IF(SeilBeregnet=0,FU294,(SeilBeregnet^0.5/(Depl^0.3333))^FU$3)</f>
        <v>4.2884975839027932</v>
      </c>
      <c r="FV295" s="133">
        <f t="shared" ref="FV295:FV305" si="2729">IF(SeilBeregnet=0,FV294,(Loa/Bredde)^FV$3)</f>
        <v>2.0968486339143286</v>
      </c>
      <c r="FW295" s="107">
        <f t="shared" ref="FW295:FW305" si="2730">IF(SeilBeregnet=0,FW294,Lwl^FW$3)</f>
        <v>1.7415941483654049</v>
      </c>
      <c r="FY295" s="336">
        <v>1</v>
      </c>
      <c r="FZ295" s="62">
        <f t="shared" si="2663"/>
        <v>1.3818359325464538</v>
      </c>
      <c r="GA295" s="62">
        <f t="shared" si="1303"/>
        <v>2.0981073118415403</v>
      </c>
      <c r="GB295" s="107">
        <f t="shared" si="1270"/>
        <v>1.5265623967827973</v>
      </c>
      <c r="GC295" s="440"/>
      <c r="GD295" s="17"/>
      <c r="GE295" s="442"/>
      <c r="GF295" s="462"/>
      <c r="GG295" s="17"/>
      <c r="GH295" s="17"/>
      <c r="GI295" s="17"/>
      <c r="GJ295" s="17"/>
      <c r="GL295" s="17"/>
      <c r="GM295" s="442"/>
      <c r="GN295" s="8"/>
      <c r="GO295" s="8"/>
      <c r="GP295" s="8"/>
      <c r="GQ295" s="8"/>
      <c r="GS295" s="17"/>
      <c r="GT295" s="17"/>
      <c r="GU295" s="17"/>
      <c r="GV295" s="629"/>
      <c r="GW295" s="17"/>
      <c r="GX295" s="17"/>
      <c r="GY295" s="17"/>
      <c r="GZ295" s="17"/>
    </row>
    <row r="296" spans="1:208" ht="15.6" x14ac:dyDescent="0.3">
      <c r="A296" s="52" t="s">
        <v>228</v>
      </c>
      <c r="B296" s="218">
        <f t="shared" si="1639"/>
        <v>50.393700787401571</v>
      </c>
      <c r="C296" s="53" t="s">
        <v>38</v>
      </c>
      <c r="D296" s="53"/>
      <c r="E296" s="53"/>
      <c r="F296" s="53"/>
      <c r="G296" s="54"/>
      <c r="H296" s="112">
        <f>J297</f>
        <v>135</v>
      </c>
      <c r="I296" s="601">
        <f>H297/100</f>
        <v>1.665</v>
      </c>
      <c r="J296" s="651">
        <f>IF(DC297=0,"-",DC297)</f>
        <v>1.48</v>
      </c>
      <c r="K296" s="123" t="str">
        <f>A296</f>
        <v>ERNA HELENA</v>
      </c>
      <c r="L296" s="116"/>
      <c r="M296" s="116"/>
      <c r="N296" s="92"/>
      <c r="O296" s="165"/>
      <c r="P296" s="165"/>
      <c r="Q296" s="165">
        <v>61</v>
      </c>
      <c r="R296" s="165"/>
      <c r="S296" s="165"/>
      <c r="T296" s="165"/>
      <c r="U296" s="165"/>
      <c r="V296" s="559"/>
      <c r="W296" s="559"/>
      <c r="X296" s="165"/>
      <c r="Y296" s="165"/>
      <c r="Z296" s="165"/>
      <c r="AA296" s="165"/>
      <c r="AB296" s="165"/>
      <c r="AC296" s="165"/>
      <c r="AD296" s="165"/>
      <c r="AE296" s="165">
        <v>74</v>
      </c>
      <c r="AF296" s="165"/>
      <c r="AG296" s="552"/>
      <c r="AH296" s="241">
        <f>Loa*1.1</f>
        <v>16.896000000000001</v>
      </c>
      <c r="AI296" s="241">
        <f>Loa*1.1</f>
        <v>16.896000000000001</v>
      </c>
      <c r="AJ296" s="554"/>
      <c r="AK296" s="339"/>
      <c r="AL296" s="268"/>
      <c r="AM296" s="339"/>
      <c r="AN296" s="268" t="s">
        <v>214</v>
      </c>
      <c r="AO296" s="45">
        <f>VLOOKUP(AN296,Skrogform!$1:$1048576,3,FALSE)</f>
        <v>1</v>
      </c>
      <c r="AP296" s="55">
        <v>15.36</v>
      </c>
      <c r="AQ296" s="55">
        <v>9.5</v>
      </c>
      <c r="AR296" s="55">
        <v>3.1</v>
      </c>
      <c r="AS296" s="55">
        <v>2.1</v>
      </c>
      <c r="AT296" s="637">
        <f>AU296</f>
        <v>13</v>
      </c>
      <c r="AU296" s="55">
        <v>13</v>
      </c>
      <c r="AV296" s="55"/>
      <c r="AW296" s="55"/>
      <c r="AX296" s="253"/>
      <c r="AY296" s="253"/>
      <c r="AZ296" s="254">
        <f>AY296*7</f>
        <v>0</v>
      </c>
      <c r="BA296" s="253"/>
      <c r="BB296" s="253"/>
      <c r="BC296" s="244">
        <f>Depl+Diesel/1000*0.84+Vann/1000</f>
        <v>13</v>
      </c>
      <c r="BD296" s="95">
        <f>Bredde/(Loa+Lwl)*2</f>
        <v>0.24939662107803701</v>
      </c>
      <c r="BE296" s="95">
        <f>(Kjøl+Ballast)/Depl</f>
        <v>0</v>
      </c>
      <c r="BF296" s="260">
        <f>BF$7*((Depl-Kjøl-Ballast-VektMotor/1000-VektAnnet/1000)/Lwl/Lwl/Bredde)</f>
        <v>1.7535335180055405</v>
      </c>
      <c r="BG296" s="95">
        <f>BG$7*(Depl/Loa/Lwl/Lwl)</f>
        <v>0.69011133569944605</v>
      </c>
      <c r="BH296" s="174">
        <f>BH$7*(Depl/Loa/Lwl/Bredde)</f>
        <v>0.78172388980263163</v>
      </c>
      <c r="BI296" s="95">
        <f>BI$7*Bredde/(Loa+Lwl)*2</f>
        <v>0.71145079109680887</v>
      </c>
      <c r="BJ296" s="95">
        <f>BJ$7*(Dypg/Lwl)</f>
        <v>1.2090617848970253</v>
      </c>
      <c r="BK296" s="56"/>
      <c r="BL296" s="268"/>
      <c r="BM296" s="268"/>
      <c r="BN296" s="45">
        <f t="shared" si="2579"/>
        <v>1</v>
      </c>
      <c r="BO296" s="59"/>
      <c r="BP296" s="59"/>
      <c r="BR296" s="209"/>
      <c r="BS296" s="209"/>
      <c r="BT296" s="209" t="str">
        <f>$A296</f>
        <v>ERNA HELENA</v>
      </c>
      <c r="BU296" s="10"/>
      <c r="BV296" s="10"/>
      <c r="BW296" s="10"/>
      <c r="BX296" s="10"/>
      <c r="BY296" s="549"/>
      <c r="BZ296" s="10"/>
      <c r="CA296" s="10"/>
      <c r="CB296" s="209" t="str">
        <f>$A296</f>
        <v>ERNA HELENA</v>
      </c>
      <c r="CC296" s="10"/>
      <c r="CD296" s="10"/>
      <c r="CE296" s="10"/>
      <c r="CF296" s="10"/>
      <c r="CG296" s="10"/>
      <c r="CH296" s="10"/>
      <c r="CI296" s="10">
        <f>IF(AE296=0,0,AE296*CI$9)</f>
        <v>70.3</v>
      </c>
      <c r="CJ296" s="10"/>
      <c r="CK296" s="10"/>
      <c r="CL296" s="209"/>
      <c r="CM296" s="10"/>
      <c r="CN296" s="209" t="str">
        <f>$A296</f>
        <v>ERNA HELENA</v>
      </c>
      <c r="CO296" s="207"/>
      <c r="CP296" s="207"/>
      <c r="CQ296" s="116"/>
      <c r="CR296" s="207"/>
      <c r="CS296" s="203"/>
      <c r="CT296" s="203" t="s">
        <v>23</v>
      </c>
      <c r="CU296" s="107" t="str">
        <f t="shared" si="1267"/>
        <v>-</v>
      </c>
      <c r="CV296" s="62" t="str">
        <f t="shared" si="1297"/>
        <v>-</v>
      </c>
      <c r="CW296" s="62" t="str">
        <f t="shared" si="1268"/>
        <v>-</v>
      </c>
      <c r="CX296" s="62" t="str">
        <f t="shared" si="1298"/>
        <v>-</v>
      </c>
      <c r="CY296" s="107" t="str">
        <f t="shared" si="1269"/>
        <v>-</v>
      </c>
      <c r="CZ296" s="168" t="str">
        <f t="shared" si="2712"/>
        <v>-</v>
      </c>
      <c r="DA296" s="158"/>
      <c r="DB296" s="168" t="str">
        <f t="shared" si="2572"/>
        <v>-</v>
      </c>
      <c r="DC296" s="160">
        <v>1.48</v>
      </c>
      <c r="DD296" s="190" t="s">
        <v>134</v>
      </c>
      <c r="DE296" s="29" t="s">
        <v>23</v>
      </c>
      <c r="DF296" s="29" t="s">
        <v>23</v>
      </c>
      <c r="DG296" s="29" t="s">
        <v>23</v>
      </c>
      <c r="DH296" s="149">
        <v>2022</v>
      </c>
      <c r="DI296" s="62" t="str">
        <f t="shared" si="1299"/>
        <v>-</v>
      </c>
      <c r="DJ296" s="47">
        <f t="shared" si="1300"/>
        <v>15.441176470588236</v>
      </c>
      <c r="DK296" s="48">
        <f t="shared" si="2580"/>
        <v>0</v>
      </c>
      <c r="DM296" s="107" t="str">
        <f t="shared" si="2581"/>
        <v>-</v>
      </c>
      <c r="DN296" s="141" t="str">
        <f t="shared" ref="DN296:DN302" si="2731">IF($DY296=0,"-",(DM296-$DW296)*100)</f>
        <v>-</v>
      </c>
      <c r="DO296" s="107">
        <f t="shared" si="2662"/>
        <v>6.4773228538764549</v>
      </c>
      <c r="DP296" s="133">
        <f>IF(SeilBeregnet=0,DP293,(SeilBeregnet^0.5/(Depl^0.3333))^DP$3*DP$7)</f>
        <v>4.164247310073879</v>
      </c>
      <c r="DQ296" s="133">
        <f>IF(SeilBeregnet=0,DQ293,(SeilBeregnet^0.5/Lwl)^DQ$3*DQ$7)</f>
        <v>0</v>
      </c>
      <c r="DR296" s="133">
        <f>IF(SeilBeregnet=0,DR293,(0.1*Loa/Depl^0.3333)^DR$3*DR$7)</f>
        <v>0</v>
      </c>
      <c r="DS296" s="133">
        <f>IF(SeilBeregnet=0,DS293,((Loa)/Bredde)^DS$3*DS$7)</f>
        <v>2.3130755438025754</v>
      </c>
      <c r="DT296" s="107">
        <f>IF(SeilBeregnet=0,DT293,(Lwl)^DT$3)</f>
        <v>1.7320508075688774</v>
      </c>
      <c r="DU296" s="133">
        <f>IF(SeilBeregnet=0,DU293,(Dypg/Loa)^DU$3*5*DU$7)</f>
        <v>1.6814817728363731</v>
      </c>
      <c r="DW296" s="107" t="str">
        <f t="shared" si="2685"/>
        <v>-</v>
      </c>
      <c r="DX296" s="107" t="str">
        <f t="shared" si="1301"/>
        <v>-</v>
      </c>
      <c r="DZ296" s="107" t="str">
        <f t="shared" si="1302"/>
        <v>-</v>
      </c>
      <c r="EA296" s="122" t="str">
        <f t="shared" ref="EA296:EA302" si="2732">IF($DY296=0,"-",DZ296-$DW296)</f>
        <v>-</v>
      </c>
      <c r="EB296" s="107" t="str">
        <f t="shared" si="2672"/>
        <v>-</v>
      </c>
      <c r="EC296" s="122" t="str">
        <f t="shared" ref="EC296:EC302" si="2733">IF($DY296=0,"-",EB296-$DW296)</f>
        <v>-</v>
      </c>
      <c r="ED296" s="107">
        <f>IF(SeilBeregnet=0,ED293,SeilBeregnet^0.5/Depl^0.33333)</f>
        <v>4.1639221754617637</v>
      </c>
      <c r="EE296" s="107">
        <f>IF(SeilBeregnet=0,EE293,Lwl^0.3333)</f>
        <v>2.0799314815874812</v>
      </c>
      <c r="EF296" s="107">
        <f>IF(SeilBeregnet=0,EF293,((Loa+Lwl)/Bredde)^EF$3)</f>
        <v>1.6930606440936209</v>
      </c>
      <c r="EH296" s="107" t="str">
        <f t="shared" si="2673"/>
        <v>-</v>
      </c>
      <c r="EJ296" s="107">
        <f>IF(SeilBeregnet=0,EJ293,SeilBeregnet^0.5/Depl^0.33333)</f>
        <v>4.1639221754617637</v>
      </c>
      <c r="EK296" s="107">
        <f>IF(SeilBeregnet=0,EK293,Lwl^EK$3)</f>
        <v>2.0800685884033645</v>
      </c>
      <c r="EL296" s="107">
        <f>IF(SeilBeregnet=0,EL293,((Loa+Lwl)/Bredde)^EL$3)</f>
        <v>2.0177446120572395</v>
      </c>
      <c r="EM296" s="107" t="str">
        <f t="shared" si="2674"/>
        <v>-</v>
      </c>
      <c r="EO296" s="107">
        <f>IF(SeilBeregnet=0,EO293,(EP296*EQ296)^EO$3)</f>
        <v>7.0497727603430045</v>
      </c>
      <c r="EP296" s="107">
        <f>IF(SeilBeregnet=0,EP293,SeilBeregnet^0.5/Depl^0.33333)</f>
        <v>4.1639221754617637</v>
      </c>
      <c r="EQ296" s="107">
        <f>IF(SeilBeregnet=0,EQ293,((Loa+Lwl)/Bredde)^EQ$3)</f>
        <v>1.6930606440936209</v>
      </c>
      <c r="ER296" s="107">
        <f>IF(SeilBeregnet=0,ER293,Lwl^ER$3)</f>
        <v>1.7320508075688774</v>
      </c>
      <c r="ES296" s="107" t="str">
        <f t="shared" si="2585"/>
        <v>-</v>
      </c>
      <c r="EU296" s="107">
        <f>IF(SeilBeregnet=0,EU293,(EV:EV*EW:EW)^EU$3)</f>
        <v>2.1223580498408774</v>
      </c>
      <c r="EV296" s="107">
        <f>IF(SeilBeregnet=0,EV293,SeilBeregnet^0.5/Depl^0.33333)</f>
        <v>4.1639221754617637</v>
      </c>
      <c r="EW296" s="107">
        <f>IF(SeilBeregnet=0,EW293,((Loa+Lwl)/Bredde/6)^EW$3)</f>
        <v>1.0817694236143716</v>
      </c>
      <c r="EX296" s="107">
        <f>IF(SeilBeregnet=0,EX293,(Lwl*0.7+Loa*0.3)^EX$3)</f>
        <v>1.8350726547187572</v>
      </c>
      <c r="EY296" s="107" t="str">
        <f t="shared" si="2586"/>
        <v>-</v>
      </c>
      <c r="FA296" s="107">
        <f t="shared" si="2587"/>
        <v>2.1224409090493701</v>
      </c>
      <c r="FB296" s="107">
        <f>IF(SeilBeregnet=0,FB293,SeilBeregnet^0.5/Depl^0.3333)</f>
        <v>4.164247310073879</v>
      </c>
      <c r="FC296" s="107">
        <f>IF(SeilBeregnet=0,FC293,((Loa+Lwl)/Bredde/6)^FC$3)</f>
        <v>1.0817694236143716</v>
      </c>
      <c r="FD296" s="107">
        <f>IF(SeilBeregnet=0,FD293,(Lwl*0.7+Loa*0.3)^FD$3)</f>
        <v>1.8350726547187572</v>
      </c>
      <c r="FE296" s="107" t="str">
        <f t="shared" si="2588"/>
        <v>-</v>
      </c>
      <c r="FF296" s="141" t="str">
        <f t="shared" ref="FF296:FF302" si="2734">IF($DY296=0,"-",(FE296-$DW296)*100)</f>
        <v>-</v>
      </c>
      <c r="FG296" s="107">
        <f t="shared" si="2590"/>
        <v>4.8731066660025029</v>
      </c>
      <c r="FH296" s="133">
        <f>IF(SeilBeregnet=0,FH293,(SeilBeregnet^0.5/(Depl^0.3333))^FH$3)</f>
        <v>4.164247310073879</v>
      </c>
      <c r="FI296" s="133">
        <f>IF(SeilBeregnet=0,FI293,((Loa+Lwl)/Bredde/6)^FI$3)</f>
        <v>1.1702250858669698</v>
      </c>
      <c r="FJ296" s="107">
        <f>IF(SeilBeregnet=0,FJ293,(Lwl*0.07+Loa*0.03)^FJ$3)</f>
        <v>1.0319371884751178</v>
      </c>
      <c r="FK296" s="107" t="str">
        <f t="shared" si="2591"/>
        <v>-</v>
      </c>
      <c r="FL296" s="141" t="str">
        <f t="shared" ref="FL296:FL302" si="2735">IF($DY296=0,"-",(FK296-$DW296)*100)</f>
        <v>-</v>
      </c>
      <c r="FM296" s="107">
        <f t="shared" si="2593"/>
        <v>7.0789490368049375</v>
      </c>
      <c r="FN296" s="133">
        <f>IF(SeilBeregnet=0,FN293,(SeilBeregnet^0.5/(Depl^0.3333))^FN$3)</f>
        <v>4.164247310073879</v>
      </c>
      <c r="FO296" s="133">
        <f>IF(SeilBeregnet=0,FO293,(SeilBeregnet^0.5/Lwl*FO$7)^FO$3)</f>
        <v>1.1016261829284835</v>
      </c>
      <c r="FP296" s="133">
        <f>IF(SeilBeregnet=0,FP293,((Loa)/Bredde)^FP$3*FP$7)</f>
        <v>2.3130755438025754</v>
      </c>
      <c r="FQ296" s="107">
        <f>IF(SeilBeregnet=0,FQ293,(Lwl)^FQ$3)</f>
        <v>1.7320508075688774</v>
      </c>
      <c r="FR296" s="107" t="str">
        <f t="shared" si="2594"/>
        <v>-</v>
      </c>
      <c r="FS296" s="141" t="str">
        <f t="shared" ref="FS296:FS302" si="2736">IF($DY296=0,"-",(FR296-$DW296)*100)</f>
        <v>-</v>
      </c>
      <c r="FT296" s="107">
        <f t="shared" si="2596"/>
        <v>9.6322186112775494</v>
      </c>
      <c r="FU296" s="133">
        <f>IF(SeilBeregnet=0,FU293,(SeilBeregnet^0.5/(Depl^0.3333))^FU$3)</f>
        <v>4.164247310073879</v>
      </c>
      <c r="FV296" s="133">
        <f>IF(SeilBeregnet=0,FV293,(Loa/Bredde)^FV$3)</f>
        <v>2.3130755438025754</v>
      </c>
      <c r="FW296" s="107">
        <f>IF(SeilBeregnet=0,FW293,Lwl^FW$3)</f>
        <v>1.7320508075688774</v>
      </c>
      <c r="FY296" s="336">
        <v>1</v>
      </c>
      <c r="FZ296" s="62" t="str">
        <f t="shared" si="2663"/>
        <v>-</v>
      </c>
      <c r="GA296" s="62">
        <f t="shared" si="1303"/>
        <v>1.84877493221863</v>
      </c>
      <c r="GB296" s="107" t="str">
        <f t="shared" si="1270"/>
        <v>-</v>
      </c>
      <c r="GC296" s="441"/>
      <c r="GD296" s="57"/>
      <c r="GE296" s="436"/>
      <c r="GF296" s="75"/>
      <c r="GG296" s="57"/>
      <c r="GH296" s="57"/>
      <c r="GI296" s="57"/>
      <c r="GJ296" s="57"/>
      <c r="GL296" s="57" t="s">
        <v>478</v>
      </c>
      <c r="GM296" s="436" t="s">
        <v>478</v>
      </c>
      <c r="GN296" s="58" t="s">
        <v>478</v>
      </c>
      <c r="GO296" s="58" t="s">
        <v>478</v>
      </c>
      <c r="GP296" s="58" t="s">
        <v>478</v>
      </c>
      <c r="GQ296" s="58" t="s">
        <v>478</v>
      </c>
      <c r="GS296" s="57"/>
      <c r="GT296" s="57"/>
      <c r="GU296" s="57"/>
      <c r="GV296" s="632"/>
      <c r="GW296" s="57"/>
      <c r="GX296" s="57"/>
      <c r="GY296" s="57"/>
      <c r="GZ296" s="57"/>
    </row>
    <row r="297" spans="1:208" ht="15.6" x14ac:dyDescent="0.3">
      <c r="A297" s="60" t="s">
        <v>68</v>
      </c>
      <c r="B297" s="218"/>
      <c r="C297" s="61" t="str">
        <f>C296</f>
        <v>Bermuda</v>
      </c>
      <c r="D297" s="61"/>
      <c r="E297" s="61"/>
      <c r="F297" s="61"/>
      <c r="G297" s="54"/>
      <c r="H297" s="204">
        <f>IF(StH=0,0,TBFavrundet)</f>
        <v>166.5</v>
      </c>
      <c r="I297" s="63">
        <f>COUNTA(O297:AG297)</f>
        <v>2</v>
      </c>
      <c r="J297" s="222">
        <f>SUM(O297:AG297)</f>
        <v>135</v>
      </c>
      <c r="K297" s="116">
        <f>Seilareal/Depl^0.667/K$7</f>
        <v>2.2609404353674507</v>
      </c>
      <c r="L297" s="116">
        <f>Seilareal/Lwl/Lwl/L$7</f>
        <v>2.2696742562871326</v>
      </c>
      <c r="M297" s="92">
        <f>RiggF</f>
        <v>0.97259259259259268</v>
      </c>
      <c r="N297" s="242">
        <f>StHfaktor</f>
        <v>1.0746264777202159</v>
      </c>
      <c r="O297" s="143"/>
      <c r="P297" s="143"/>
      <c r="Q297" s="165">
        <v>61</v>
      </c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65">
        <v>74</v>
      </c>
      <c r="AF297" s="143"/>
      <c r="AG297" s="551"/>
      <c r="AH297" s="557">
        <f>AH296</f>
        <v>16.896000000000001</v>
      </c>
      <c r="AI297" s="557">
        <f>AI296</f>
        <v>16.896000000000001</v>
      </c>
      <c r="AJ297" s="337">
        <f t="shared" ref="AJ297:AL298" si="2737" xml:space="preserve"> AJ296</f>
        <v>0</v>
      </c>
      <c r="AK297" s="339"/>
      <c r="AL297" s="337">
        <f t="shared" si="2737"/>
        <v>0</v>
      </c>
      <c r="AM297" s="339"/>
      <c r="AN297" s="267" t="str">
        <f xml:space="preserve"> AN296</f>
        <v>Meter</v>
      </c>
      <c r="AO297" s="45">
        <f>VLOOKUP(AN297,Skrogform!$1:$1048576,3,FALSE)</f>
        <v>1</v>
      </c>
      <c r="AP297" s="64">
        <f t="shared" ref="AP297:AZ297" si="2738">AP296</f>
        <v>15.36</v>
      </c>
      <c r="AQ297" s="64">
        <f t="shared" si="2738"/>
        <v>9.5</v>
      </c>
      <c r="AR297" s="64">
        <f t="shared" si="2738"/>
        <v>3.1</v>
      </c>
      <c r="AS297" s="64">
        <f t="shared" si="2738"/>
        <v>2.1</v>
      </c>
      <c r="AT297" s="64">
        <f t="shared" ref="AT297" si="2739">AT296</f>
        <v>13</v>
      </c>
      <c r="AU297" s="64">
        <f t="shared" si="2738"/>
        <v>13</v>
      </c>
      <c r="AV297" s="64">
        <f t="shared" si="2738"/>
        <v>0</v>
      </c>
      <c r="AW297" s="64">
        <f t="shared" si="2738"/>
        <v>0</v>
      </c>
      <c r="AX297" s="256">
        <f>AX296</f>
        <v>0</v>
      </c>
      <c r="AY297" s="256">
        <f t="shared" si="2738"/>
        <v>0</v>
      </c>
      <c r="AZ297" s="256">
        <f t="shared" si="2738"/>
        <v>0</v>
      </c>
      <c r="BA297" s="256">
        <f t="shared" ref="BA297:BB297" si="2740">BA296</f>
        <v>0</v>
      </c>
      <c r="BB297" s="256">
        <f t="shared" si="2740"/>
        <v>0</v>
      </c>
      <c r="BC297" s="256"/>
      <c r="BD297" s="66"/>
      <c r="BE297" s="66"/>
      <c r="BF297" s="261"/>
      <c r="BG297" s="66"/>
      <c r="BH297" s="175"/>
      <c r="BI297" s="66"/>
      <c r="BJ297" s="66"/>
      <c r="BK297" s="65">
        <f t="shared" ref="BK297:BM297" si="2741" xml:space="preserve"> BK296</f>
        <v>0</v>
      </c>
      <c r="BL297" s="267">
        <f t="shared" si="2741"/>
        <v>0</v>
      </c>
      <c r="BM297" s="267">
        <f t="shared" si="2741"/>
        <v>0</v>
      </c>
      <c r="BN297" s="45">
        <f t="shared" si="2579"/>
        <v>1</v>
      </c>
      <c r="BO297" s="59"/>
      <c r="BP297" s="59"/>
      <c r="BR297" s="49">
        <f t="shared" ref="BR297:BX298" si="2742">IF(O297=0,0,O297*BR$9)</f>
        <v>0</v>
      </c>
      <c r="BS297" s="49">
        <f t="shared" si="2742"/>
        <v>0</v>
      </c>
      <c r="BT297" s="49">
        <f t="shared" si="2742"/>
        <v>61</v>
      </c>
      <c r="BU297" s="49">
        <f t="shared" si="2742"/>
        <v>0</v>
      </c>
      <c r="BV297" s="49">
        <f t="shared" si="2742"/>
        <v>0</v>
      </c>
      <c r="BW297" s="49">
        <f t="shared" si="2742"/>
        <v>0</v>
      </c>
      <c r="BX297" s="49">
        <f t="shared" si="2742"/>
        <v>0</v>
      </c>
      <c r="BY297" s="549">
        <f>IF(COUNT(Q297:U297)&gt;1,MINA(Q297:U297)*BY$9,0)</f>
        <v>0</v>
      </c>
      <c r="BZ297" s="85">
        <f t="shared" ref="BZ297:CD298" si="2743">IF(V297=0,0,V297*BZ$9)</f>
        <v>0</v>
      </c>
      <c r="CA297" s="85">
        <f t="shared" si="2743"/>
        <v>0</v>
      </c>
      <c r="CB297" s="85">
        <f t="shared" si="2743"/>
        <v>0</v>
      </c>
      <c r="CC297" s="85">
        <f t="shared" si="2743"/>
        <v>0</v>
      </c>
      <c r="CD297" s="85">
        <f t="shared" si="2743"/>
        <v>0</v>
      </c>
      <c r="CE297" s="85">
        <f>IF(AC297=0,0,AC297*CE$9)</f>
        <v>0</v>
      </c>
      <c r="CF297" s="85">
        <f>IF(AA297=0,0,AA297*CF$9)</f>
        <v>0</v>
      </c>
      <c r="CG297" s="85">
        <f>IF(AB297=0,0,AB297*CG$9)</f>
        <v>0</v>
      </c>
      <c r="CH297" s="85">
        <f>IF(AD297=0,0,AD297*CH$9)</f>
        <v>0</v>
      </c>
      <c r="CI297" s="85">
        <f>IF(AE297=0,0,AE297*CI$9)</f>
        <v>70.3</v>
      </c>
      <c r="CJ297" s="85">
        <f>IF(AF297=0,0,AF297*CJ$9)</f>
        <v>0</v>
      </c>
      <c r="CK297" s="85">
        <f>IF(AG297=0,0,AG297*CK$9)</f>
        <v>0</v>
      </c>
      <c r="CL297" s="100">
        <f>SUM(BR297:CK297)</f>
        <v>131.30000000000001</v>
      </c>
      <c r="CM297" s="50"/>
      <c r="CN297" s="104">
        <f>J297</f>
        <v>135</v>
      </c>
      <c r="CO297" s="101">
        <f>CL297/CN297</f>
        <v>0.97259259259259268</v>
      </c>
      <c r="CP297" s="51">
        <f>Seilareal/Lwl/Lwl</f>
        <v>1.4958448753462605</v>
      </c>
      <c r="CQ297" s="116">
        <f>Seilareal/Depl^0.667/K$7</f>
        <v>2.2609404353674507</v>
      </c>
      <c r="CR297" s="51">
        <f>Seilareal/Lwl/Lwl/SApRS1</f>
        <v>2.2696742562871326</v>
      </c>
      <c r="CS297" s="204"/>
      <c r="CT297" s="204">
        <f>(ROUND(TBF/CT$6,3)*CT$6)*CT$4</f>
        <v>166.5</v>
      </c>
      <c r="CU297" s="107">
        <f t="shared" si="1267"/>
        <v>1.6651655805792323</v>
      </c>
      <c r="CV297" s="62">
        <f t="shared" si="1297"/>
        <v>5.2103303086994739</v>
      </c>
      <c r="CW297" s="62">
        <f t="shared" si="1268"/>
        <v>2.0024178932867231</v>
      </c>
      <c r="CX297" s="62">
        <f t="shared" si="1298"/>
        <v>1.7556215427832071</v>
      </c>
      <c r="CY297" s="107">
        <f t="shared" si="1269"/>
        <v>1.0746264777202159</v>
      </c>
      <c r="CZ297" s="168" t="str">
        <f t="shared" si="2712"/>
        <v>-</v>
      </c>
      <c r="DA297" s="159">
        <f>DA296</f>
        <v>0</v>
      </c>
      <c r="DB297" s="168">
        <f t="shared" si="2572"/>
        <v>1.3761403508771932</v>
      </c>
      <c r="DC297" s="159">
        <f>DC296</f>
        <v>1.48</v>
      </c>
      <c r="DD297" s="190" t="s">
        <v>134</v>
      </c>
      <c r="DE297" s="62" t="s">
        <v>102</v>
      </c>
      <c r="DF297" s="62" t="s">
        <v>102</v>
      </c>
      <c r="DG297" s="62" t="s">
        <v>102</v>
      </c>
      <c r="DH297" s="150" t="s">
        <v>102</v>
      </c>
      <c r="DI297" s="62">
        <f t="shared" si="1299"/>
        <v>2.2358112019054555</v>
      </c>
      <c r="DJ297" s="47">
        <f t="shared" si="1300"/>
        <v>15.441176470588236</v>
      </c>
      <c r="DK297" s="48">
        <f t="shared" si="2580"/>
        <v>0</v>
      </c>
      <c r="DM297" s="107">
        <f t="shared" si="2581"/>
        <v>1.5455631349528183</v>
      </c>
      <c r="DN297" s="141" t="str">
        <f t="shared" si="2731"/>
        <v>-</v>
      </c>
      <c r="DO297" s="107">
        <f t="shared" si="2662"/>
        <v>7.0996046280595273</v>
      </c>
      <c r="DP297" s="133">
        <f>IF(SeilBeregnet=0,DP296,(SeilBeregnet^0.5/(Depl^0.3333))^DP$3*DP$7)</f>
        <v>4.8736579284107195</v>
      </c>
      <c r="DQ297" s="133">
        <f>IF(SeilBeregnet=0,DQ296,(SeilBeregnet^0.5/Lwl)^DQ$3*DQ$7)</f>
        <v>0</v>
      </c>
      <c r="DR297" s="133">
        <f>IF(SeilBeregnet=0,DR296,(0.1*Loa/Depl^0.3333)^DR$3*DR$7)</f>
        <v>0</v>
      </c>
      <c r="DS297" s="133">
        <f>IF(SeilBeregnet=0,DS296,((Loa)/Bredde)^DS$3*DS$7)</f>
        <v>2.2259466996488078</v>
      </c>
      <c r="DT297" s="107">
        <f>IF(SeilBeregnet=0,DT296,(Lwl)^DT$3)</f>
        <v>1.7556215427832071</v>
      </c>
      <c r="DU297" s="133">
        <f>IF(SeilBeregnet=0,DU296,(Dypg/Loa)^DU$3*5*DU$7)</f>
        <v>1.84877493221863</v>
      </c>
      <c r="DW297" s="107">
        <f t="shared" si="2685"/>
        <v>1.6651655805792323</v>
      </c>
      <c r="DX297" s="107">
        <f t="shared" si="1301"/>
        <v>1.6620064651006949</v>
      </c>
      <c r="DZ297" s="107">
        <f t="shared" si="1302"/>
        <v>1.5814957577086692</v>
      </c>
      <c r="EA297" s="122" t="str">
        <f t="shared" si="2732"/>
        <v>-</v>
      </c>
      <c r="EB297" s="107">
        <f t="shared" si="2672"/>
        <v>1.6301252809986078</v>
      </c>
      <c r="EC297" s="122" t="str">
        <f t="shared" si="2733"/>
        <v>-</v>
      </c>
      <c r="ED297" s="107">
        <f t="shared" ref="ED297:ED298" si="2744">IF(SeilBeregnet=0,ED296,SeilBeregnet^0.5/Depl^0.33333)</f>
        <v>4.8732829222658216</v>
      </c>
      <c r="EE297" s="107">
        <f t="shared" ref="EE297:EE298" si="2745">IF(SeilBeregnet=0,EE296,Lwl^0.3333)</f>
        <v>2.1177528635091734</v>
      </c>
      <c r="EF297" s="107">
        <f>IF(SeilBeregnet=0,EF296,((Loa+Lwl)/Bredde)^EF$3)</f>
        <v>1.6828091223381947</v>
      </c>
      <c r="EH297" s="107">
        <f t="shared" si="2673"/>
        <v>1.605375198648104</v>
      </c>
      <c r="EJ297" s="107">
        <f t="shared" ref="EJ297:EJ298" si="2746">IF(SeilBeregnet=0,EJ296,SeilBeregnet^0.5/Depl^0.33333)</f>
        <v>4.8732829222658216</v>
      </c>
      <c r="EK297" s="107">
        <f>IF(SeilBeregnet=0,EK296,Lwl^EK$3)</f>
        <v>2.1178958987289218</v>
      </c>
      <c r="EL297" s="107">
        <f>IF(SeilBeregnet=0,EL296,((Loa+Lwl)/Bredde)^EL$3)</f>
        <v>2.0014727066930025</v>
      </c>
      <c r="EM297" s="107">
        <f t="shared" si="2674"/>
        <v>1.5962282159120529</v>
      </c>
      <c r="EO297" s="107">
        <f>IF(SeilBeregnet=0,EO296,(EP297*EQ297)^EO$3)</f>
        <v>8.2008049573238591</v>
      </c>
      <c r="EP297" s="107">
        <f t="shared" ref="EP297:EP298" si="2747">IF(SeilBeregnet=0,EP296,SeilBeregnet^0.5/Depl^0.33333)</f>
        <v>4.8732829222658216</v>
      </c>
      <c r="EQ297" s="107">
        <f>IF(SeilBeregnet=0,EQ296,((Loa+Lwl)/Bredde)^EQ$3)</f>
        <v>1.6828091223381947</v>
      </c>
      <c r="ER297" s="107">
        <f>IF(SeilBeregnet=0,ER296,Lwl^ER$3)</f>
        <v>1.7556215427832071</v>
      </c>
      <c r="ES297" s="107">
        <f t="shared" si="2585"/>
        <v>1.5768342073309258</v>
      </c>
      <c r="EU297" s="107">
        <f>IF(SeilBeregnet=0,EU296,(EV:EV*EW:EW)^EU$3)</f>
        <v>2.2890713786928374</v>
      </c>
      <c r="EV297" s="107">
        <f t="shared" ref="EV297:EV298" si="2748">IF(SeilBeregnet=0,EV296,SeilBeregnet^0.5/Depl^0.33333)</f>
        <v>4.8732829222658216</v>
      </c>
      <c r="EW297" s="107">
        <f>IF(SeilBeregnet=0,EW296,((Loa+Lwl)/Bredde/6)^EW$3)</f>
        <v>1.0752192844807114</v>
      </c>
      <c r="EX297" s="107">
        <f>IF(SeilBeregnet=0,EX296,(Lwl*0.7+Loa*0.3)^EX$3)</f>
        <v>1.8317462498666843</v>
      </c>
      <c r="EY297" s="107">
        <f t="shared" si="2586"/>
        <v>1.4099560494326837</v>
      </c>
      <c r="FA297" s="107">
        <f t="shared" si="2587"/>
        <v>2.2891594506695072</v>
      </c>
      <c r="FB297" s="107">
        <f t="shared" ref="FB297:FB298" si="2749">IF(SeilBeregnet=0,FB296,SeilBeregnet^0.5/Depl^0.3333)</f>
        <v>4.8736579284107195</v>
      </c>
      <c r="FC297" s="107">
        <f>IF(SeilBeregnet=0,FC296,((Loa+Lwl)/Bredde/6)^FC$3)</f>
        <v>1.0752192844807114</v>
      </c>
      <c r="FD297" s="107">
        <f>IF(SeilBeregnet=0,FD296,(Lwl*0.7+Loa*0.3)^FD$3)</f>
        <v>1.8317462498666843</v>
      </c>
      <c r="FE297" s="107">
        <f t="shared" si="2588"/>
        <v>1.6514316092527737</v>
      </c>
      <c r="FF297" s="141" t="str">
        <f t="shared" si="2734"/>
        <v>-</v>
      </c>
      <c r="FG297" s="107">
        <f t="shared" si="2590"/>
        <v>5.6344189206010036</v>
      </c>
      <c r="FH297" s="133">
        <f>IF(SeilBeregnet=0,FH296,(SeilBeregnet^0.5/(Depl^0.3333))^FH$3)</f>
        <v>4.8736579284107195</v>
      </c>
      <c r="FI297" s="133">
        <f>IF(SeilBeregnet=0,FI296,((Loa+Lwl)/Bredde/6)^FI$3)</f>
        <v>1.1560965097192131</v>
      </c>
      <c r="FJ297" s="107">
        <f>IF(SeilBeregnet=0,FJ296,(Lwl*0.07+Loa*0.03)^FJ$3)</f>
        <v>1.0300666135624836</v>
      </c>
      <c r="FK297" s="107">
        <f t="shared" si="2591"/>
        <v>1.630774481854844</v>
      </c>
      <c r="FL297" s="141" t="str">
        <f t="shared" si="2735"/>
        <v>-</v>
      </c>
      <c r="FM297" s="107">
        <f t="shared" si="2593"/>
        <v>7.8057752815863672</v>
      </c>
      <c r="FN297" s="133">
        <f>IF(SeilBeregnet=0,FN296,(SeilBeregnet^0.5/(Depl^0.3333))^FN$3)</f>
        <v>4.8736579284107195</v>
      </c>
      <c r="FO297" s="133">
        <f>IF(SeilBeregnet=0,FO296,(SeilBeregnet^0.5/Lwl*FO$7)^FO$3)</f>
        <v>1.2061706535268393</v>
      </c>
      <c r="FP297" s="133">
        <f>IF(SeilBeregnet=0,FP296,((Loa)/Bredde)^FP$3*FP$7)</f>
        <v>2.2259466996488078</v>
      </c>
      <c r="FQ297" s="107">
        <f>IF(SeilBeregnet=0,FQ296,(Lwl)^FQ$3)</f>
        <v>1.7556215427832071</v>
      </c>
      <c r="FR297" s="107">
        <f t="shared" si="2594"/>
        <v>1.6683744870614501</v>
      </c>
      <c r="FS297" s="141" t="str">
        <f t="shared" si="2736"/>
        <v>-</v>
      </c>
      <c r="FT297" s="107">
        <f t="shared" si="2596"/>
        <v>10.848502780963086</v>
      </c>
      <c r="FU297" s="133">
        <f>IF(SeilBeregnet=0,FU296,(SeilBeregnet^0.5/(Depl^0.3333))^FU$3)</f>
        <v>4.8736579284107195</v>
      </c>
      <c r="FV297" s="133">
        <f>IF(SeilBeregnet=0,FV296,(Loa/Bredde)^FV$3)</f>
        <v>2.2259466996488078</v>
      </c>
      <c r="FW297" s="107">
        <f>IF(SeilBeregnet=0,FW296,Lwl^FW$3)</f>
        <v>1.7556215427832071</v>
      </c>
      <c r="FY297" s="336">
        <v>1</v>
      </c>
      <c r="FZ297" s="62">
        <f t="shared" si="2663"/>
        <v>1.4692965630637189</v>
      </c>
      <c r="GA297" s="62">
        <f t="shared" si="1303"/>
        <v>1.84877493221863</v>
      </c>
      <c r="GB297" s="107">
        <f t="shared" si="1270"/>
        <v>1.5962534870400813</v>
      </c>
      <c r="GC297" s="440"/>
      <c r="GD297" s="17"/>
      <c r="GE297" s="442"/>
      <c r="GF297" s="462"/>
      <c r="GG297" s="17"/>
      <c r="GH297" s="17"/>
      <c r="GI297" s="17"/>
      <c r="GJ297" s="17"/>
      <c r="GL297" s="17"/>
      <c r="GM297" s="442"/>
      <c r="GN297" s="8"/>
      <c r="GO297" s="8"/>
      <c r="GP297" s="8"/>
      <c r="GQ297" s="8"/>
      <c r="GS297" s="17"/>
      <c r="GT297" s="17"/>
      <c r="GU297" s="17"/>
      <c r="GV297" s="629"/>
      <c r="GW297" s="17"/>
      <c r="GX297" s="17"/>
      <c r="GY297" s="17"/>
      <c r="GZ297" s="17"/>
    </row>
    <row r="298" spans="1:208" ht="15.6" x14ac:dyDescent="0.3">
      <c r="A298" s="60"/>
      <c r="B298" s="218"/>
      <c r="C298" s="61" t="str">
        <f t="shared" ref="C298" si="2750">C297</f>
        <v>Bermuda</v>
      </c>
      <c r="D298" s="61"/>
      <c r="E298" s="61"/>
      <c r="F298" s="61"/>
      <c r="G298" s="54"/>
      <c r="H298" s="204">
        <f>TBFavrundet</f>
        <v>166.5</v>
      </c>
      <c r="I298" s="63">
        <f>COUNTA(O298:AG298)</f>
        <v>2</v>
      </c>
      <c r="J298" s="222">
        <f>SUM(O298:AG298)</f>
        <v>135</v>
      </c>
      <c r="K298" s="116">
        <f>Seilareal/Depl^0.667/K$7</f>
        <v>2.2609404353674507</v>
      </c>
      <c r="L298" s="116">
        <f>Seilareal/Lwl/Lwl/L$7</f>
        <v>2.2696742562871326</v>
      </c>
      <c r="M298" s="92">
        <f>RiggF</f>
        <v>0.97259259259259268</v>
      </c>
      <c r="N298" s="242">
        <f>StHfaktor</f>
        <v>1.0746264777202159</v>
      </c>
      <c r="O298" s="143"/>
      <c r="P298" s="143"/>
      <c r="Q298" s="165">
        <v>61</v>
      </c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65">
        <v>74</v>
      </c>
      <c r="AF298" s="143"/>
      <c r="AG298" s="551"/>
      <c r="AH298" s="557">
        <f>AH297</f>
        <v>16.896000000000001</v>
      </c>
      <c r="AI298" s="557">
        <f>AI297</f>
        <v>16.896000000000001</v>
      </c>
      <c r="AJ298" s="337">
        <f t="shared" si="2737"/>
        <v>0</v>
      </c>
      <c r="AK298" s="339"/>
      <c r="AL298" s="337">
        <f t="shared" si="2737"/>
        <v>0</v>
      </c>
      <c r="AM298" s="339"/>
      <c r="AN298" s="267" t="str">
        <f xml:space="preserve"> AN297</f>
        <v>Meter</v>
      </c>
      <c r="AO298" s="45">
        <f>VLOOKUP(AN298,Skrogform!$1:$1048576,3,FALSE)</f>
        <v>1</v>
      </c>
      <c r="AP298" s="64">
        <f t="shared" ref="AP298:AZ298" si="2751">AP297</f>
        <v>15.36</v>
      </c>
      <c r="AQ298" s="64">
        <f t="shared" si="2751"/>
        <v>9.5</v>
      </c>
      <c r="AR298" s="64">
        <f t="shared" si="2751"/>
        <v>3.1</v>
      </c>
      <c r="AS298" s="64">
        <f t="shared" si="2751"/>
        <v>2.1</v>
      </c>
      <c r="AT298" s="64">
        <f t="shared" ref="AT298" si="2752">AT297</f>
        <v>13</v>
      </c>
      <c r="AU298" s="64">
        <f t="shared" si="2751"/>
        <v>13</v>
      </c>
      <c r="AV298" s="64">
        <f t="shared" si="2751"/>
        <v>0</v>
      </c>
      <c r="AW298" s="64">
        <f t="shared" si="2751"/>
        <v>0</v>
      </c>
      <c r="AX298" s="256">
        <f>AX297</f>
        <v>0</v>
      </c>
      <c r="AY298" s="256">
        <f t="shared" si="2751"/>
        <v>0</v>
      </c>
      <c r="AZ298" s="256">
        <f t="shared" si="2751"/>
        <v>0</v>
      </c>
      <c r="BA298" s="256">
        <f t="shared" ref="BA298:BB298" si="2753">BA297</f>
        <v>0</v>
      </c>
      <c r="BB298" s="256">
        <f t="shared" si="2753"/>
        <v>0</v>
      </c>
      <c r="BC298" s="256"/>
      <c r="BD298" s="66"/>
      <c r="BE298" s="66"/>
      <c r="BF298" s="261"/>
      <c r="BG298" s="66"/>
      <c r="BH298" s="175"/>
      <c r="BI298" s="66"/>
      <c r="BJ298" s="66"/>
      <c r="BK298" s="65">
        <f t="shared" ref="BK298:BM298" si="2754" xml:space="preserve"> BK297</f>
        <v>0</v>
      </c>
      <c r="BL298" s="267">
        <f t="shared" si="2754"/>
        <v>0</v>
      </c>
      <c r="BM298" s="267">
        <f t="shared" si="2754"/>
        <v>0</v>
      </c>
      <c r="BN298" s="45">
        <f t="shared" si="2579"/>
        <v>1</v>
      </c>
      <c r="BO298" s="59"/>
      <c r="BP298" s="59"/>
      <c r="BR298" s="49">
        <f t="shared" si="2742"/>
        <v>0</v>
      </c>
      <c r="BS298" s="49">
        <f t="shared" si="2742"/>
        <v>0</v>
      </c>
      <c r="BT298" s="49">
        <f t="shared" si="2742"/>
        <v>61</v>
      </c>
      <c r="BU298" s="49">
        <f t="shared" si="2742"/>
        <v>0</v>
      </c>
      <c r="BV298" s="49">
        <f t="shared" si="2742"/>
        <v>0</v>
      </c>
      <c r="BW298" s="49">
        <f t="shared" si="2742"/>
        <v>0</v>
      </c>
      <c r="BX298" s="49">
        <f t="shared" si="2742"/>
        <v>0</v>
      </c>
      <c r="BY298" s="549">
        <f>IF(COUNT(Q298:U298)&gt;1,MINA(Q298:U298)*BY$9,0)</f>
        <v>0</v>
      </c>
      <c r="BZ298" s="85">
        <f t="shared" si="2743"/>
        <v>0</v>
      </c>
      <c r="CA298" s="85">
        <f t="shared" si="2743"/>
        <v>0</v>
      </c>
      <c r="CB298" s="85">
        <f t="shared" si="2743"/>
        <v>0</v>
      </c>
      <c r="CC298" s="85">
        <f t="shared" si="2743"/>
        <v>0</v>
      </c>
      <c r="CD298" s="85">
        <f t="shared" si="2743"/>
        <v>0</v>
      </c>
      <c r="CE298" s="85">
        <f>IF(AC298=0,0,AC298*CE$9)</f>
        <v>0</v>
      </c>
      <c r="CF298" s="85">
        <f>IF(AA298=0,0,AA298*CF$9)</f>
        <v>0</v>
      </c>
      <c r="CG298" s="85">
        <f>IF(AB298=0,0,AB298*CG$9)</f>
        <v>0</v>
      </c>
      <c r="CH298" s="85">
        <f>IF(AD298=0,0,AD298*CH$9)</f>
        <v>0</v>
      </c>
      <c r="CI298" s="85">
        <f>IF(AE298=0,0,AE298*CI$9)</f>
        <v>70.3</v>
      </c>
      <c r="CJ298" s="85">
        <f>IF(AF298=0,0,AF298*CJ$9)</f>
        <v>0</v>
      </c>
      <c r="CK298" s="85">
        <f>IF(AG298=0,0,AG298*CK$9)</f>
        <v>0</v>
      </c>
      <c r="CL298" s="100">
        <f>SUM(BR298:CK298)</f>
        <v>131.30000000000001</v>
      </c>
      <c r="CM298" s="50"/>
      <c r="CN298" s="104">
        <f>J298</f>
        <v>135</v>
      </c>
      <c r="CO298" s="101">
        <f>CL298/CN298</f>
        <v>0.97259259259259268</v>
      </c>
      <c r="CP298" s="51">
        <f>Seilareal/Lwl/Lwl</f>
        <v>1.4958448753462605</v>
      </c>
      <c r="CQ298" s="116">
        <f>Seilareal/Depl^0.667/K$7</f>
        <v>2.2609404353674507</v>
      </c>
      <c r="CR298" s="51">
        <f>Seilareal/Lwl/Lwl/SApRS1</f>
        <v>2.2696742562871326</v>
      </c>
      <c r="CS298" s="204"/>
      <c r="CT298" s="204">
        <f>(ROUND(TBF/CT$6,3)*CT$6)*CT$4</f>
        <v>166.5</v>
      </c>
      <c r="CU298" s="107">
        <f t="shared" si="1267"/>
        <v>1.6651655805792323</v>
      </c>
      <c r="CV298" s="62">
        <f t="shared" si="1297"/>
        <v>5.2103303086994739</v>
      </c>
      <c r="CW298" s="62">
        <f t="shared" si="1268"/>
        <v>2.0024178932867231</v>
      </c>
      <c r="CX298" s="62">
        <f t="shared" si="1298"/>
        <v>1.7556215427832071</v>
      </c>
      <c r="CY298" s="107">
        <f t="shared" si="1269"/>
        <v>1.0746264777202159</v>
      </c>
      <c r="CZ298" s="168" t="str">
        <f t="shared" si="2712"/>
        <v>-</v>
      </c>
      <c r="DA298" s="158"/>
      <c r="DB298" s="168" t="str">
        <f t="shared" si="2572"/>
        <v>-</v>
      </c>
      <c r="DC298" s="160"/>
      <c r="DD298" s="190" t="s">
        <v>134</v>
      </c>
      <c r="DE298" s="62" t="s">
        <v>102</v>
      </c>
      <c r="DF298" s="62" t="s">
        <v>102</v>
      </c>
      <c r="DG298" s="62" t="s">
        <v>102</v>
      </c>
      <c r="DH298" s="150" t="s">
        <v>102</v>
      </c>
      <c r="DI298" s="62">
        <f t="shared" si="1299"/>
        <v>2.2358112019054555</v>
      </c>
      <c r="DJ298" s="47">
        <f t="shared" si="1300"/>
        <v>15.441176470588236</v>
      </c>
      <c r="DK298" s="48">
        <f t="shared" si="2580"/>
        <v>0</v>
      </c>
      <c r="DM298" s="107">
        <f t="shared" si="2581"/>
        <v>1.5455631349528183</v>
      </c>
      <c r="DN298" s="141" t="str">
        <f t="shared" si="2731"/>
        <v>-</v>
      </c>
      <c r="DO298" s="107">
        <f t="shared" si="2662"/>
        <v>7.0996046280595273</v>
      </c>
      <c r="DP298" s="133">
        <f>IF(SeilBeregnet=0,DP297,(SeilBeregnet^0.5/(Depl^0.3333))^DP$3*DP$7)</f>
        <v>4.8736579284107195</v>
      </c>
      <c r="DQ298" s="133">
        <f>IF(SeilBeregnet=0,DQ297,(SeilBeregnet^0.5/Lwl)^DQ$3*DQ$7)</f>
        <v>0</v>
      </c>
      <c r="DR298" s="133">
        <f>IF(SeilBeregnet=0,DR297,(0.1*Loa/Depl^0.3333)^DR$3*DR$7)</f>
        <v>0</v>
      </c>
      <c r="DS298" s="133">
        <f>IF(SeilBeregnet=0,DS297,((Loa)/Bredde)^DS$3*DS$7)</f>
        <v>2.2259466996488078</v>
      </c>
      <c r="DT298" s="107">
        <f>IF(SeilBeregnet=0,DT297,(Lwl)^DT$3)</f>
        <v>1.7556215427832071</v>
      </c>
      <c r="DU298" s="133">
        <f>IF(SeilBeregnet=0,DU297,(Dypg/Loa)^DU$3*5*DU$7)</f>
        <v>1.84877493221863</v>
      </c>
      <c r="DW298" s="107">
        <f t="shared" si="2685"/>
        <v>1.6651655805792323</v>
      </c>
      <c r="DX298" s="107">
        <f t="shared" si="1301"/>
        <v>1.6620064651006949</v>
      </c>
      <c r="DZ298" s="107">
        <f t="shared" si="1302"/>
        <v>1.5814957577086692</v>
      </c>
      <c r="EA298" s="122" t="str">
        <f t="shared" si="2732"/>
        <v>-</v>
      </c>
      <c r="EB298" s="107">
        <f t="shared" si="2672"/>
        <v>1.6301252809986078</v>
      </c>
      <c r="EC298" s="122" t="str">
        <f t="shared" si="2733"/>
        <v>-</v>
      </c>
      <c r="ED298" s="107">
        <f t="shared" si="2744"/>
        <v>4.8732829222658216</v>
      </c>
      <c r="EE298" s="107">
        <f t="shared" si="2745"/>
        <v>2.1177528635091734</v>
      </c>
      <c r="EF298" s="107">
        <f>IF(SeilBeregnet=0,EF297,((Loa+Lwl)/Bredde)^EF$3)</f>
        <v>1.6828091223381947</v>
      </c>
      <c r="EH298" s="107">
        <f t="shared" si="2673"/>
        <v>1.605375198648104</v>
      </c>
      <c r="EJ298" s="107">
        <f t="shared" si="2746"/>
        <v>4.8732829222658216</v>
      </c>
      <c r="EK298" s="107">
        <f>IF(SeilBeregnet=0,EK297,Lwl^EK$3)</f>
        <v>2.1178958987289218</v>
      </c>
      <c r="EL298" s="107">
        <f>IF(SeilBeregnet=0,EL297,((Loa+Lwl)/Bredde)^EL$3)</f>
        <v>2.0014727066930025</v>
      </c>
      <c r="EM298" s="107">
        <f t="shared" si="2674"/>
        <v>1.5962282159120529</v>
      </c>
      <c r="EO298" s="107">
        <f>IF(SeilBeregnet=0,EO297,(EP298*EQ298)^EO$3)</f>
        <v>8.2008049573238591</v>
      </c>
      <c r="EP298" s="107">
        <f t="shared" si="2747"/>
        <v>4.8732829222658216</v>
      </c>
      <c r="EQ298" s="107">
        <f>IF(SeilBeregnet=0,EQ297,((Loa+Lwl)/Bredde)^EQ$3)</f>
        <v>1.6828091223381947</v>
      </c>
      <c r="ER298" s="107">
        <f>IF(SeilBeregnet=0,ER297,Lwl^ER$3)</f>
        <v>1.7556215427832071</v>
      </c>
      <c r="ES298" s="107">
        <f t="shared" si="2585"/>
        <v>1.5768342073309258</v>
      </c>
      <c r="EU298" s="107">
        <f>IF(SeilBeregnet=0,EU297,(EV:EV*EW:EW)^EU$3)</f>
        <v>2.2890713786928374</v>
      </c>
      <c r="EV298" s="107">
        <f t="shared" si="2748"/>
        <v>4.8732829222658216</v>
      </c>
      <c r="EW298" s="107">
        <f>IF(SeilBeregnet=0,EW297,((Loa+Lwl)/Bredde/6)^EW$3)</f>
        <v>1.0752192844807114</v>
      </c>
      <c r="EX298" s="107">
        <f>IF(SeilBeregnet=0,EX297,(Lwl*0.7+Loa*0.3)^EX$3)</f>
        <v>1.8317462498666843</v>
      </c>
      <c r="EY298" s="107">
        <f t="shared" si="2586"/>
        <v>1.4099560494326837</v>
      </c>
      <c r="FA298" s="107">
        <f t="shared" si="2587"/>
        <v>2.2891594506695072</v>
      </c>
      <c r="FB298" s="107">
        <f t="shared" si="2749"/>
        <v>4.8736579284107195</v>
      </c>
      <c r="FC298" s="107">
        <f>IF(SeilBeregnet=0,FC297,((Loa+Lwl)/Bredde/6)^FC$3)</f>
        <v>1.0752192844807114</v>
      </c>
      <c r="FD298" s="107">
        <f>IF(SeilBeregnet=0,FD297,(Lwl*0.7+Loa*0.3)^FD$3)</f>
        <v>1.8317462498666843</v>
      </c>
      <c r="FE298" s="107">
        <f t="shared" si="2588"/>
        <v>1.6514316092527737</v>
      </c>
      <c r="FF298" s="141" t="str">
        <f t="shared" si="2734"/>
        <v>-</v>
      </c>
      <c r="FG298" s="107">
        <f t="shared" si="2590"/>
        <v>5.6344189206010036</v>
      </c>
      <c r="FH298" s="133">
        <f>IF(SeilBeregnet=0,FH297,(SeilBeregnet^0.5/(Depl^0.3333))^FH$3)</f>
        <v>4.8736579284107195</v>
      </c>
      <c r="FI298" s="133">
        <f>IF(SeilBeregnet=0,FI297,((Loa+Lwl)/Bredde/6)^FI$3)</f>
        <v>1.1560965097192131</v>
      </c>
      <c r="FJ298" s="107">
        <f>IF(SeilBeregnet=0,FJ297,(Lwl*0.07+Loa*0.03)^FJ$3)</f>
        <v>1.0300666135624836</v>
      </c>
      <c r="FK298" s="107">
        <f t="shared" si="2591"/>
        <v>1.630774481854844</v>
      </c>
      <c r="FL298" s="141" t="str">
        <f t="shared" si="2735"/>
        <v>-</v>
      </c>
      <c r="FM298" s="107">
        <f t="shared" si="2593"/>
        <v>7.8057752815863672</v>
      </c>
      <c r="FN298" s="133">
        <f>IF(SeilBeregnet=0,FN297,(SeilBeregnet^0.5/(Depl^0.3333))^FN$3)</f>
        <v>4.8736579284107195</v>
      </c>
      <c r="FO298" s="133">
        <f>IF(SeilBeregnet=0,FO297,(SeilBeregnet^0.5/Lwl*FO$7)^FO$3)</f>
        <v>1.2061706535268393</v>
      </c>
      <c r="FP298" s="133">
        <f>IF(SeilBeregnet=0,FP297,((Loa)/Bredde)^FP$3*FP$7)</f>
        <v>2.2259466996488078</v>
      </c>
      <c r="FQ298" s="107">
        <f>IF(SeilBeregnet=0,FQ297,(Lwl)^FQ$3)</f>
        <v>1.7556215427832071</v>
      </c>
      <c r="FR298" s="107">
        <f t="shared" si="2594"/>
        <v>1.6683744870614501</v>
      </c>
      <c r="FS298" s="141" t="str">
        <f t="shared" si="2736"/>
        <v>-</v>
      </c>
      <c r="FT298" s="107">
        <f t="shared" si="2596"/>
        <v>10.848502780963086</v>
      </c>
      <c r="FU298" s="133">
        <f>IF(SeilBeregnet=0,FU297,(SeilBeregnet^0.5/(Depl^0.3333))^FU$3)</f>
        <v>4.8736579284107195</v>
      </c>
      <c r="FV298" s="133">
        <f>IF(SeilBeregnet=0,FV297,(Loa/Bredde)^FV$3)</f>
        <v>2.2259466996488078</v>
      </c>
      <c r="FW298" s="107">
        <f>IF(SeilBeregnet=0,FW297,Lwl^FW$3)</f>
        <v>1.7556215427832071</v>
      </c>
      <c r="FY298" s="336">
        <v>1</v>
      </c>
      <c r="FZ298" s="62">
        <f t="shared" si="2663"/>
        <v>1.4692965630637189</v>
      </c>
      <c r="GA298" s="62">
        <f t="shared" si="1303"/>
        <v>1.84877493221863</v>
      </c>
      <c r="GB298" s="107">
        <f t="shared" si="1270"/>
        <v>1.5962534870400813</v>
      </c>
      <c r="GC298" s="440"/>
      <c r="GD298" s="17"/>
      <c r="GE298" s="442"/>
      <c r="GF298" s="462"/>
      <c r="GG298" s="17"/>
      <c r="GH298" s="17"/>
      <c r="GI298" s="17"/>
      <c r="GJ298" s="17"/>
      <c r="GL298" s="17"/>
      <c r="GM298" s="442"/>
      <c r="GN298" s="8"/>
      <c r="GO298" s="8"/>
      <c r="GP298" s="8"/>
      <c r="GQ298" s="8"/>
      <c r="GS298" s="17"/>
      <c r="GT298" s="17"/>
      <c r="GU298" s="17"/>
      <c r="GV298" s="629"/>
      <c r="GW298" s="17"/>
      <c r="GX298" s="17"/>
      <c r="GY298" s="17"/>
      <c r="GZ298" s="17"/>
    </row>
    <row r="299" spans="1:208" ht="15.6" x14ac:dyDescent="0.3">
      <c r="A299" s="52" t="s">
        <v>187</v>
      </c>
      <c r="B299" s="218">
        <f t="shared" ref="B299" si="2755">Loa/0.3048</f>
        <v>54.790026246719158</v>
      </c>
      <c r="C299" s="53" t="s">
        <v>38</v>
      </c>
      <c r="D299" s="53"/>
      <c r="E299" s="53"/>
      <c r="F299" s="53"/>
      <c r="G299" s="54"/>
      <c r="H299" s="112">
        <f>J300</f>
        <v>137</v>
      </c>
      <c r="I299" s="601">
        <f>H300/100</f>
        <v>1.58</v>
      </c>
      <c r="J299" s="651">
        <f>IF(DC300=0,"-",DC300)</f>
        <v>1.68</v>
      </c>
      <c r="K299" s="123" t="str">
        <f>A299</f>
        <v>Bojar</v>
      </c>
      <c r="L299" s="116"/>
      <c r="M299" s="116"/>
      <c r="N299" s="92"/>
      <c r="O299" s="165"/>
      <c r="P299" s="165"/>
      <c r="Q299" s="165"/>
      <c r="R299" s="165">
        <v>46</v>
      </c>
      <c r="S299" s="165"/>
      <c r="T299" s="165"/>
      <c r="U299" s="165">
        <v>26.5</v>
      </c>
      <c r="V299" s="559"/>
      <c r="W299" s="559"/>
      <c r="X299" s="165"/>
      <c r="Y299" s="165"/>
      <c r="Z299" s="165"/>
      <c r="AA299" s="165"/>
      <c r="AB299" s="165"/>
      <c r="AC299" s="165"/>
      <c r="AD299" s="165"/>
      <c r="AE299" s="165">
        <v>64.5</v>
      </c>
      <c r="AF299" s="165"/>
      <c r="AG299" s="552"/>
      <c r="AH299" s="241">
        <f>Loa*1.2</f>
        <v>20.04</v>
      </c>
      <c r="AI299" s="241">
        <f>Loa*1.2</f>
        <v>20.04</v>
      </c>
      <c r="AJ299" s="554"/>
      <c r="AK299" s="339"/>
      <c r="AL299" s="268"/>
      <c r="AM299" s="339"/>
      <c r="AN299" s="268" t="s">
        <v>214</v>
      </c>
      <c r="AO299" s="45">
        <f>VLOOKUP(AN299,Skrogform!$1:$1048576,3,FALSE)</f>
        <v>1</v>
      </c>
      <c r="AP299" s="55">
        <v>16.7</v>
      </c>
      <c r="AQ299" s="55">
        <v>10.7</v>
      </c>
      <c r="AR299" s="55">
        <v>3.3</v>
      </c>
      <c r="AS299" s="55">
        <v>2.5</v>
      </c>
      <c r="AT299" s="637">
        <f>AU299</f>
        <v>17</v>
      </c>
      <c r="AU299" s="55">
        <v>17</v>
      </c>
      <c r="AV299" s="55">
        <v>8.3000000000000007</v>
      </c>
      <c r="AW299" s="55"/>
      <c r="AX299" s="253"/>
      <c r="AY299" s="253"/>
      <c r="AZ299" s="254">
        <f>AY299*7</f>
        <v>0</v>
      </c>
      <c r="BA299" s="253"/>
      <c r="BB299" s="253"/>
      <c r="BC299" s="244">
        <f>Depl+Diesel/1000*0.84+Vann/1000</f>
        <v>17</v>
      </c>
      <c r="BD299" s="95">
        <f>Bredde/(Loa+Lwl)*2</f>
        <v>0.24087591240875914</v>
      </c>
      <c r="BE299" s="95">
        <f>(Kjøl+Ballast)/Depl</f>
        <v>0.4882352941176471</v>
      </c>
      <c r="BF299" s="260">
        <f>BF$7*((Depl-Kjøl-Ballast-VektMotor/1000-VektAnnet/1000)/Lwl/Lwl/Bredde)</f>
        <v>0.86899520708132827</v>
      </c>
      <c r="BG299" s="95">
        <f>BG$7*(Depl/Loa/Lwl/Lwl)</f>
        <v>0.65430332905679611</v>
      </c>
      <c r="BH299" s="174">
        <f>BH$7*(Depl/Loa/Lwl/Bredde)</f>
        <v>0.78418996331890189</v>
      </c>
      <c r="BI299" s="95">
        <f>BI$7*Bredde/(Loa+Lwl)*2</f>
        <v>0.68714386625853541</v>
      </c>
      <c r="BJ299" s="95">
        <f>BJ$7*(Dypg/Lwl)</f>
        <v>1.2779357984559123</v>
      </c>
      <c r="BK299" s="56"/>
      <c r="BL299" s="268"/>
      <c r="BM299" s="268"/>
      <c r="BN299" s="45">
        <f t="shared" si="2579"/>
        <v>1</v>
      </c>
      <c r="BO299" s="59"/>
      <c r="BP299" s="59"/>
      <c r="BR299" s="209"/>
      <c r="BS299" s="209"/>
      <c r="BT299" s="209" t="str">
        <f>$A299</f>
        <v>Bojar</v>
      </c>
      <c r="BU299" s="10"/>
      <c r="BV299" s="10"/>
      <c r="BW299" s="10"/>
      <c r="BX299" s="10"/>
      <c r="BY299" s="549"/>
      <c r="BZ299" s="10"/>
      <c r="CA299" s="10"/>
      <c r="CB299" s="209" t="str">
        <f>$A299</f>
        <v>Bojar</v>
      </c>
      <c r="CC299" s="10"/>
      <c r="CD299" s="10"/>
      <c r="CE299" s="10"/>
      <c r="CF299" s="10"/>
      <c r="CG299" s="10"/>
      <c r="CH299" s="10"/>
      <c r="CI299" s="10"/>
      <c r="CJ299" s="10"/>
      <c r="CK299" s="10"/>
      <c r="CL299" s="209"/>
      <c r="CM299" s="10"/>
      <c r="CN299" s="209" t="str">
        <f>$A299</f>
        <v>Bojar</v>
      </c>
      <c r="CO299" s="207"/>
      <c r="CP299" s="207"/>
      <c r="CQ299" s="116"/>
      <c r="CR299" s="207"/>
      <c r="CS299" s="203"/>
      <c r="CT299" s="203" t="s">
        <v>23</v>
      </c>
      <c r="CU299" s="107" t="str">
        <f t="shared" si="1267"/>
        <v>-</v>
      </c>
      <c r="CV299" s="62" t="str">
        <f t="shared" si="1297"/>
        <v>-</v>
      </c>
      <c r="CW299" s="62" t="str">
        <f t="shared" si="1268"/>
        <v>-</v>
      </c>
      <c r="CX299" s="62" t="str">
        <f t="shared" si="1298"/>
        <v>-</v>
      </c>
      <c r="CY299" s="107" t="str">
        <f t="shared" si="1269"/>
        <v>-</v>
      </c>
      <c r="CZ299" s="168" t="str">
        <f t="shared" si="2712"/>
        <v>-</v>
      </c>
      <c r="DA299" s="158"/>
      <c r="DB299" s="168" t="str">
        <f t="shared" si="2572"/>
        <v>-</v>
      </c>
      <c r="DC299" s="160">
        <v>1.68</v>
      </c>
      <c r="DD299" s="190" t="s">
        <v>134</v>
      </c>
      <c r="DE299" s="29" t="s">
        <v>23</v>
      </c>
      <c r="DF299" s="29" t="s">
        <v>23</v>
      </c>
      <c r="DG299" s="29" t="s">
        <v>23</v>
      </c>
      <c r="DH299" s="149">
        <v>2022</v>
      </c>
      <c r="DI299" s="62" t="str">
        <f t="shared" si="1299"/>
        <v>-</v>
      </c>
      <c r="DJ299" s="47">
        <f t="shared" si="1300"/>
        <v>16.666666666666664</v>
      </c>
      <c r="DK299" s="48">
        <f t="shared" si="2580"/>
        <v>0</v>
      </c>
      <c r="DM299" s="107" t="str">
        <f t="shared" si="2581"/>
        <v>-</v>
      </c>
      <c r="DN299" s="141" t="str">
        <f t="shared" si="2731"/>
        <v>-</v>
      </c>
      <c r="DO299" s="107">
        <f t="shared" si="2662"/>
        <v>0</v>
      </c>
      <c r="DP299" s="133">
        <f>IF(SeilBeregnet=0,DP277,(SeilBeregnet^0.5/(Depl^0.3333))^DP$3*DP$7)</f>
        <v>0</v>
      </c>
      <c r="DQ299" s="133">
        <f>IF(SeilBeregnet=0,DQ277,(SeilBeregnet^0.5/Lwl)^DQ$3*DQ$7)</f>
        <v>0</v>
      </c>
      <c r="DR299" s="133">
        <f>IF(SeilBeregnet=0,DR277,(0.1*Loa/Depl^0.3333)^DR$3*DR$7)</f>
        <v>0</v>
      </c>
      <c r="DS299" s="133">
        <f>IF(SeilBeregnet=0,DS277,((Loa)/Bredde)^DS$3*DS$7)</f>
        <v>0</v>
      </c>
      <c r="DT299" s="107">
        <f>IF(SeilBeregnet=0,DT277,(Lwl)^DT$3)</f>
        <v>0</v>
      </c>
      <c r="DU299" s="133">
        <f>IF(SeilBeregnet=0,DU277,(Dypg/Loa)^DU$3*5*DU$7)</f>
        <v>0</v>
      </c>
      <c r="DW299" s="107" t="str">
        <f t="shared" si="1241"/>
        <v>-</v>
      </c>
      <c r="DX299" s="107" t="str">
        <f t="shared" si="1301"/>
        <v>-</v>
      </c>
      <c r="DZ299" s="107" t="str">
        <f t="shared" si="1302"/>
        <v>-</v>
      </c>
      <c r="EA299" s="122" t="str">
        <f t="shared" si="2732"/>
        <v>-</v>
      </c>
      <c r="EB299" s="107" t="str">
        <f t="shared" si="2672"/>
        <v>-</v>
      </c>
      <c r="EC299" s="122" t="str">
        <f t="shared" si="2733"/>
        <v>-</v>
      </c>
      <c r="ED299" s="107">
        <f>IF(SeilBeregnet=0,ED281,SeilBeregnet^0.5/Depl^0.33333)</f>
        <v>2.620129431597483</v>
      </c>
      <c r="EE299" s="107">
        <f>IF(SeilBeregnet=0,EE281,Lwl^0.3333)</f>
        <v>2.6445290195265336</v>
      </c>
      <c r="EF299" s="107">
        <f>IF(SeilBeregnet=0,EF281,((Loa+Lwl)/Bredde)^EF$3)</f>
        <v>1.6925961427894936</v>
      </c>
      <c r="EH299" s="107" t="str">
        <f t="shared" si="2673"/>
        <v>-</v>
      </c>
      <c r="EJ299" s="107">
        <f>IF(SeilBeregnet=0,EJ281,SeilBeregnet^0.5/Depl^0.33333)</f>
        <v>2.620129431597483</v>
      </c>
      <c r="EK299" s="107">
        <f>IF(SeilBeregnet=0,EK281,Lwl^EK$3)</f>
        <v>2.6447605135392824</v>
      </c>
      <c r="EL299" s="107">
        <f>IF(SeilBeregnet=0,EL281,((Loa+Lwl)/Bredde)^EL$3)</f>
        <v>2.017006612549411</v>
      </c>
      <c r="EM299" s="107" t="str">
        <f t="shared" si="2674"/>
        <v>-</v>
      </c>
      <c r="EO299" s="107">
        <f>IF(SeilBeregnet=0,EO281,(EP299*EQ299)^EO$3)</f>
        <v>4.4348209695311276</v>
      </c>
      <c r="EP299" s="107">
        <f>IF(SeilBeregnet=0,EP281,SeilBeregnet^0.5/Depl^0.33333)</f>
        <v>2.620129431597483</v>
      </c>
      <c r="EQ299" s="107">
        <f>IF(SeilBeregnet=0,EQ281,((Loa+Lwl)/Bredde)^EQ$3)</f>
        <v>1.6925961427894936</v>
      </c>
      <c r="ER299" s="107">
        <f>IF(SeilBeregnet=0,ER281,Lwl^ER$3)</f>
        <v>2.0739244522212745</v>
      </c>
      <c r="ES299" s="107" t="str">
        <f t="shared" si="2585"/>
        <v>-</v>
      </c>
      <c r="EU299" s="107">
        <f>IF(SeilBeregnet=0,EU281,(EV:EV*EW:EW)^EU$3)</f>
        <v>1.6833295212312658</v>
      </c>
      <c r="EV299" s="107">
        <f>IF(SeilBeregnet=0,EV281,SeilBeregnet^0.5/Depl^0.33333)</f>
        <v>2.620129431597483</v>
      </c>
      <c r="EW299" s="107">
        <f>IF(SeilBeregnet=0,EW281,((Loa+Lwl)/Bredde/6)^EW$3)</f>
        <v>1.081472633709186</v>
      </c>
      <c r="EX299" s="107">
        <f>IF(SeilBeregnet=0,EX281,(Lwl*0.7+Loa*0.3)^EX$3)</f>
        <v>2.1265388832179877</v>
      </c>
      <c r="EY299" s="107" t="str">
        <f t="shared" si="2586"/>
        <v>-</v>
      </c>
      <c r="FA299" s="107">
        <f t="shared" si="2587"/>
        <v>1.6834367989114212</v>
      </c>
      <c r="FB299" s="107">
        <f>IF(SeilBeregnet=0,FB281,SeilBeregnet^0.5/Depl^0.3333)</f>
        <v>2.6204634011027599</v>
      </c>
      <c r="FC299" s="107">
        <f>IF(SeilBeregnet=0,FC281,((Loa+Lwl)/Bredde/6)^FC$3)</f>
        <v>1.081472633709186</v>
      </c>
      <c r="FD299" s="107">
        <f>IF(SeilBeregnet=0,FD281,(Lwl*0.7+Loa*0.3)^FD$3)</f>
        <v>2.1265388832179877</v>
      </c>
      <c r="FE299" s="107" t="str">
        <f t="shared" si="2588"/>
        <v>-</v>
      </c>
      <c r="FF299" s="141" t="str">
        <f t="shared" si="2734"/>
        <v>-</v>
      </c>
      <c r="FG299" s="107">
        <f t="shared" si="2590"/>
        <v>3.0648495966287315</v>
      </c>
      <c r="FH299" s="133">
        <f>IF(SeilBeregnet=0,FH281,(SeilBeregnet^0.5/(Depl^0.3333))^FH$3)</f>
        <v>2.6204634011027599</v>
      </c>
      <c r="FI299" s="133">
        <f>IF(SeilBeregnet=0,FI281,((Loa+Lwl)/Bredde/6)^FI$3)</f>
        <v>1.1695830574618833</v>
      </c>
      <c r="FJ299" s="107">
        <f>IF(SeilBeregnet=0,FJ281,(Lwl*0.07+Loa*0.03)^FJ$3)</f>
        <v>1.195840693657608</v>
      </c>
      <c r="FK299" s="107" t="str">
        <f t="shared" si="2591"/>
        <v>-</v>
      </c>
      <c r="FL299" s="141" t="str">
        <f t="shared" si="2735"/>
        <v>-</v>
      </c>
      <c r="FM299" s="107">
        <f t="shared" si="2593"/>
        <v>4.8760082900183486</v>
      </c>
      <c r="FN299" s="133">
        <f>IF(SeilBeregnet=0,FN281,(SeilBeregnet^0.5/(Depl^0.3333))^FN$3)</f>
        <v>2.6204634011027599</v>
      </c>
      <c r="FO299" s="133">
        <f>IF(SeilBeregnet=0,FO281,(SeilBeregnet^0.5/Lwl*FO$7)^FO$3)</f>
        <v>0.58368367510024166</v>
      </c>
      <c r="FP299" s="133">
        <f>IF(SeilBeregnet=0,FP281,((Loa)/Bredde)^FP$3*FP$7)</f>
        <v>2.171861213815347</v>
      </c>
      <c r="FQ299" s="107">
        <f>IF(SeilBeregnet=0,FQ281,(Lwl)^FQ$3)</f>
        <v>2.0739244522212745</v>
      </c>
      <c r="FR299" s="107" t="str">
        <f t="shared" si="2594"/>
        <v>-</v>
      </c>
      <c r="FS299" s="141" t="str">
        <f t="shared" si="2736"/>
        <v>-</v>
      </c>
      <c r="FT299" s="107">
        <f t="shared" si="2596"/>
        <v>5.6912828230777324</v>
      </c>
      <c r="FU299" s="133">
        <f>IF(SeilBeregnet=0,FU281,(SeilBeregnet^0.5/(Depl^0.3333))^FU$3)</f>
        <v>2.6204634011027599</v>
      </c>
      <c r="FV299" s="133">
        <f>IF(SeilBeregnet=0,FV281,(Loa/Bredde)^FV$3)</f>
        <v>2.171861213815347</v>
      </c>
      <c r="FW299" s="107">
        <f>IF(SeilBeregnet=0,FW281,Lwl^FW$3)</f>
        <v>2.0739244522212745</v>
      </c>
      <c r="FY299" s="336">
        <v>1</v>
      </c>
      <c r="FZ299" s="62" t="str">
        <f t="shared" si="2663"/>
        <v>-</v>
      </c>
      <c r="GA299" s="62">
        <f t="shared" si="1303"/>
        <v>1.9345580813353422</v>
      </c>
      <c r="GB299" s="107" t="str">
        <f t="shared" si="1270"/>
        <v>-</v>
      </c>
      <c r="GC299" s="441" t="s">
        <v>856</v>
      </c>
      <c r="GD299" s="57"/>
      <c r="GE299" s="436"/>
      <c r="GF299" s="75"/>
      <c r="GG299" s="57"/>
      <c r="GH299" s="57"/>
      <c r="GI299" s="57"/>
      <c r="GJ299" s="57"/>
      <c r="GL299" s="57" t="s">
        <v>478</v>
      </c>
      <c r="GM299" s="436" t="s">
        <v>478</v>
      </c>
      <c r="GN299" s="58" t="s">
        <v>478</v>
      </c>
      <c r="GO299" s="58" t="s">
        <v>478</v>
      </c>
      <c r="GP299" s="58" t="s">
        <v>478</v>
      </c>
      <c r="GQ299" s="58" t="s">
        <v>478</v>
      </c>
      <c r="GS299" s="57" t="s">
        <v>208</v>
      </c>
      <c r="GT299" s="57" t="s">
        <v>857</v>
      </c>
      <c r="GU299" s="57" t="s">
        <v>842</v>
      </c>
      <c r="GV299" s="632" t="s">
        <v>843</v>
      </c>
      <c r="GW299" s="57">
        <v>1937</v>
      </c>
      <c r="GX299" s="57" t="s">
        <v>431</v>
      </c>
      <c r="GY299" s="57" t="s">
        <v>438</v>
      </c>
      <c r="GZ299" s="57"/>
    </row>
    <row r="300" spans="1:208" ht="15.6" x14ac:dyDescent="0.3">
      <c r="A300" s="60" t="s">
        <v>29</v>
      </c>
      <c r="B300" s="218"/>
      <c r="C300" s="61" t="str">
        <f>C299</f>
        <v>Bermuda</v>
      </c>
      <c r="D300" s="61"/>
      <c r="E300" s="61"/>
      <c r="F300" s="61"/>
      <c r="G300" s="54"/>
      <c r="H300" s="204">
        <f>IF(StH=0,0,TBFavrundet)</f>
        <v>158</v>
      </c>
      <c r="I300" s="63">
        <f>COUNTA(O300:AG300)</f>
        <v>3</v>
      </c>
      <c r="J300" s="222">
        <f>SUM(O300:AG300)</f>
        <v>137</v>
      </c>
      <c r="K300" s="116">
        <f>Seilareal/Depl^0.667/K$7</f>
        <v>1.9185216526962925</v>
      </c>
      <c r="L300" s="116">
        <f>Seilareal/Lwl/Lwl/L$7</f>
        <v>1.8156410181900524</v>
      </c>
      <c r="M300" s="92">
        <f>RiggF</f>
        <v>0.87974452554744531</v>
      </c>
      <c r="N300" s="242">
        <f>StHfaktor</f>
        <v>1.0815939328218769</v>
      </c>
      <c r="O300" s="143"/>
      <c r="P300" s="143"/>
      <c r="Q300" s="143"/>
      <c r="R300" s="165">
        <v>46</v>
      </c>
      <c r="S300" s="143"/>
      <c r="T300" s="143"/>
      <c r="U300" s="165">
        <v>26.5</v>
      </c>
      <c r="V300" s="559"/>
      <c r="W300" s="559"/>
      <c r="X300" s="143"/>
      <c r="Y300" s="143"/>
      <c r="Z300" s="143"/>
      <c r="AA300" s="143"/>
      <c r="AB300" s="143"/>
      <c r="AC300" s="143"/>
      <c r="AD300" s="143"/>
      <c r="AE300" s="165">
        <v>64.5</v>
      </c>
      <c r="AF300" s="143"/>
      <c r="AG300" s="551"/>
      <c r="AH300" s="557">
        <f t="shared" ref="AH300:AI302" si="2756">AH299</f>
        <v>20.04</v>
      </c>
      <c r="AI300" s="557">
        <f t="shared" si="2756"/>
        <v>20.04</v>
      </c>
      <c r="AJ300" s="337">
        <f t="shared" ref="AJ300:AL302" si="2757" xml:space="preserve"> AJ299</f>
        <v>0</v>
      </c>
      <c r="AK300" s="339"/>
      <c r="AL300" s="337">
        <f t="shared" si="2757"/>
        <v>0</v>
      </c>
      <c r="AM300" s="339"/>
      <c r="AN300" s="267" t="str">
        <f t="shared" ref="AN300" si="2758" xml:space="preserve"> AN299</f>
        <v>Meter</v>
      </c>
      <c r="AO300" s="45">
        <f>VLOOKUP(AN300,Skrogform!$1:$1048576,3,FALSE)</f>
        <v>1</v>
      </c>
      <c r="AP300" s="64">
        <f t="shared" ref="AP300:AP302" si="2759">AP299</f>
        <v>16.7</v>
      </c>
      <c r="AQ300" s="64">
        <f t="shared" ref="AQ300:AQ302" si="2760">AQ299</f>
        <v>10.7</v>
      </c>
      <c r="AR300" s="64">
        <f t="shared" ref="AR300:AR302" si="2761">AR299</f>
        <v>3.3</v>
      </c>
      <c r="AS300" s="64">
        <f t="shared" ref="AS300:AS302" si="2762">AS299</f>
        <v>2.5</v>
      </c>
      <c r="AT300" s="64">
        <f t="shared" ref="AT300:AU302" si="2763">AT299</f>
        <v>17</v>
      </c>
      <c r="AU300" s="64">
        <f t="shared" si="2763"/>
        <v>17</v>
      </c>
      <c r="AV300" s="64">
        <f t="shared" ref="AV300:AZ302" si="2764">AV299</f>
        <v>8.3000000000000007</v>
      </c>
      <c r="AW300" s="64">
        <f t="shared" ref="AW300:AZ300" si="2765">AW299</f>
        <v>0</v>
      </c>
      <c r="AX300" s="256">
        <f>AX299</f>
        <v>0</v>
      </c>
      <c r="AY300" s="256">
        <f t="shared" si="2765"/>
        <v>0</v>
      </c>
      <c r="AZ300" s="256">
        <f t="shared" si="2765"/>
        <v>0</v>
      </c>
      <c r="BA300" s="256">
        <f t="shared" ref="BA300:BB300" si="2766">BA299</f>
        <v>0</v>
      </c>
      <c r="BB300" s="256">
        <f t="shared" si="2766"/>
        <v>0</v>
      </c>
      <c r="BC300" s="256"/>
      <c r="BD300" s="66"/>
      <c r="BE300" s="66"/>
      <c r="BF300" s="261"/>
      <c r="BG300" s="66"/>
      <c r="BH300" s="175"/>
      <c r="BI300" s="66"/>
      <c r="BJ300" s="66"/>
      <c r="BK300" s="65">
        <f t="shared" ref="BK300:BM300" si="2767" xml:space="preserve"> BK299</f>
        <v>0</v>
      </c>
      <c r="BL300" s="267">
        <f t="shared" si="2767"/>
        <v>0</v>
      </c>
      <c r="BM300" s="267">
        <f t="shared" si="2767"/>
        <v>0</v>
      </c>
      <c r="BN300" s="45">
        <f t="shared" si="2579"/>
        <v>1</v>
      </c>
      <c r="BO300" s="59"/>
      <c r="BP300" s="59"/>
      <c r="BR300" s="49">
        <f t="shared" ref="BR300:BX302" si="2768">IF(O300=0,0,O300*BR$9)</f>
        <v>0</v>
      </c>
      <c r="BS300" s="49">
        <f t="shared" si="2768"/>
        <v>0</v>
      </c>
      <c r="BT300" s="49">
        <f t="shared" si="2768"/>
        <v>0</v>
      </c>
      <c r="BU300" s="49">
        <f t="shared" si="2768"/>
        <v>46</v>
      </c>
      <c r="BV300" s="49">
        <f t="shared" si="2768"/>
        <v>0</v>
      </c>
      <c r="BW300" s="49">
        <f t="shared" si="2768"/>
        <v>0</v>
      </c>
      <c r="BX300" s="49">
        <f t="shared" si="2768"/>
        <v>26.5</v>
      </c>
      <c r="BY300" s="549">
        <f>IF(COUNT(Q300:U300)&gt;1,MINA(Q300:U300)*BY$9,0)</f>
        <v>-13.25</v>
      </c>
      <c r="BZ300" s="85">
        <f t="shared" ref="BZ300:CD302" si="2769">IF(V300=0,0,V300*BZ$9)</f>
        <v>0</v>
      </c>
      <c r="CA300" s="85">
        <f t="shared" si="2769"/>
        <v>0</v>
      </c>
      <c r="CB300" s="85">
        <f t="shared" si="2769"/>
        <v>0</v>
      </c>
      <c r="CC300" s="85">
        <f t="shared" si="2769"/>
        <v>0</v>
      </c>
      <c r="CD300" s="85">
        <f t="shared" si="2769"/>
        <v>0</v>
      </c>
      <c r="CE300" s="85">
        <f>IF(AC300=0,0,AC300*CE$9)</f>
        <v>0</v>
      </c>
      <c r="CF300" s="85">
        <f t="shared" ref="CF300:CG302" si="2770">IF(AA300=0,0,AA300*CF$9)</f>
        <v>0</v>
      </c>
      <c r="CG300" s="85">
        <f t="shared" si="2770"/>
        <v>0</v>
      </c>
      <c r="CH300" s="85">
        <f t="shared" ref="CH300:CK302" si="2771">IF(AD300=0,0,AD300*CH$9)</f>
        <v>0</v>
      </c>
      <c r="CI300" s="85">
        <f t="shared" si="2771"/>
        <v>61.274999999999999</v>
      </c>
      <c r="CJ300" s="85">
        <f t="shared" si="2771"/>
        <v>0</v>
      </c>
      <c r="CK300" s="85">
        <f t="shared" si="2771"/>
        <v>0</v>
      </c>
      <c r="CL300" s="100">
        <f>SUM(BR300:CK300)</f>
        <v>120.52500000000001</v>
      </c>
      <c r="CM300" s="50"/>
      <c r="CN300" s="104">
        <f>J300</f>
        <v>137</v>
      </c>
      <c r="CO300" s="101">
        <f>CL300/CN300</f>
        <v>0.87974452554744531</v>
      </c>
      <c r="CP300" s="51">
        <f>Seilareal/Lwl/Lwl</f>
        <v>1.1966110577343001</v>
      </c>
      <c r="CQ300" s="116">
        <f>Seilareal/Depl^0.667/K$7</f>
        <v>1.9185216526962925</v>
      </c>
      <c r="CR300" s="51">
        <f>Seilareal/Lwl/Lwl/SApRS1</f>
        <v>1.8156410181900524</v>
      </c>
      <c r="CS300" s="204"/>
      <c r="CT300" s="204">
        <f>(ROUND(TBF/CT$6,3)*CT$6)*CT$4</f>
        <v>158</v>
      </c>
      <c r="CU300" s="107">
        <f t="shared" si="1267"/>
        <v>1.5786268327046382</v>
      </c>
      <c r="CV300" s="62">
        <f t="shared" si="1297"/>
        <v>4.6000229336082903</v>
      </c>
      <c r="CW300" s="62">
        <f t="shared" si="1268"/>
        <v>2.0375267241229382</v>
      </c>
      <c r="CX300" s="62">
        <f t="shared" si="1298"/>
        <v>1.808614233815278</v>
      </c>
      <c r="CY300" s="107">
        <f t="shared" si="1269"/>
        <v>1.0815939328218769</v>
      </c>
      <c r="CZ300" s="168" t="str">
        <f t="shared" si="2712"/>
        <v>-</v>
      </c>
      <c r="DA300" s="159">
        <f>DA299</f>
        <v>0</v>
      </c>
      <c r="DB300" s="168">
        <f t="shared" si="2572"/>
        <v>1.5621052631578949</v>
      </c>
      <c r="DC300" s="159">
        <f>DC299</f>
        <v>1.68</v>
      </c>
      <c r="DD300" s="190" t="s">
        <v>134</v>
      </c>
      <c r="DE300" s="62" t="s">
        <v>102</v>
      </c>
      <c r="DF300" s="62" t="s">
        <v>102</v>
      </c>
      <c r="DG300" s="62" t="s">
        <v>102</v>
      </c>
      <c r="DH300" s="150" t="s">
        <v>102</v>
      </c>
      <c r="DI300" s="62">
        <f t="shared" si="1299"/>
        <v>2.290961124677549</v>
      </c>
      <c r="DJ300" s="47">
        <f t="shared" si="1300"/>
        <v>16.666666666666664</v>
      </c>
      <c r="DK300" s="48">
        <f t="shared" si="2580"/>
        <v>0</v>
      </c>
      <c r="DM300" s="107">
        <f t="shared" si="2581"/>
        <v>1.4621386013786317</v>
      </c>
      <c r="DN300" s="141" t="str">
        <f t="shared" si="2731"/>
        <v>-</v>
      </c>
      <c r="DO300" s="107">
        <f t="shared" si="2662"/>
        <v>6.5195994332216216</v>
      </c>
      <c r="DP300" s="133">
        <f>IF(SeilBeregnet=0,DP299,(SeilBeregnet^0.5/(Depl^0.3333))^DP$3*DP$7)</f>
        <v>4.2700203480134444</v>
      </c>
      <c r="DQ300" s="133">
        <f>IF(SeilBeregnet=0,DQ299,(SeilBeregnet^0.5/Lwl)^DQ$3*DQ$7)</f>
        <v>0</v>
      </c>
      <c r="DR300" s="133">
        <f>IF(SeilBeregnet=0,DR299,(0.1*Loa/Depl^0.3333)^DR$3*DR$7)</f>
        <v>0</v>
      </c>
      <c r="DS300" s="133">
        <f>IF(SeilBeregnet=0,DS299,((Loa)/Bredde)^DS$3*DS$7)</f>
        <v>2.2495790852081776</v>
      </c>
      <c r="DT300" s="107">
        <f>IF(SeilBeregnet=0,DT299,(Lwl)^DT$3)</f>
        <v>1.808614233815278</v>
      </c>
      <c r="DU300" s="133">
        <f>IF(SeilBeregnet=0,DU299,(Dypg/Loa)^DU$3*5*DU$7)</f>
        <v>1.9345580813353422</v>
      </c>
      <c r="DW300" s="107">
        <f t="shared" si="1241"/>
        <v>1.5786268327046382</v>
      </c>
      <c r="DX300" s="107">
        <f t="shared" si="1301"/>
        <v>1.528928695562054</v>
      </c>
      <c r="DZ300" s="107">
        <f t="shared" si="1302"/>
        <v>1.486573298124763</v>
      </c>
      <c r="EA300" s="122" t="str">
        <f t="shared" si="2732"/>
        <v>-</v>
      </c>
      <c r="EB300" s="107">
        <f t="shared" si="2672"/>
        <v>1.5214662114632447</v>
      </c>
      <c r="EC300" s="122" t="str">
        <f t="shared" si="2733"/>
        <v>-</v>
      </c>
      <c r="ED300" s="107">
        <f>IF(SeilBeregnet=0,ED299,SeilBeregnet^0.5/Depl^0.33333)</f>
        <v>4.2696574270782683</v>
      </c>
      <c r="EE300" s="107">
        <f>IF(SeilBeregnet=0,EE299,Lwl^0.3333)</f>
        <v>2.2034013597348872</v>
      </c>
      <c r="EF300" s="107">
        <f>IF(SeilBeregnet=0,EF299,((Loa+Lwl)/Bredde)^EF$3)</f>
        <v>1.6974975484377828</v>
      </c>
      <c r="EH300" s="107">
        <f t="shared" si="2673"/>
        <v>1.5085837520475529</v>
      </c>
      <c r="EJ300" s="107">
        <f>IF(SeilBeregnet=0,EJ299,SeilBeregnet^0.5/Depl^0.33333)</f>
        <v>4.2696574270782683</v>
      </c>
      <c r="EK300" s="107">
        <f>IF(SeilBeregnet=0,EK299,Lwl^EK$3)</f>
        <v>2.2035580432539792</v>
      </c>
      <c r="EL300" s="107">
        <f>IF(SeilBeregnet=0,EL299,((Loa+Lwl)/Bredde)^EL$3)</f>
        <v>2.0247973624437603</v>
      </c>
      <c r="EM300" s="107">
        <f t="shared" si="2674"/>
        <v>1.4907707594449893</v>
      </c>
      <c r="EO300" s="107">
        <f>IF(SeilBeregnet=0,EO299,(EP300*EQ300)^EO$3)</f>
        <v>7.2477330151345321</v>
      </c>
      <c r="EP300" s="107">
        <f>IF(SeilBeregnet=0,EP299,SeilBeregnet^0.5/Depl^0.33333)</f>
        <v>4.2696574270782683</v>
      </c>
      <c r="EQ300" s="107">
        <f>IF(SeilBeregnet=0,EQ299,((Loa+Lwl)/Bredde)^EQ$3)</f>
        <v>1.6974975484377828</v>
      </c>
      <c r="ER300" s="107">
        <f>IF(SeilBeregnet=0,ER299,Lwl^ER$3)</f>
        <v>1.808614233815278</v>
      </c>
      <c r="ES300" s="107">
        <f t="shared" si="2585"/>
        <v>1.4945741596096449</v>
      </c>
      <c r="EU300" s="107">
        <f>IF(SeilBeregnet=0,EU299,(EV:EV*EW:EW)^EU$3)</f>
        <v>2.1519500531932088</v>
      </c>
      <c r="EV300" s="107">
        <f>IF(SeilBeregnet=0,EV299,SeilBeregnet^0.5/Depl^0.33333)</f>
        <v>4.2696574270782683</v>
      </c>
      <c r="EW300" s="107">
        <f>IF(SeilBeregnet=0,EW299,((Loa+Lwl)/Bredde/6)^EW$3)</f>
        <v>1.0846043530492742</v>
      </c>
      <c r="EX300" s="107">
        <f>IF(SeilBeregnet=0,EX299,(Lwl*0.7+Loa*0.3)^EX$3)</f>
        <v>1.8803015465431969</v>
      </c>
      <c r="EY300" s="107">
        <f t="shared" si="2586"/>
        <v>1.360637282784781</v>
      </c>
      <c r="FA300" s="107">
        <f t="shared" si="2587"/>
        <v>2.152041509140648</v>
      </c>
      <c r="FB300" s="107">
        <f>IF(SeilBeregnet=0,FB299,SeilBeregnet^0.5/Depl^0.3333)</f>
        <v>4.2700203480134444</v>
      </c>
      <c r="FC300" s="107">
        <f>IF(SeilBeregnet=0,FC299,((Loa+Lwl)/Bredde/6)^FC$3)</f>
        <v>1.0846043530492742</v>
      </c>
      <c r="FD300" s="107">
        <f>IF(SeilBeregnet=0,FD299,(Lwl*0.7+Loa*0.3)^FD$3)</f>
        <v>1.8803015465431969</v>
      </c>
      <c r="FE300" s="107">
        <f t="shared" si="2588"/>
        <v>1.5594671369760005</v>
      </c>
      <c r="FF300" s="141" t="str">
        <f t="shared" si="2734"/>
        <v>-</v>
      </c>
      <c r="FG300" s="107">
        <f t="shared" si="2590"/>
        <v>5.0231093300536127</v>
      </c>
      <c r="FH300" s="133">
        <f>IF(SeilBeregnet=0,FH299,(SeilBeregnet^0.5/(Depl^0.3333))^FH$3)</f>
        <v>4.2700203480134444</v>
      </c>
      <c r="FI300" s="133">
        <f>IF(SeilBeregnet=0,FI299,((Loa+Lwl)/Bredde/6)^FI$3)</f>
        <v>1.1763666026534347</v>
      </c>
      <c r="FJ300" s="107">
        <f>IF(SeilBeregnet=0,FJ299,(Lwl*0.07+Loa*0.03)^FJ$3)</f>
        <v>1.0573712634405641</v>
      </c>
      <c r="FK300" s="107">
        <f t="shared" si="2591"/>
        <v>1.516393577766346</v>
      </c>
      <c r="FL300" s="141" t="str">
        <f t="shared" si="2735"/>
        <v>-</v>
      </c>
      <c r="FM300" s="107">
        <f t="shared" si="2593"/>
        <v>7.045616990211407</v>
      </c>
      <c r="FN300" s="133">
        <f>IF(SeilBeregnet=0,FN299,(SeilBeregnet^0.5/(Depl^0.3333))^FN$3)</f>
        <v>4.2700203480134444</v>
      </c>
      <c r="FO300" s="133">
        <f>IF(SeilBeregnet=0,FO299,(SeilBeregnet^0.5/Lwl*FO$7)^FO$3)</f>
        <v>1.0260175569897858</v>
      </c>
      <c r="FP300" s="133">
        <f>IF(SeilBeregnet=0,FP299,((Loa)/Bredde)^FP$3*FP$7)</f>
        <v>2.2495790852081776</v>
      </c>
      <c r="FQ300" s="107">
        <f>IF(SeilBeregnet=0,FQ299,(Lwl)^FQ$3)</f>
        <v>1.808614233815278</v>
      </c>
      <c r="FR300" s="107">
        <f t="shared" si="2594"/>
        <v>1.574883221855087</v>
      </c>
      <c r="FS300" s="141" t="str">
        <f t="shared" si="2736"/>
        <v>-</v>
      </c>
      <c r="FT300" s="107">
        <f t="shared" si="2596"/>
        <v>9.6057484683043892</v>
      </c>
      <c r="FU300" s="133">
        <f>IF(SeilBeregnet=0,FU299,(SeilBeregnet^0.5/(Depl^0.3333))^FU$3)</f>
        <v>4.2700203480134444</v>
      </c>
      <c r="FV300" s="133">
        <f>IF(SeilBeregnet=0,FV299,(Loa/Bredde)^FV$3)</f>
        <v>2.2495790852081776</v>
      </c>
      <c r="FW300" s="107">
        <f>IF(SeilBeregnet=0,FW299,Lwl^FW$3)</f>
        <v>1.808614233815278</v>
      </c>
      <c r="FY300" s="336">
        <v>1</v>
      </c>
      <c r="FZ300" s="62">
        <f t="shared" si="2663"/>
        <v>1.4300458152671731</v>
      </c>
      <c r="GA300" s="62">
        <f t="shared" si="1303"/>
        <v>1.9345580813353422</v>
      </c>
      <c r="GB300" s="107">
        <f t="shared" si="1270"/>
        <v>1.5050521427372583</v>
      </c>
      <c r="GC300" s="440"/>
      <c r="GD300" s="17"/>
      <c r="GE300" s="442"/>
      <c r="GF300" s="462"/>
      <c r="GG300" s="17"/>
      <c r="GH300" s="17"/>
      <c r="GI300" s="17"/>
      <c r="GJ300" s="17"/>
      <c r="GL300" s="17"/>
      <c r="GM300" s="442"/>
      <c r="GN300" s="8"/>
      <c r="GO300" s="8"/>
      <c r="GP300" s="8"/>
      <c r="GQ300" s="8"/>
      <c r="GS300" s="17"/>
      <c r="GT300" s="17"/>
      <c r="GU300" s="17"/>
      <c r="GV300" s="629"/>
      <c r="GW300" s="17"/>
      <c r="GX300" s="17"/>
      <c r="GY300" s="17"/>
      <c r="GZ300" s="17"/>
    </row>
    <row r="301" spans="1:208" ht="15.6" x14ac:dyDescent="0.3">
      <c r="A301" s="60" t="s">
        <v>137</v>
      </c>
      <c r="B301" s="218"/>
      <c r="C301" s="61" t="str">
        <f t="shared" ref="C301:C302" si="2772">C299</f>
        <v>Bermuda</v>
      </c>
      <c r="D301" s="61"/>
      <c r="E301" s="61"/>
      <c r="F301" s="61"/>
      <c r="G301" s="54"/>
      <c r="H301" s="204">
        <f>TBFavrundet</f>
        <v>151.5</v>
      </c>
      <c r="I301" s="63">
        <f>COUNTA(O301:AG301)</f>
        <v>2</v>
      </c>
      <c r="J301" s="222">
        <f>SUM(O301:AG301)</f>
        <v>110.5</v>
      </c>
      <c r="K301" s="116">
        <f>Seilareal/Depl^0.667/K$7</f>
        <v>1.5474207490725569</v>
      </c>
      <c r="L301" s="116">
        <f>Seilareal/Lwl/Lwl/L$7</f>
        <v>1.4644403832846773</v>
      </c>
      <c r="M301" s="92">
        <f>RiggF</f>
        <v>0.97081447963800915</v>
      </c>
      <c r="N301" s="242">
        <f>StHfaktor</f>
        <v>1.0815939328218769</v>
      </c>
      <c r="O301" s="143"/>
      <c r="P301" s="143"/>
      <c r="Q301" s="143"/>
      <c r="R301" s="165">
        <v>46</v>
      </c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65">
        <v>64.5</v>
      </c>
      <c r="AF301" s="143"/>
      <c r="AG301" s="551"/>
      <c r="AH301" s="557">
        <f t="shared" si="2756"/>
        <v>20.04</v>
      </c>
      <c r="AI301" s="557">
        <f t="shared" si="2756"/>
        <v>20.04</v>
      </c>
      <c r="AJ301" s="337">
        <f t="shared" si="2757"/>
        <v>0</v>
      </c>
      <c r="AK301" s="339"/>
      <c r="AL301" s="337">
        <f t="shared" si="2757"/>
        <v>0</v>
      </c>
      <c r="AM301" s="339"/>
      <c r="AN301" s="267" t="str">
        <f t="shared" ref="AN301" si="2773" xml:space="preserve"> AN300</f>
        <v>Meter</v>
      </c>
      <c r="AO301" s="45">
        <f>VLOOKUP(AN301,Skrogform!$1:$1048576,3,FALSE)</f>
        <v>1</v>
      </c>
      <c r="AP301" s="64">
        <f t="shared" si="2759"/>
        <v>16.7</v>
      </c>
      <c r="AQ301" s="64">
        <f t="shared" si="2760"/>
        <v>10.7</v>
      </c>
      <c r="AR301" s="64">
        <f t="shared" si="2761"/>
        <v>3.3</v>
      </c>
      <c r="AS301" s="64">
        <f t="shared" si="2762"/>
        <v>2.5</v>
      </c>
      <c r="AT301" s="64">
        <f t="shared" si="2763"/>
        <v>17</v>
      </c>
      <c r="AU301" s="64">
        <f t="shared" si="2763"/>
        <v>17</v>
      </c>
      <c r="AV301" s="64">
        <f t="shared" si="2764"/>
        <v>8.3000000000000007</v>
      </c>
      <c r="AW301" s="64">
        <f t="shared" si="2764"/>
        <v>0</v>
      </c>
      <c r="AX301" s="256">
        <f>AX300</f>
        <v>0</v>
      </c>
      <c r="AY301" s="256">
        <f t="shared" si="2764"/>
        <v>0</v>
      </c>
      <c r="AZ301" s="256">
        <f t="shared" si="2764"/>
        <v>0</v>
      </c>
      <c r="BA301" s="256">
        <f t="shared" ref="BA301:BB301" si="2774">BA300</f>
        <v>0</v>
      </c>
      <c r="BB301" s="256">
        <f t="shared" si="2774"/>
        <v>0</v>
      </c>
      <c r="BC301" s="256"/>
      <c r="BD301" s="66"/>
      <c r="BE301" s="66"/>
      <c r="BF301" s="261"/>
      <c r="BG301" s="66"/>
      <c r="BH301" s="175"/>
      <c r="BI301" s="66"/>
      <c r="BJ301" s="66"/>
      <c r="BK301" s="65">
        <f t="shared" ref="BK301:BM301" si="2775" xml:space="preserve"> BK300</f>
        <v>0</v>
      </c>
      <c r="BL301" s="267">
        <f t="shared" si="2775"/>
        <v>0</v>
      </c>
      <c r="BM301" s="267">
        <f t="shared" si="2775"/>
        <v>0</v>
      </c>
      <c r="BN301" s="45">
        <f t="shared" si="2579"/>
        <v>1</v>
      </c>
      <c r="BO301" s="59"/>
      <c r="BP301" s="59"/>
      <c r="BR301" s="49">
        <f t="shared" si="2768"/>
        <v>0</v>
      </c>
      <c r="BS301" s="49">
        <f t="shared" si="2768"/>
        <v>0</v>
      </c>
      <c r="BT301" s="49">
        <f t="shared" si="2768"/>
        <v>0</v>
      </c>
      <c r="BU301" s="49">
        <f t="shared" si="2768"/>
        <v>46</v>
      </c>
      <c r="BV301" s="49">
        <f t="shared" si="2768"/>
        <v>0</v>
      </c>
      <c r="BW301" s="49">
        <f t="shared" si="2768"/>
        <v>0</v>
      </c>
      <c r="BX301" s="49">
        <f t="shared" si="2768"/>
        <v>0</v>
      </c>
      <c r="BY301" s="549">
        <f>IF(COUNT(Q301:U301)&gt;1,MINA(Q301:U301)*BY$9,0)</f>
        <v>0</v>
      </c>
      <c r="BZ301" s="85">
        <f t="shared" si="2769"/>
        <v>0</v>
      </c>
      <c r="CA301" s="85">
        <f t="shared" si="2769"/>
        <v>0</v>
      </c>
      <c r="CB301" s="85">
        <f t="shared" si="2769"/>
        <v>0</v>
      </c>
      <c r="CC301" s="85">
        <f t="shared" si="2769"/>
        <v>0</v>
      </c>
      <c r="CD301" s="85">
        <f t="shared" si="2769"/>
        <v>0</v>
      </c>
      <c r="CE301" s="85">
        <f>IF(AC301=0,0,AC301*CE$9)</f>
        <v>0</v>
      </c>
      <c r="CF301" s="85">
        <f t="shared" si="2770"/>
        <v>0</v>
      </c>
      <c r="CG301" s="85">
        <f t="shared" si="2770"/>
        <v>0</v>
      </c>
      <c r="CH301" s="85">
        <f t="shared" si="2771"/>
        <v>0</v>
      </c>
      <c r="CI301" s="85">
        <f t="shared" si="2771"/>
        <v>61.274999999999999</v>
      </c>
      <c r="CJ301" s="85">
        <f t="shared" si="2771"/>
        <v>0</v>
      </c>
      <c r="CK301" s="85">
        <f t="shared" si="2771"/>
        <v>0</v>
      </c>
      <c r="CL301" s="100">
        <f>SUM(BR301:CK301)</f>
        <v>107.27500000000001</v>
      </c>
      <c r="CM301" s="50"/>
      <c r="CN301" s="104">
        <f>J301</f>
        <v>110.5</v>
      </c>
      <c r="CO301" s="101">
        <f>CL301/CN301</f>
        <v>0.97081447963800915</v>
      </c>
      <c r="CP301" s="51">
        <f>Seilareal/Lwl/Lwl</f>
        <v>0.96514979474189899</v>
      </c>
      <c r="CQ301" s="116">
        <f>Seilareal/Depl^0.667/K$7</f>
        <v>1.5474207490725569</v>
      </c>
      <c r="CR301" s="51">
        <f>Seilareal/Lwl/Lwl/SApRS1</f>
        <v>1.4644403832846773</v>
      </c>
      <c r="CS301" s="204"/>
      <c r="CT301" s="204">
        <f>(ROUND(TBF/CT$6,3)*CT$6)*CT$4</f>
        <v>151.5</v>
      </c>
      <c r="CU301" s="107">
        <f t="shared" si="1267"/>
        <v>1.516739603392834</v>
      </c>
      <c r="CV301" s="62">
        <f t="shared" si="1297"/>
        <v>4.3398097222106875</v>
      </c>
      <c r="CW301" s="62">
        <f t="shared" si="1268"/>
        <v>2.0375267241229382</v>
      </c>
      <c r="CX301" s="62">
        <f t="shared" si="1298"/>
        <v>1.808614233815278</v>
      </c>
      <c r="CY301" s="107">
        <f t="shared" si="1269"/>
        <v>1.0815939328218769</v>
      </c>
      <c r="CZ301" s="168" t="str">
        <f t="shared" si="2712"/>
        <v>-</v>
      </c>
      <c r="DA301" s="158"/>
      <c r="DB301" s="168" t="str">
        <f t="shared" ref="DB301:DB305" si="2776">IF(DC301=0,"-",IF(CT301="TBF","-",DB$7*DC301))</f>
        <v>-</v>
      </c>
      <c r="DC301" s="160"/>
      <c r="DD301" s="190" t="s">
        <v>134</v>
      </c>
      <c r="DE301" s="62" t="s">
        <v>102</v>
      </c>
      <c r="DF301" s="62" t="s">
        <v>102</v>
      </c>
      <c r="DG301" s="62" t="s">
        <v>102</v>
      </c>
      <c r="DH301" s="150" t="s">
        <v>102</v>
      </c>
      <c r="DI301" s="62">
        <f t="shared" si="1299"/>
        <v>2.290961124677549</v>
      </c>
      <c r="DJ301" s="47">
        <f t="shared" si="1300"/>
        <v>16.666666666666664</v>
      </c>
      <c r="DK301" s="48">
        <f t="shared" si="2580"/>
        <v>0</v>
      </c>
      <c r="DM301" s="107">
        <f t="shared" si="2581"/>
        <v>1.4079675930140603</v>
      </c>
      <c r="DN301" s="141" t="str">
        <f t="shared" si="2731"/>
        <v>-</v>
      </c>
      <c r="DO301" s="107">
        <f t="shared" si="2662"/>
        <v>6.2780537445313005</v>
      </c>
      <c r="DP301" s="133">
        <f>IF(SeilBeregnet=0,DP299,(SeilBeregnet^0.5/(Depl^0.3333))^DP$3*DP$7)</f>
        <v>4.0284746593231233</v>
      </c>
      <c r="DQ301" s="133">
        <f>IF(SeilBeregnet=0,DQ299,(SeilBeregnet^0.5/Lwl)^DQ$3*DQ$7)</f>
        <v>0</v>
      </c>
      <c r="DR301" s="133">
        <f>IF(SeilBeregnet=0,DR299,(0.1*Loa/Depl^0.3333)^DR$3*DR$7)</f>
        <v>0</v>
      </c>
      <c r="DS301" s="133">
        <f>IF(SeilBeregnet=0,DS299,((Loa)/Bredde)^DS$3*DS$7)</f>
        <v>2.2495790852081776</v>
      </c>
      <c r="DT301" s="107">
        <f>IF(SeilBeregnet=0,DT299,(Lwl)^DT$3)</f>
        <v>1.808614233815278</v>
      </c>
      <c r="DU301" s="133">
        <f>IF(SeilBeregnet=0,DU299,(Dypg/Loa)^DU$3*5*DU$7)</f>
        <v>1.9345580813353422</v>
      </c>
      <c r="DW301" s="107">
        <f t="shared" si="1241"/>
        <v>1.516739603392834</v>
      </c>
      <c r="DX301" s="107">
        <f t="shared" si="1301"/>
        <v>1.4562579575450438</v>
      </c>
      <c r="DZ301" s="107">
        <f t="shared" si="1302"/>
        <v>1.4258737872213441</v>
      </c>
      <c r="EA301" s="122" t="str">
        <f t="shared" si="2732"/>
        <v>-</v>
      </c>
      <c r="EB301" s="107">
        <f t="shared" si="2672"/>
        <v>1.4512327503223184</v>
      </c>
      <c r="EC301" s="122" t="str">
        <f t="shared" si="2733"/>
        <v>-</v>
      </c>
      <c r="ED301" s="107">
        <f>IF(SeilBeregnet=0,ED300,SeilBeregnet^0.5/Depl^0.33333)</f>
        <v>4.0281322680295135</v>
      </c>
      <c r="EE301" s="107">
        <f>IF(SeilBeregnet=0,EE300,Lwl^0.3333)</f>
        <v>2.2034013597348872</v>
      </c>
      <c r="EF301" s="107">
        <f>IF(SeilBeregnet=0,EF300,((Loa+Lwl)/Bredde)^EF$3)</f>
        <v>1.6974975484377828</v>
      </c>
      <c r="EH301" s="107">
        <f t="shared" si="2673"/>
        <v>1.4436863956202999</v>
      </c>
      <c r="EJ301" s="107">
        <f>IF(SeilBeregnet=0,EJ300,SeilBeregnet^0.5/Depl^0.33333)</f>
        <v>4.0281322680295135</v>
      </c>
      <c r="EK301" s="107">
        <f>IF(SeilBeregnet=0,EK300,Lwl^EK$3)</f>
        <v>2.2035580432539792</v>
      </c>
      <c r="EL301" s="107">
        <f>IF(SeilBeregnet=0,EL300,((Loa+Lwl)/Bredde)^EL$3)</f>
        <v>2.0247973624437603</v>
      </c>
      <c r="EM301" s="107">
        <f t="shared" si="2674"/>
        <v>1.4246790301738343</v>
      </c>
      <c r="EO301" s="107">
        <f>IF(SeilBeregnet=0,EO300,(EP301*EQ301)^EO$3)</f>
        <v>6.8377446497632253</v>
      </c>
      <c r="EP301" s="107">
        <f>IF(SeilBeregnet=0,EP300,SeilBeregnet^0.5/Depl^0.33333)</f>
        <v>4.0281322680295135</v>
      </c>
      <c r="EQ301" s="107">
        <f>IF(SeilBeregnet=0,EQ300,((Loa+Lwl)/Bredde)^EQ$3)</f>
        <v>1.6974975484377828</v>
      </c>
      <c r="ER301" s="107">
        <f>IF(SeilBeregnet=0,ER300,Lwl^ER$3)</f>
        <v>1.808614233815278</v>
      </c>
      <c r="ES301" s="107">
        <f t="shared" si="2585"/>
        <v>1.438705480493417</v>
      </c>
      <c r="EU301" s="107">
        <f>IF(SeilBeregnet=0,EU300,(EV:EV*EW:EW)^EU$3)</f>
        <v>2.0901985055403363</v>
      </c>
      <c r="EV301" s="107">
        <f>IF(SeilBeregnet=0,EV300,SeilBeregnet^0.5/Depl^0.33333)</f>
        <v>4.0281322680295135</v>
      </c>
      <c r="EW301" s="107">
        <f>IF(SeilBeregnet=0,EW300,((Loa+Lwl)/Bredde/6)^EW$3)</f>
        <v>1.0846043530492742</v>
      </c>
      <c r="EX301" s="107">
        <f>IF(SeilBeregnet=0,EX300,(Lwl*0.7+Loa*0.3)^EX$3)</f>
        <v>1.8803015465431969</v>
      </c>
      <c r="EY301" s="107">
        <f t="shared" si="2586"/>
        <v>1.3215929481444477</v>
      </c>
      <c r="FA301" s="107">
        <f t="shared" si="2587"/>
        <v>2.090287337102378</v>
      </c>
      <c r="FB301" s="107">
        <f>IF(SeilBeregnet=0,FB300,SeilBeregnet^0.5/Depl^0.3333)</f>
        <v>4.0284746593231233</v>
      </c>
      <c r="FC301" s="107">
        <f>IF(SeilBeregnet=0,FC300,((Loa+Lwl)/Bredde/6)^FC$3)</f>
        <v>1.0846043530492742</v>
      </c>
      <c r="FD301" s="107">
        <f>IF(SeilBeregnet=0,FD300,(Lwl*0.7+Loa*0.3)^FD$3)</f>
        <v>1.8803015465431969</v>
      </c>
      <c r="FE301" s="107">
        <f t="shared" si="2588"/>
        <v>1.4963730333837524</v>
      </c>
      <c r="FF301" s="141" t="str">
        <f t="shared" si="2734"/>
        <v>-</v>
      </c>
      <c r="FG301" s="107">
        <f t="shared" si="2590"/>
        <v>4.7389630488633951</v>
      </c>
      <c r="FH301" s="133">
        <f>IF(SeilBeregnet=0,FH300,(SeilBeregnet^0.5/(Depl^0.3333))^FH$3)</f>
        <v>4.0284746593231233</v>
      </c>
      <c r="FI301" s="133">
        <f>IF(SeilBeregnet=0,FI300,((Loa+Lwl)/Bredde/6)^FI$3)</f>
        <v>1.1763666026534347</v>
      </c>
      <c r="FJ301" s="107">
        <f>IF(SeilBeregnet=0,FJ300,(Lwl*0.07+Loa*0.03)^FJ$3)</f>
        <v>1.0573712634405641</v>
      </c>
      <c r="FK301" s="107">
        <f t="shared" si="2591"/>
        <v>1.4519153137414484</v>
      </c>
      <c r="FL301" s="141" t="str">
        <f t="shared" si="2735"/>
        <v>-</v>
      </c>
      <c r="FM301" s="107">
        <f t="shared" si="2593"/>
        <v>6.7460317379563008</v>
      </c>
      <c r="FN301" s="133">
        <f>IF(SeilBeregnet=0,FN300,(SeilBeregnet^0.5/(Depl^0.3333))^FN$3)</f>
        <v>4.0284746593231233</v>
      </c>
      <c r="FO301" s="133">
        <f>IF(SeilBeregnet=0,FO300,(SeilBeregnet^0.5/Lwl*FO$7)^FO$3)</f>
        <v>0.96797799342499924</v>
      </c>
      <c r="FP301" s="133">
        <f>IF(SeilBeregnet=0,FP300,((Loa)/Bredde)^FP$3*FP$7)</f>
        <v>2.2495790852081776</v>
      </c>
      <c r="FQ301" s="107">
        <f>IF(SeilBeregnet=0,FQ300,(Lwl)^FQ$3)</f>
        <v>1.808614233815278</v>
      </c>
      <c r="FR301" s="107">
        <f t="shared" si="2594"/>
        <v>1.5119867225304018</v>
      </c>
      <c r="FS301" s="141" t="str">
        <f t="shared" si="2736"/>
        <v>-</v>
      </c>
      <c r="FT301" s="107">
        <f t="shared" si="2596"/>
        <v>9.0623723389044368</v>
      </c>
      <c r="FU301" s="133">
        <f>IF(SeilBeregnet=0,FU300,(SeilBeregnet^0.5/(Depl^0.3333))^FU$3)</f>
        <v>4.0284746593231233</v>
      </c>
      <c r="FV301" s="133">
        <f>IF(SeilBeregnet=0,FV300,(Loa/Bredde)^FV$3)</f>
        <v>2.2495790852081776</v>
      </c>
      <c r="FW301" s="107">
        <f>IF(SeilBeregnet=0,FW300,Lwl^FW$3)</f>
        <v>1.808614233815278</v>
      </c>
      <c r="FY301" s="336">
        <v>1</v>
      </c>
      <c r="FZ301" s="62">
        <f t="shared" si="2663"/>
        <v>1.3891895554297251</v>
      </c>
      <c r="GA301" s="62">
        <f t="shared" si="1303"/>
        <v>1.9345580813353422</v>
      </c>
      <c r="GB301" s="107">
        <f t="shared" si="1270"/>
        <v>1.4761203818459359</v>
      </c>
      <c r="GC301" s="440"/>
      <c r="GD301" s="17"/>
      <c r="GE301" s="442"/>
      <c r="GF301" s="462"/>
      <c r="GG301" s="17"/>
      <c r="GH301" s="17"/>
      <c r="GI301" s="17"/>
      <c r="GJ301" s="17"/>
      <c r="GL301" s="17"/>
      <c r="GM301" s="442"/>
      <c r="GN301" s="8"/>
      <c r="GO301" s="8"/>
      <c r="GP301" s="8"/>
      <c r="GQ301" s="8"/>
      <c r="GS301" s="17"/>
      <c r="GT301" s="17"/>
      <c r="GU301" s="17"/>
      <c r="GV301" s="629"/>
      <c r="GW301" s="17"/>
      <c r="GX301" s="17"/>
      <c r="GY301" s="17"/>
      <c r="GZ301" s="17"/>
    </row>
    <row r="302" spans="1:208" ht="15.6" x14ac:dyDescent="0.3">
      <c r="A302" s="60" t="s">
        <v>33</v>
      </c>
      <c r="B302" s="218"/>
      <c r="C302" s="61" t="str">
        <f t="shared" si="2772"/>
        <v>Bermuda</v>
      </c>
      <c r="D302" s="61"/>
      <c r="E302" s="61"/>
      <c r="F302" s="61"/>
      <c r="G302" s="54"/>
      <c r="H302" s="204">
        <f>TBFavrundet</f>
        <v>142</v>
      </c>
      <c r="I302" s="63">
        <f>COUNTA(O302:AG302)</f>
        <v>2</v>
      </c>
      <c r="J302" s="222">
        <f>SUM(O302:AG302)</f>
        <v>91</v>
      </c>
      <c r="K302" s="116">
        <f>Seilareal/Depl^0.667/K$7</f>
        <v>1.2743464992362235</v>
      </c>
      <c r="L302" s="116">
        <f>Seilareal/Lwl/Lwl/L$7</f>
        <v>1.2060097274109107</v>
      </c>
      <c r="M302" s="92">
        <f>RiggF</f>
        <v>0.96456043956043958</v>
      </c>
      <c r="N302" s="242">
        <f>StHfaktor</f>
        <v>1.0815939328218769</v>
      </c>
      <c r="O302" s="143"/>
      <c r="P302" s="143"/>
      <c r="Q302" s="143"/>
      <c r="R302" s="143"/>
      <c r="S302" s="143"/>
      <c r="T302" s="143"/>
      <c r="U302" s="165">
        <v>26.5</v>
      </c>
      <c r="V302" s="559"/>
      <c r="W302" s="559"/>
      <c r="X302" s="143"/>
      <c r="Y302" s="143"/>
      <c r="Z302" s="143"/>
      <c r="AA302" s="143"/>
      <c r="AB302" s="143"/>
      <c r="AC302" s="143"/>
      <c r="AD302" s="143"/>
      <c r="AE302" s="165">
        <v>64.5</v>
      </c>
      <c r="AF302" s="143"/>
      <c r="AG302" s="551"/>
      <c r="AH302" s="557">
        <f t="shared" si="2756"/>
        <v>20.04</v>
      </c>
      <c r="AI302" s="557">
        <f t="shared" si="2756"/>
        <v>20.04</v>
      </c>
      <c r="AJ302" s="337">
        <f t="shared" si="2757"/>
        <v>0</v>
      </c>
      <c r="AK302" s="339"/>
      <c r="AL302" s="337">
        <f t="shared" si="2757"/>
        <v>0</v>
      </c>
      <c r="AM302" s="339"/>
      <c r="AN302" s="267" t="str">
        <f t="shared" ref="AN302" si="2777" xml:space="preserve"> AN301</f>
        <v>Meter</v>
      </c>
      <c r="AO302" s="45">
        <f>VLOOKUP(AN302,Skrogform!$1:$1048576,3,FALSE)</f>
        <v>1</v>
      </c>
      <c r="AP302" s="64">
        <f t="shared" si="2759"/>
        <v>16.7</v>
      </c>
      <c r="AQ302" s="64">
        <f t="shared" si="2760"/>
        <v>10.7</v>
      </c>
      <c r="AR302" s="64">
        <f t="shared" si="2761"/>
        <v>3.3</v>
      </c>
      <c r="AS302" s="64">
        <f t="shared" si="2762"/>
        <v>2.5</v>
      </c>
      <c r="AT302" s="64">
        <f t="shared" si="2763"/>
        <v>17</v>
      </c>
      <c r="AU302" s="64">
        <f t="shared" si="2763"/>
        <v>17</v>
      </c>
      <c r="AV302" s="64">
        <f t="shared" si="2764"/>
        <v>8.3000000000000007</v>
      </c>
      <c r="AW302" s="64">
        <f t="shared" si="2764"/>
        <v>0</v>
      </c>
      <c r="AX302" s="256">
        <f>AX301</f>
        <v>0</v>
      </c>
      <c r="AY302" s="256">
        <f t="shared" si="2764"/>
        <v>0</v>
      </c>
      <c r="AZ302" s="256">
        <f t="shared" si="2764"/>
        <v>0</v>
      </c>
      <c r="BA302" s="256">
        <f t="shared" ref="BA302:BB302" si="2778">BA301</f>
        <v>0</v>
      </c>
      <c r="BB302" s="256">
        <f t="shared" si="2778"/>
        <v>0</v>
      </c>
      <c r="BC302" s="256"/>
      <c r="BD302" s="66"/>
      <c r="BE302" s="66"/>
      <c r="BF302" s="261"/>
      <c r="BG302" s="66"/>
      <c r="BH302" s="175"/>
      <c r="BI302" s="66"/>
      <c r="BJ302" s="66"/>
      <c r="BK302" s="65">
        <f t="shared" ref="BK302:BM302" si="2779" xml:space="preserve"> BK301</f>
        <v>0</v>
      </c>
      <c r="BL302" s="267">
        <f t="shared" si="2779"/>
        <v>0</v>
      </c>
      <c r="BM302" s="267">
        <f t="shared" si="2779"/>
        <v>0</v>
      </c>
      <c r="BN302" s="45">
        <f t="shared" si="2579"/>
        <v>1</v>
      </c>
      <c r="BO302" s="59"/>
      <c r="BP302" s="59"/>
      <c r="BR302" s="49">
        <f t="shared" si="2768"/>
        <v>0</v>
      </c>
      <c r="BS302" s="49">
        <f t="shared" si="2768"/>
        <v>0</v>
      </c>
      <c r="BT302" s="49">
        <f t="shared" si="2768"/>
        <v>0</v>
      </c>
      <c r="BU302" s="49">
        <f t="shared" si="2768"/>
        <v>0</v>
      </c>
      <c r="BV302" s="49">
        <f t="shared" si="2768"/>
        <v>0</v>
      </c>
      <c r="BW302" s="49">
        <f t="shared" si="2768"/>
        <v>0</v>
      </c>
      <c r="BX302" s="49">
        <f t="shared" si="2768"/>
        <v>26.5</v>
      </c>
      <c r="BY302" s="549">
        <f>IF(COUNT(Q302:U302)&gt;1,MINA(Q302:U302)*BY$9,0)</f>
        <v>0</v>
      </c>
      <c r="BZ302" s="85">
        <f t="shared" si="2769"/>
        <v>0</v>
      </c>
      <c r="CA302" s="85">
        <f t="shared" si="2769"/>
        <v>0</v>
      </c>
      <c r="CB302" s="85">
        <f t="shared" si="2769"/>
        <v>0</v>
      </c>
      <c r="CC302" s="85">
        <f t="shared" si="2769"/>
        <v>0</v>
      </c>
      <c r="CD302" s="85">
        <f t="shared" si="2769"/>
        <v>0</v>
      </c>
      <c r="CE302" s="85">
        <f>IF(AC302=0,0,AC302*CE$9)</f>
        <v>0</v>
      </c>
      <c r="CF302" s="85">
        <f t="shared" si="2770"/>
        <v>0</v>
      </c>
      <c r="CG302" s="85">
        <f t="shared" si="2770"/>
        <v>0</v>
      </c>
      <c r="CH302" s="85">
        <f t="shared" si="2771"/>
        <v>0</v>
      </c>
      <c r="CI302" s="85">
        <f t="shared" si="2771"/>
        <v>61.274999999999999</v>
      </c>
      <c r="CJ302" s="85">
        <f t="shared" si="2771"/>
        <v>0</v>
      </c>
      <c r="CK302" s="85">
        <f t="shared" si="2771"/>
        <v>0</v>
      </c>
      <c r="CL302" s="100">
        <f>SUM(BR302:CK302)</f>
        <v>87.775000000000006</v>
      </c>
      <c r="CM302" s="50"/>
      <c r="CN302" s="104">
        <f>J302</f>
        <v>91</v>
      </c>
      <c r="CO302" s="101">
        <f>CL302/CN302</f>
        <v>0.96456043956043958</v>
      </c>
      <c r="CP302" s="51">
        <f>Seilareal/Lwl/Lwl</f>
        <v>0.79482924272862265</v>
      </c>
      <c r="CQ302" s="116">
        <f>Seilareal/Depl^0.667/K$7</f>
        <v>1.2743464992362235</v>
      </c>
      <c r="CR302" s="51">
        <f>Seilareal/Lwl/Lwl/SApRS1</f>
        <v>1.2060097274109107</v>
      </c>
      <c r="CS302" s="204"/>
      <c r="CT302" s="204">
        <f>(ROUND(TBF/CT$6,3)*CT$6)*CT$4</f>
        <v>142</v>
      </c>
      <c r="CU302" s="107">
        <f t="shared" si="1267"/>
        <v>1.4182286788303748</v>
      </c>
      <c r="CV302" s="62">
        <f t="shared" si="1297"/>
        <v>3.9256072393528041</v>
      </c>
      <c r="CW302" s="62">
        <f t="shared" si="1268"/>
        <v>2.0375267241229382</v>
      </c>
      <c r="CX302" s="62">
        <f t="shared" si="1298"/>
        <v>1.808614233815278</v>
      </c>
      <c r="CY302" s="107">
        <f t="shared" si="1269"/>
        <v>1.0815939328218769</v>
      </c>
      <c r="CZ302" s="168" t="str">
        <f t="shared" si="2712"/>
        <v>-</v>
      </c>
      <c r="DA302" s="158"/>
      <c r="DB302" s="168" t="str">
        <f t="shared" si="2776"/>
        <v>-</v>
      </c>
      <c r="DC302" s="160"/>
      <c r="DD302" s="190" t="s">
        <v>134</v>
      </c>
      <c r="DE302" s="62" t="s">
        <v>102</v>
      </c>
      <c r="DF302" s="62" t="s">
        <v>102</v>
      </c>
      <c r="DG302" s="62" t="s">
        <v>102</v>
      </c>
      <c r="DH302" s="150" t="s">
        <v>102</v>
      </c>
      <c r="DI302" s="62">
        <f t="shared" si="1299"/>
        <v>2.290961124677549</v>
      </c>
      <c r="DJ302" s="47">
        <f t="shared" si="1300"/>
        <v>16.666666666666664</v>
      </c>
      <c r="DK302" s="48">
        <f t="shared" si="2580"/>
        <v>0</v>
      </c>
      <c r="DM302" s="107">
        <f t="shared" si="2581"/>
        <v>1.3217392034445696</v>
      </c>
      <c r="DN302" s="141" t="str">
        <f t="shared" si="2731"/>
        <v>-</v>
      </c>
      <c r="DO302" s="107">
        <f t="shared" si="2662"/>
        <v>5.8935658722907363</v>
      </c>
      <c r="DP302" s="133">
        <f>IF(SeilBeregnet=0,DP300,(SeilBeregnet^0.5/(Depl^0.3333))^DP$3*DP$7)</f>
        <v>3.6439867870825586</v>
      </c>
      <c r="DQ302" s="133">
        <f>IF(SeilBeregnet=0,DQ300,(SeilBeregnet^0.5/Lwl)^DQ$3*DQ$7)</f>
        <v>0</v>
      </c>
      <c r="DR302" s="133">
        <f>IF(SeilBeregnet=0,DR300,(0.1*Loa/Depl^0.3333)^DR$3*DR$7)</f>
        <v>0</v>
      </c>
      <c r="DS302" s="133">
        <f>IF(SeilBeregnet=0,DS300,((Loa)/Bredde)^DS$3*DS$7)</f>
        <v>2.2495790852081776</v>
      </c>
      <c r="DT302" s="107">
        <f>IF(SeilBeregnet=0,DT300,(Lwl)^DT$3)</f>
        <v>1.808614233815278</v>
      </c>
      <c r="DU302" s="133">
        <f>IF(SeilBeregnet=0,DU300,(Dypg/Loa)^DU$3*5*DU$7)</f>
        <v>1.9345580813353422</v>
      </c>
      <c r="DW302" s="107">
        <f t="shared" si="1241"/>
        <v>1.4182286788303748</v>
      </c>
      <c r="DX302" s="107">
        <f t="shared" si="1301"/>
        <v>1.3405820471787266</v>
      </c>
      <c r="DZ302" s="107">
        <f t="shared" si="1302"/>
        <v>1.3292534504236144</v>
      </c>
      <c r="EA302" s="122" t="str">
        <f t="shared" si="2732"/>
        <v>-</v>
      </c>
      <c r="EB302" s="107">
        <f t="shared" si="2672"/>
        <v>1.3394364513257091</v>
      </c>
      <c r="EC302" s="122" t="str">
        <f t="shared" si="2733"/>
        <v>-</v>
      </c>
      <c r="ED302" s="107">
        <f>IF(SeilBeregnet=0,ED301,SeilBeregnet^0.5/Depl^0.33333)</f>
        <v>3.6436770744852511</v>
      </c>
      <c r="EE302" s="107">
        <f>IF(SeilBeregnet=0,EE301,Lwl^0.3333)</f>
        <v>2.2034013597348872</v>
      </c>
      <c r="EF302" s="107">
        <f>IF(SeilBeregnet=0,EF301,((Loa+Lwl)/Bredde)^EF$3)</f>
        <v>1.6974975484377828</v>
      </c>
      <c r="EH302" s="107">
        <f t="shared" si="2673"/>
        <v>1.3403840074798004</v>
      </c>
      <c r="EJ302" s="107">
        <f>IF(SeilBeregnet=0,EJ301,SeilBeregnet^0.5/Depl^0.33333)</f>
        <v>3.6436770744852511</v>
      </c>
      <c r="EK302" s="107">
        <f>IF(SeilBeregnet=0,EK301,Lwl^EK$3)</f>
        <v>2.2035580432539792</v>
      </c>
      <c r="EL302" s="107">
        <f>IF(SeilBeregnet=0,EL301,((Loa+Lwl)/Bredde)^EL$3)</f>
        <v>2.0247973624437603</v>
      </c>
      <c r="EM302" s="107">
        <f t="shared" si="2674"/>
        <v>1.3194754618636373</v>
      </c>
      <c r="EO302" s="107">
        <f>IF(SeilBeregnet=0,EO301,(EP302*EQ302)^EO$3)</f>
        <v>6.1851329012376661</v>
      </c>
      <c r="EP302" s="107">
        <f>IF(SeilBeregnet=0,EP301,SeilBeregnet^0.5/Depl^0.33333)</f>
        <v>3.6436770744852511</v>
      </c>
      <c r="EQ302" s="107">
        <f>IF(SeilBeregnet=0,EQ301,((Loa+Lwl)/Bredde)^EQ$3)</f>
        <v>1.6974975484377828</v>
      </c>
      <c r="ER302" s="107">
        <f>IF(SeilBeregnet=0,ER301,Lwl^ER$3)</f>
        <v>1.808614233815278</v>
      </c>
      <c r="ES302" s="107">
        <f t="shared" si="2585"/>
        <v>1.3461984968282357</v>
      </c>
      <c r="EU302" s="107">
        <f>IF(SeilBeregnet=0,EU301,(EV:EV*EW:EW)^EU$3)</f>
        <v>1.9879507076616734</v>
      </c>
      <c r="EV302" s="107">
        <f>IF(SeilBeregnet=0,EV301,SeilBeregnet^0.5/Depl^0.33333)</f>
        <v>3.6436770744852511</v>
      </c>
      <c r="EW302" s="107">
        <f>IF(SeilBeregnet=0,EW301,((Loa+Lwl)/Bredde/6)^EW$3)</f>
        <v>1.0846043530492742</v>
      </c>
      <c r="EX302" s="107">
        <f>IF(SeilBeregnet=0,EX301,(Lwl*0.7+Loa*0.3)^EX$3)</f>
        <v>1.8803015465431969</v>
      </c>
      <c r="EY302" s="107">
        <f t="shared" si="2586"/>
        <v>1.256943601069727</v>
      </c>
      <c r="FA302" s="107">
        <f t="shared" si="2587"/>
        <v>1.9880351937839988</v>
      </c>
      <c r="FB302" s="107">
        <f>IF(SeilBeregnet=0,FB301,SeilBeregnet^0.5/Depl^0.3333)</f>
        <v>3.6439867870825586</v>
      </c>
      <c r="FC302" s="107">
        <f>IF(SeilBeregnet=0,FC301,((Loa+Lwl)/Bredde/6)^FC$3)</f>
        <v>1.0846043530492742</v>
      </c>
      <c r="FD302" s="107">
        <f>IF(SeilBeregnet=0,FD301,(Lwl*0.7+Loa*0.3)^FD$3)</f>
        <v>1.8803015465431969</v>
      </c>
      <c r="FE302" s="107">
        <f t="shared" si="2588"/>
        <v>1.3959410291006586</v>
      </c>
      <c r="FF302" s="141" t="str">
        <f t="shared" si="2734"/>
        <v>-</v>
      </c>
      <c r="FG302" s="107">
        <f t="shared" si="2590"/>
        <v>4.2866643568343141</v>
      </c>
      <c r="FH302" s="133">
        <f>IF(SeilBeregnet=0,FH301,(SeilBeregnet^0.5/(Depl^0.3333))^FH$3)</f>
        <v>3.6439867870825586</v>
      </c>
      <c r="FI302" s="133">
        <f>IF(SeilBeregnet=0,FI301,((Loa+Lwl)/Bredde/6)^FI$3)</f>
        <v>1.1763666026534347</v>
      </c>
      <c r="FJ302" s="107">
        <f>IF(SeilBeregnet=0,FJ301,(Lwl*0.07+Loa*0.03)^FJ$3)</f>
        <v>1.0573712634405641</v>
      </c>
      <c r="FK302" s="107">
        <f t="shared" si="2591"/>
        <v>1.3492800289838627</v>
      </c>
      <c r="FL302" s="141" t="str">
        <f t="shared" si="2735"/>
        <v>-</v>
      </c>
      <c r="FM302" s="107">
        <f t="shared" si="2593"/>
        <v>6.2691575829309247</v>
      </c>
      <c r="FN302" s="133">
        <f>IF(SeilBeregnet=0,FN301,(SeilBeregnet^0.5/(Depl^0.3333))^FN$3)</f>
        <v>3.6439867870825586</v>
      </c>
      <c r="FO302" s="133">
        <f>IF(SeilBeregnet=0,FO301,(SeilBeregnet^0.5/Lwl*FO$7)^FO$3)</f>
        <v>0.87559171064018859</v>
      </c>
      <c r="FP302" s="133">
        <f>IF(SeilBeregnet=0,FP301,((Loa)/Bredde)^FP$3*FP$7)</f>
        <v>2.2495790852081776</v>
      </c>
      <c r="FQ302" s="107">
        <f>IF(SeilBeregnet=0,FQ301,(Lwl)^FQ$3)</f>
        <v>1.808614233815278</v>
      </c>
      <c r="FR302" s="107">
        <f t="shared" si="2594"/>
        <v>1.4118692609940358</v>
      </c>
      <c r="FS302" s="141" t="str">
        <f t="shared" si="2736"/>
        <v>-</v>
      </c>
      <c r="FT302" s="107">
        <f t="shared" si="2596"/>
        <v>8.1974364629958689</v>
      </c>
      <c r="FU302" s="133">
        <f>IF(SeilBeregnet=0,FU301,(SeilBeregnet^0.5/(Depl^0.3333))^FU$3)</f>
        <v>3.6439867870825586</v>
      </c>
      <c r="FV302" s="133">
        <f>IF(SeilBeregnet=0,FV301,(Loa/Bredde)^FV$3)</f>
        <v>2.2495790852081776</v>
      </c>
      <c r="FW302" s="107">
        <f>IF(SeilBeregnet=0,FW301,Lwl^FW$3)</f>
        <v>1.808614233815278</v>
      </c>
      <c r="FY302" s="336">
        <v>1</v>
      </c>
      <c r="FZ302" s="62">
        <f t="shared" si="2663"/>
        <v>1.3241553314790426</v>
      </c>
      <c r="GA302" s="62">
        <f t="shared" si="1303"/>
        <v>1.9345580813353422</v>
      </c>
      <c r="GB302" s="107">
        <f t="shared" si="1640"/>
        <v>1.4275801349856847</v>
      </c>
      <c r="GC302" s="440"/>
      <c r="GD302" s="17"/>
      <c r="GE302" s="442"/>
      <c r="GF302" s="462"/>
      <c r="GG302" s="17"/>
      <c r="GH302" s="17"/>
      <c r="GI302" s="17"/>
      <c r="GJ302" s="17"/>
      <c r="GL302" s="17"/>
      <c r="GM302" s="442"/>
      <c r="GN302" s="8"/>
      <c r="GO302" s="8"/>
      <c r="GP302" s="8"/>
      <c r="GQ302" s="8"/>
      <c r="GS302" s="17"/>
      <c r="GT302" s="17"/>
      <c r="GU302" s="17"/>
      <c r="GV302" s="629"/>
      <c r="GW302" s="17"/>
      <c r="GX302" s="17"/>
      <c r="GY302" s="17"/>
      <c r="GZ302" s="17"/>
    </row>
    <row r="303" spans="1:208" ht="15.6" x14ac:dyDescent="0.3">
      <c r="A303" s="52" t="s">
        <v>83</v>
      </c>
      <c r="B303" s="218">
        <f t="shared" ref="B303" si="2780">Loa/0.3048</f>
        <v>67.257217847769027</v>
      </c>
      <c r="C303" s="53" t="s">
        <v>38</v>
      </c>
      <c r="D303" s="53"/>
      <c r="E303" s="53"/>
      <c r="F303" s="53"/>
      <c r="G303" s="54"/>
      <c r="H303" s="112">
        <f>J304</f>
        <v>217</v>
      </c>
      <c r="I303" s="601">
        <f>H304/100</f>
        <v>1.855</v>
      </c>
      <c r="J303" s="651">
        <f>IF(DC304=0,"-",DC304)</f>
        <v>1.83</v>
      </c>
      <c r="K303" s="123" t="str">
        <f>A303</f>
        <v>FLICA II</v>
      </c>
      <c r="L303" s="116"/>
      <c r="M303" s="116"/>
      <c r="N303" s="92"/>
      <c r="O303" s="165"/>
      <c r="P303" s="165"/>
      <c r="Q303" s="165">
        <v>82</v>
      </c>
      <c r="R303" s="165"/>
      <c r="S303" s="165"/>
      <c r="T303" s="165"/>
      <c r="U303" s="165">
        <v>72</v>
      </c>
      <c r="V303" s="559"/>
      <c r="W303" s="559"/>
      <c r="X303" s="165"/>
      <c r="Y303" s="165"/>
      <c r="Z303" s="165"/>
      <c r="AA303" s="165"/>
      <c r="AB303" s="165"/>
      <c r="AC303" s="165"/>
      <c r="AD303" s="165"/>
      <c r="AE303" s="165">
        <v>135</v>
      </c>
      <c r="AF303" s="165"/>
      <c r="AG303" s="552"/>
      <c r="AH303" s="241">
        <f>Loa*1.1</f>
        <v>22.55</v>
      </c>
      <c r="AI303" s="241">
        <f>Loa*1.1</f>
        <v>22.55</v>
      </c>
      <c r="AJ303" s="554"/>
      <c r="AK303" s="339"/>
      <c r="AL303" s="268"/>
      <c r="AM303" s="339"/>
      <c r="AN303" s="268" t="s">
        <v>214</v>
      </c>
      <c r="AO303" s="45">
        <f>VLOOKUP(AN303,Skrogform!$1:$1048576,3,FALSE)</f>
        <v>1</v>
      </c>
      <c r="AP303" s="55">
        <v>20.5</v>
      </c>
      <c r="AQ303" s="55">
        <v>14</v>
      </c>
      <c r="AR303" s="55">
        <v>3.1</v>
      </c>
      <c r="AS303" s="55">
        <v>2.7</v>
      </c>
      <c r="AT303" s="637">
        <f>AU303</f>
        <v>30</v>
      </c>
      <c r="AU303" s="55">
        <v>30</v>
      </c>
      <c r="AV303" s="55">
        <v>15</v>
      </c>
      <c r="AW303" s="55"/>
      <c r="AX303" s="253"/>
      <c r="AY303" s="253"/>
      <c r="AZ303" s="254">
        <f>AY303*7</f>
        <v>0</v>
      </c>
      <c r="BA303" s="253"/>
      <c r="BB303" s="253"/>
      <c r="BC303" s="244">
        <f>Depl+Diesel/1000*0.84+Vann/1000</f>
        <v>30</v>
      </c>
      <c r="BD303" s="95">
        <f>Bredde/(Loa+Lwl)*2</f>
        <v>0.17971014492753623</v>
      </c>
      <c r="BE303" s="95">
        <f>(Kjøl+Ballast)/Depl</f>
        <v>0.5</v>
      </c>
      <c r="BF303" s="260">
        <f>BF$7*((Depl-Kjøl-Ballast-VektMotor/1000-VektAnnet/1000)/Lwl/Lwl/Bredde)</f>
        <v>0.93165070643642078</v>
      </c>
      <c r="BG303" s="95">
        <f>BG$7*(Depl/Loa/Lwl/Lwl)</f>
        <v>0.54944668491786952</v>
      </c>
      <c r="BH303" s="174">
        <f>BH$7*(Depl/Loa/Lwl/Bredde)</f>
        <v>0.91720034843205567</v>
      </c>
      <c r="BI303" s="95">
        <f>BI$7*Bredde/(Loa+Lwl)*2</f>
        <v>0.51265700483091792</v>
      </c>
      <c r="BJ303" s="95">
        <f>BJ$7*(Dypg/Lwl)</f>
        <v>1.0548447204968945</v>
      </c>
      <c r="BK303" s="56"/>
      <c r="BL303" s="268"/>
      <c r="BM303" s="268"/>
      <c r="BN303" s="45">
        <f t="shared" si="2579"/>
        <v>1</v>
      </c>
      <c r="BO303" s="59"/>
      <c r="BP303" s="59"/>
      <c r="BR303" s="209"/>
      <c r="BS303" s="209"/>
      <c r="BT303" s="209" t="str">
        <f>$A303</f>
        <v>FLICA II</v>
      </c>
      <c r="BU303" s="10"/>
      <c r="BV303" s="10"/>
      <c r="BW303" s="10"/>
      <c r="BX303" s="10"/>
      <c r="BY303" s="549"/>
      <c r="BZ303" s="10"/>
      <c r="CA303" s="10"/>
      <c r="CB303" s="209" t="str">
        <f>$A303</f>
        <v>FLICA II</v>
      </c>
      <c r="CC303" s="10"/>
      <c r="CD303" s="10"/>
      <c r="CE303" s="10"/>
      <c r="CF303" s="10"/>
      <c r="CG303" s="10"/>
      <c r="CH303" s="10"/>
      <c r="CI303" s="10"/>
      <c r="CJ303" s="10"/>
      <c r="CK303" s="10"/>
      <c r="CL303" s="209"/>
      <c r="CM303" s="10"/>
      <c r="CN303" s="209" t="str">
        <f>$A303</f>
        <v>FLICA II</v>
      </c>
      <c r="CO303" s="207"/>
      <c r="CP303" s="207"/>
      <c r="CQ303" s="116"/>
      <c r="CR303" s="207"/>
      <c r="CS303" s="203"/>
      <c r="CT303" s="203" t="s">
        <v>23</v>
      </c>
      <c r="CU303" s="107" t="str">
        <f t="shared" si="1267"/>
        <v>-</v>
      </c>
      <c r="CV303" s="62" t="str">
        <f t="shared" si="1297"/>
        <v>-</v>
      </c>
      <c r="CW303" s="62" t="str">
        <f t="shared" si="1268"/>
        <v>-</v>
      </c>
      <c r="CX303" s="62" t="str">
        <f t="shared" si="1298"/>
        <v>-</v>
      </c>
      <c r="CY303" s="107" t="str">
        <f t="shared" si="1269"/>
        <v>-</v>
      </c>
      <c r="CZ303" s="168" t="str">
        <f t="shared" si="2712"/>
        <v>-</v>
      </c>
      <c r="DA303" s="158"/>
      <c r="DB303" s="168" t="str">
        <f t="shared" si="2776"/>
        <v>-</v>
      </c>
      <c r="DC303" s="160">
        <v>1.83</v>
      </c>
      <c r="DD303" s="190" t="s">
        <v>134</v>
      </c>
      <c r="DE303" s="29" t="s">
        <v>23</v>
      </c>
      <c r="DF303" s="29" t="s">
        <v>23</v>
      </c>
      <c r="DG303" s="29" t="s">
        <v>23</v>
      </c>
      <c r="DH303" s="149">
        <v>2022</v>
      </c>
      <c r="DI303" s="62" t="str">
        <f t="shared" si="1299"/>
        <v>-</v>
      </c>
      <c r="DJ303" s="47">
        <f t="shared" si="1300"/>
        <v>14.917127071823206</v>
      </c>
      <c r="DK303" s="48">
        <f t="shared" si="2580"/>
        <v>0</v>
      </c>
      <c r="DM303" s="107" t="str">
        <f t="shared" si="2581"/>
        <v>-</v>
      </c>
      <c r="DN303" s="141" t="str">
        <f t="shared" si="2698"/>
        <v>-</v>
      </c>
      <c r="DO303" s="107">
        <f t="shared" si="2662"/>
        <v>7.0925414943249887</v>
      </c>
      <c r="DP303" s="133">
        <f>IF(SeilBeregnet=0,DP186,(SeilBeregnet^0.5/(Depl^0.3333))^DP$3*DP$7)</f>
        <v>4.6562011671243466</v>
      </c>
      <c r="DQ303" s="133">
        <f>IF(SeilBeregnet=0,DQ186,(SeilBeregnet^0.5/Lwl)^DQ$3*DQ$7)</f>
        <v>0</v>
      </c>
      <c r="DR303" s="133">
        <f>IF(SeilBeregnet=0,DR186,(0.1*Loa/Depl^0.3333)^DR$3*DR$7)</f>
        <v>0</v>
      </c>
      <c r="DS303" s="133">
        <f>IF(SeilBeregnet=0,DS186,((Loa)/Bredde)^DS$3*DS$7)</f>
        <v>2.4363403272006425</v>
      </c>
      <c r="DT303" s="107">
        <f>IF(SeilBeregnet=0,DT186,(Lwl)^DT$3)</f>
        <v>1.9315671412704052</v>
      </c>
      <c r="DU303" s="133">
        <f>IF(SeilBeregnet=0,DU186,(Dypg/Loa)^DU$3*5*DU$7)</f>
        <v>1.8470962903655979</v>
      </c>
      <c r="DW303" s="107" t="str">
        <f t="shared" si="1241"/>
        <v>-</v>
      </c>
      <c r="DX303" s="107" t="str">
        <f t="shared" si="1301"/>
        <v>-</v>
      </c>
      <c r="DZ303" s="107" t="str">
        <f t="shared" si="1302"/>
        <v>-</v>
      </c>
      <c r="EA303" s="122" t="str">
        <f t="shared" si="2699"/>
        <v>-</v>
      </c>
      <c r="EB303" s="107" t="str">
        <f t="shared" si="2672"/>
        <v>-</v>
      </c>
      <c r="EC303" s="122" t="str">
        <f t="shared" si="2700"/>
        <v>-</v>
      </c>
      <c r="ED303" s="107">
        <f>IF(SeilBeregnet=0,ED186,SeilBeregnet^0.5/Depl^0.33333)</f>
        <v>4.6557127794619042</v>
      </c>
      <c r="EE303" s="107">
        <f>IF(SeilBeregnet=0,EE186,Lwl^0.3333)</f>
        <v>2.4053316014652082</v>
      </c>
      <c r="EF303" s="107">
        <f>IF(SeilBeregnet=0,EF186,((Loa+Lwl)/Bredde)^EF$3)</f>
        <v>1.7704038094864074</v>
      </c>
      <c r="EH303" s="107" t="str">
        <f t="shared" si="2673"/>
        <v>-</v>
      </c>
      <c r="EJ303" s="107">
        <f>IF(SeilBeregnet=0,EJ186,SeilBeregnet^0.5/Depl^0.33333)</f>
        <v>4.6557127794619042</v>
      </c>
      <c r="EK303" s="107">
        <f>IF(SeilBeregnet=0,EK186,Lwl^EK$3)</f>
        <v>2.4055216296858064</v>
      </c>
      <c r="EL303" s="107">
        <f>IF(SeilBeregnet=0,EL186,((Loa+Lwl)/Bredde)^EL$3)</f>
        <v>2.1415589697189774</v>
      </c>
      <c r="EM303" s="107" t="str">
        <f t="shared" si="2674"/>
        <v>-</v>
      </c>
      <c r="EO303" s="107">
        <f>IF(SeilBeregnet=0,EO186,(EP303*EQ303)^EO$3)</f>
        <v>8.2424916406339062</v>
      </c>
      <c r="EP303" s="107">
        <f>IF(SeilBeregnet=0,EP186,SeilBeregnet^0.5/Depl^0.33333)</f>
        <v>4.6557127794619042</v>
      </c>
      <c r="EQ303" s="107">
        <f>IF(SeilBeregnet=0,EQ186,((Loa+Lwl)/Bredde)^EQ$3)</f>
        <v>1.7704038094864074</v>
      </c>
      <c r="ER303" s="107">
        <f>IF(SeilBeregnet=0,ER186,Lwl^ER$3)</f>
        <v>1.9315671412704052</v>
      </c>
      <c r="ES303" s="107" t="str">
        <f t="shared" si="2585"/>
        <v>-</v>
      </c>
      <c r="EU303" s="107">
        <f>IF(SeilBeregnet=0,EU186,(EV:EV*EW:EW)^EU$3)</f>
        <v>2.2948819567878824</v>
      </c>
      <c r="EV303" s="107">
        <f>IF(SeilBeregnet=0,EV186,SeilBeregnet^0.5/Depl^0.33333)</f>
        <v>4.6557127794619042</v>
      </c>
      <c r="EW303" s="107">
        <f>IF(SeilBeregnet=0,EW186,((Loa+Lwl)/Bredde/6)^EW$3)</f>
        <v>1.1311873058026716</v>
      </c>
      <c r="EX303" s="107">
        <f>IF(SeilBeregnet=0,EX186,(Lwl*0.7+Loa*0.3)^EX$3)</f>
        <v>2.0037084229436135</v>
      </c>
      <c r="EY303" s="107" t="str">
        <f t="shared" si="2586"/>
        <v>-</v>
      </c>
      <c r="FA303" s="107">
        <f t="shared" si="2587"/>
        <v>2.295002321025982</v>
      </c>
      <c r="FB303" s="107">
        <f>IF(SeilBeregnet=0,FB186,SeilBeregnet^0.5/Depl^0.3333)</f>
        <v>4.6562011671243466</v>
      </c>
      <c r="FC303" s="107">
        <f>IF(SeilBeregnet=0,FC186,((Loa+Lwl)/Bredde/6)^FC$3)</f>
        <v>1.1311873058026716</v>
      </c>
      <c r="FD303" s="107">
        <f>IF(SeilBeregnet=0,FD186,(Lwl*0.7+Loa*0.3)^FD$3)</f>
        <v>2.0037084229436135</v>
      </c>
      <c r="FE303" s="107" t="str">
        <f t="shared" si="2588"/>
        <v>-</v>
      </c>
      <c r="FF303" s="141" t="str">
        <f t="shared" si="2701"/>
        <v>-</v>
      </c>
      <c r="FG303" s="107">
        <f t="shared" si="2590"/>
        <v>5.958003870465844</v>
      </c>
      <c r="FH303" s="133">
        <f>IF(SeilBeregnet=0,FH186,(SeilBeregnet^0.5/(Depl^0.3333))^FH$3)</f>
        <v>4.6562011671243466</v>
      </c>
      <c r="FI303" s="133">
        <f>IF(SeilBeregnet=0,FI186,((Loa+Lwl)/Bredde/6)^FI$3)</f>
        <v>1.2795847208091067</v>
      </c>
      <c r="FJ303" s="107">
        <f>IF(SeilBeregnet=0,FJ186,(Lwl*0.07+Loa*0.03)^FJ$3)</f>
        <v>1.126768049853176</v>
      </c>
      <c r="FK303" s="107" t="str">
        <f t="shared" si="2591"/>
        <v>-</v>
      </c>
      <c r="FL303" s="141" t="str">
        <f t="shared" si="2702"/>
        <v>-</v>
      </c>
      <c r="FM303" s="107">
        <f t="shared" si="2593"/>
        <v>7.6653277387982701</v>
      </c>
      <c r="FN303" s="133">
        <f>IF(SeilBeregnet=0,FN186,(SeilBeregnet^0.5/(Depl^0.3333))^FN$3)</f>
        <v>4.6562011671243466</v>
      </c>
      <c r="FO303" s="133">
        <f>IF(SeilBeregnet=0,FO186,(SeilBeregnet^0.5/Lwl*FO$7)^FO$3)</f>
        <v>1.0727862444732814</v>
      </c>
      <c r="FP303" s="133">
        <f>IF(SeilBeregnet=0,FP186,((Loa)/Bredde)^FP$3*FP$7)</f>
        <v>2.4363403272006425</v>
      </c>
      <c r="FQ303" s="107">
        <f>IF(SeilBeregnet=0,FQ186,(Lwl)^FQ$3)</f>
        <v>1.9315671412704052</v>
      </c>
      <c r="FR303" s="107" t="str">
        <f t="shared" si="2594"/>
        <v>-</v>
      </c>
      <c r="FS303" s="141" t="str">
        <f t="shared" si="2703"/>
        <v>-</v>
      </c>
      <c r="FT303" s="107">
        <f t="shared" si="2596"/>
        <v>11.344090675023745</v>
      </c>
      <c r="FU303" s="133">
        <f>IF(SeilBeregnet=0,FU186,(SeilBeregnet^0.5/(Depl^0.3333))^FU$3)</f>
        <v>4.6562011671243466</v>
      </c>
      <c r="FV303" s="133">
        <f>IF(SeilBeregnet=0,FV186,(Loa/Bredde)^FV$3)</f>
        <v>2.4363403272006425</v>
      </c>
      <c r="FW303" s="107">
        <f>IF(SeilBeregnet=0,FW186,Lwl^FW$3)</f>
        <v>1.9315671412704052</v>
      </c>
      <c r="FY303" s="336">
        <v>1</v>
      </c>
      <c r="FZ303" s="62" t="str">
        <f t="shared" si="2663"/>
        <v>-</v>
      </c>
      <c r="GA303" s="62">
        <f t="shared" si="1303"/>
        <v>1.8145751367274014</v>
      </c>
      <c r="GB303" s="107" t="str">
        <f t="shared" si="1640"/>
        <v>-</v>
      </c>
      <c r="GC303" s="441" t="s">
        <v>527</v>
      </c>
      <c r="GD303" s="57"/>
      <c r="GE303" s="436"/>
      <c r="GF303" s="75"/>
      <c r="GG303" s="57"/>
      <c r="GH303" s="57"/>
      <c r="GI303" s="57"/>
      <c r="GJ303" s="57"/>
      <c r="GL303" s="57" t="s">
        <v>478</v>
      </c>
      <c r="GM303" s="436" t="s">
        <v>478</v>
      </c>
      <c r="GN303" s="58" t="s">
        <v>478</v>
      </c>
      <c r="GO303" s="58" t="s">
        <v>478</v>
      </c>
      <c r="GP303" s="58" t="s">
        <v>478</v>
      </c>
      <c r="GQ303" s="58" t="s">
        <v>478</v>
      </c>
      <c r="GS303" s="57"/>
      <c r="GT303" s="57"/>
      <c r="GU303" s="57"/>
      <c r="GV303" s="632"/>
      <c r="GW303" s="57"/>
      <c r="GX303" s="57"/>
      <c r="GY303" s="57"/>
      <c r="GZ303" s="57"/>
    </row>
    <row r="304" spans="1:208" ht="15.6" x14ac:dyDescent="0.3">
      <c r="A304" s="60" t="s">
        <v>68</v>
      </c>
      <c r="B304" s="218"/>
      <c r="C304" s="61" t="str">
        <f>C303</f>
        <v>Bermuda</v>
      </c>
      <c r="D304" s="61"/>
      <c r="E304" s="61"/>
      <c r="F304" s="61"/>
      <c r="G304" s="54"/>
      <c r="H304" s="204">
        <f>IF(StH=0,0,TBFavrundet)</f>
        <v>185.5</v>
      </c>
      <c r="I304" s="63">
        <f>COUNTA(O304:AG304)</f>
        <v>2</v>
      </c>
      <c r="J304" s="222">
        <f>SUM(O304:AG304)</f>
        <v>217</v>
      </c>
      <c r="K304" s="116">
        <f>Seilareal/Depl^0.667/K$7</f>
        <v>2.0805369127516777</v>
      </c>
      <c r="L304" s="116">
        <f>Seilareal/Lwl/Lwl/L$7</f>
        <v>1.679889193261197</v>
      </c>
      <c r="M304" s="92">
        <f>RiggF</f>
        <v>0.96889400921658986</v>
      </c>
      <c r="N304" s="242">
        <f>StHfaktor</f>
        <v>1.0613956754725142</v>
      </c>
      <c r="O304" s="143"/>
      <c r="P304" s="143"/>
      <c r="Q304" s="165">
        <v>82</v>
      </c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65">
        <v>135</v>
      </c>
      <c r="AF304" s="143"/>
      <c r="AG304" s="551"/>
      <c r="AH304" s="557">
        <f t="shared" ref="AH304:AI305" si="2781">AH303</f>
        <v>22.55</v>
      </c>
      <c r="AI304" s="557">
        <f t="shared" si="2781"/>
        <v>22.55</v>
      </c>
      <c r="AJ304" s="337">
        <f t="shared" ref="AJ304:AL305" si="2782" xml:space="preserve"> AJ303</f>
        <v>0</v>
      </c>
      <c r="AK304" s="339"/>
      <c r="AL304" s="337">
        <f t="shared" si="2782"/>
        <v>0</v>
      </c>
      <c r="AM304" s="339"/>
      <c r="AN304" s="267" t="str">
        <f t="shared" ref="AN304:AN305" si="2783" xml:space="preserve"> AN303</f>
        <v>Meter</v>
      </c>
      <c r="AO304" s="45">
        <f>VLOOKUP(AN304,Skrogform!$1:$1048576,3,FALSE)</f>
        <v>1</v>
      </c>
      <c r="AP304" s="64">
        <f t="shared" ref="AP304:AZ304" si="2784">AP303</f>
        <v>20.5</v>
      </c>
      <c r="AQ304" s="64">
        <f t="shared" si="2784"/>
        <v>14</v>
      </c>
      <c r="AR304" s="64">
        <f t="shared" si="2784"/>
        <v>3.1</v>
      </c>
      <c r="AS304" s="64">
        <f t="shared" si="2784"/>
        <v>2.7</v>
      </c>
      <c r="AT304" s="64">
        <f t="shared" ref="AT304" si="2785">AT303</f>
        <v>30</v>
      </c>
      <c r="AU304" s="64">
        <f t="shared" si="2784"/>
        <v>30</v>
      </c>
      <c r="AV304" s="64">
        <f t="shared" si="2784"/>
        <v>15</v>
      </c>
      <c r="AW304" s="64">
        <f t="shared" si="2784"/>
        <v>0</v>
      </c>
      <c r="AX304" s="256">
        <f>AX303</f>
        <v>0</v>
      </c>
      <c r="AY304" s="256">
        <f t="shared" si="2784"/>
        <v>0</v>
      </c>
      <c r="AZ304" s="256">
        <f t="shared" si="2784"/>
        <v>0</v>
      </c>
      <c r="BA304" s="256">
        <f t="shared" ref="BA304:BB304" si="2786">BA303</f>
        <v>0</v>
      </c>
      <c r="BB304" s="256">
        <f t="shared" si="2786"/>
        <v>0</v>
      </c>
      <c r="BC304" s="256"/>
      <c r="BD304" s="66"/>
      <c r="BE304" s="66"/>
      <c r="BF304" s="261"/>
      <c r="BG304" s="66"/>
      <c r="BH304" s="175"/>
      <c r="BI304" s="66"/>
      <c r="BJ304" s="66"/>
      <c r="BK304" s="65">
        <f t="shared" ref="BK304:BM304" si="2787" xml:space="preserve"> BK303</f>
        <v>0</v>
      </c>
      <c r="BL304" s="267">
        <f t="shared" si="2787"/>
        <v>0</v>
      </c>
      <c r="BM304" s="267">
        <f t="shared" si="2787"/>
        <v>0</v>
      </c>
      <c r="BN304" s="45">
        <f t="shared" si="2579"/>
        <v>1</v>
      </c>
      <c r="BO304" s="59"/>
      <c r="BP304" s="59"/>
      <c r="BR304" s="49">
        <f t="shared" ref="BR304:BX305" si="2788">IF(O304=0,0,O304*BR$9)</f>
        <v>0</v>
      </c>
      <c r="BS304" s="49">
        <f t="shared" si="2788"/>
        <v>0</v>
      </c>
      <c r="BT304" s="49">
        <f t="shared" si="2788"/>
        <v>82</v>
      </c>
      <c r="BU304" s="49">
        <f t="shared" si="2788"/>
        <v>0</v>
      </c>
      <c r="BV304" s="49">
        <f t="shared" si="2788"/>
        <v>0</v>
      </c>
      <c r="BW304" s="49">
        <f t="shared" si="2788"/>
        <v>0</v>
      </c>
      <c r="BX304" s="49">
        <f t="shared" si="2788"/>
        <v>0</v>
      </c>
      <c r="BY304" s="549">
        <f>IF(COUNT(Q304:U304)&gt;1,MINA(Q304:U304)*BY$9,0)</f>
        <v>0</v>
      </c>
      <c r="BZ304" s="85">
        <f t="shared" ref="BZ304:CD305" si="2789">IF(V304=0,0,V304*BZ$9)</f>
        <v>0</v>
      </c>
      <c r="CA304" s="85">
        <f t="shared" si="2789"/>
        <v>0</v>
      </c>
      <c r="CB304" s="85">
        <f t="shared" si="2789"/>
        <v>0</v>
      </c>
      <c r="CC304" s="85">
        <f t="shared" si="2789"/>
        <v>0</v>
      </c>
      <c r="CD304" s="85">
        <f t="shared" si="2789"/>
        <v>0</v>
      </c>
      <c r="CE304" s="85">
        <f>IF(AC304=0,0,AC304*CE$9)</f>
        <v>0</v>
      </c>
      <c r="CF304" s="85">
        <f>IF(AA304=0,0,AA304*CF$9)</f>
        <v>0</v>
      </c>
      <c r="CG304" s="85">
        <f>IF(AB304=0,0,AB304*CG$9)</f>
        <v>0</v>
      </c>
      <c r="CH304" s="85">
        <f t="shared" ref="CH304:CK305" si="2790">IF(AD304=0,0,AD304*CH$9)</f>
        <v>0</v>
      </c>
      <c r="CI304" s="85">
        <f t="shared" si="2790"/>
        <v>128.25</v>
      </c>
      <c r="CJ304" s="85">
        <f t="shared" si="2790"/>
        <v>0</v>
      </c>
      <c r="CK304" s="85">
        <f t="shared" si="2790"/>
        <v>0</v>
      </c>
      <c r="CL304" s="100">
        <f>SUM(BR304:CK304)</f>
        <v>210.25</v>
      </c>
      <c r="CM304" s="50"/>
      <c r="CN304" s="104">
        <f>J304</f>
        <v>217</v>
      </c>
      <c r="CO304" s="101">
        <f>CL304/CN304</f>
        <v>0.96889400921658986</v>
      </c>
      <c r="CP304" s="51">
        <f>Seilareal/Lwl/Lwl</f>
        <v>1.1071428571428572</v>
      </c>
      <c r="CQ304" s="116">
        <f>Seilareal/Depl^0.667/K$7</f>
        <v>2.0805369127516777</v>
      </c>
      <c r="CR304" s="51">
        <f>Seilareal/Lwl/Lwl/SApRS1</f>
        <v>1.679889193261197</v>
      </c>
      <c r="CS304" s="204"/>
      <c r="CT304" s="204">
        <f>(ROUND(TBF/CT$6,3)*CT$6)*CT$4</f>
        <v>185.5</v>
      </c>
      <c r="CU304" s="107">
        <f t="shared" si="1267"/>
        <v>1.8571209914262261</v>
      </c>
      <c r="CV304" s="62">
        <f t="shared" si="1297"/>
        <v>4.9420788293579907</v>
      </c>
      <c r="CW304" s="62">
        <f t="shared" si="1268"/>
        <v>2.3589226627916946</v>
      </c>
      <c r="CX304" s="62">
        <f t="shared" si="1298"/>
        <v>1.9343364202676692</v>
      </c>
      <c r="CY304" s="107">
        <f t="shared" si="1269"/>
        <v>1.0613956754725142</v>
      </c>
      <c r="CZ304" s="168" t="str">
        <f t="shared" si="2712"/>
        <v>-</v>
      </c>
      <c r="DA304" s="159">
        <f>DA303</f>
        <v>0</v>
      </c>
      <c r="DB304" s="168">
        <f t="shared" si="2776"/>
        <v>1.7015789473684213</v>
      </c>
      <c r="DC304" s="159">
        <f>DC303</f>
        <v>1.83</v>
      </c>
      <c r="DD304" s="190" t="s">
        <v>134</v>
      </c>
      <c r="DE304" s="62">
        <v>1.53</v>
      </c>
      <c r="DF304" s="62">
        <v>1.26</v>
      </c>
      <c r="DG304" s="62">
        <v>1.48</v>
      </c>
      <c r="DH304" s="150">
        <v>1.53</v>
      </c>
      <c r="DI304" s="62">
        <f t="shared" si="1299"/>
        <v>2.0486068313432377</v>
      </c>
      <c r="DJ304" s="47">
        <f t="shared" si="1300"/>
        <v>14.917127071823206</v>
      </c>
      <c r="DK304" s="48">
        <f t="shared" si="2580"/>
        <v>0</v>
      </c>
      <c r="DM304" s="107">
        <f t="shared" si="2581"/>
        <v>1.7362383073966938</v>
      </c>
      <c r="DN304" s="142">
        <f t="shared" si="2698"/>
        <v>-12.088268402953229</v>
      </c>
      <c r="DO304" s="107">
        <f t="shared" si="2662"/>
        <v>7.2386176919042606</v>
      </c>
      <c r="DP304" s="133">
        <f>IF(SeilBeregnet=0,DP303,(SeilBeregnet^0.5/(Depl^0.3333))^DP$3*DP$7)</f>
        <v>4.6670611154691919</v>
      </c>
      <c r="DQ304" s="133">
        <f>IF(SeilBeregnet=0,DQ303,(SeilBeregnet^0.5/Lwl)^DQ$3*DQ$7)</f>
        <v>0</v>
      </c>
      <c r="DR304" s="133">
        <f>IF(SeilBeregnet=0,DR303,(0.1*Loa/Depl^0.3333)^DR$3*DR$7)</f>
        <v>0</v>
      </c>
      <c r="DS304" s="133">
        <f>IF(SeilBeregnet=0,DS303,((Loa)/Bredde)^DS$3*DS$7)</f>
        <v>2.5715565764350687</v>
      </c>
      <c r="DT304" s="107">
        <f t="shared" ref="DT304:DT305" si="2791">IF(SeilBeregnet=0,DT303,(Lwl)^DT$3)</f>
        <v>1.9343364202676692</v>
      </c>
      <c r="DU304" s="133">
        <f>IF(SeilBeregnet=0,DU303,(Dypg/Loa)^DU$3*5*DU$7)</f>
        <v>1.8145751367274014</v>
      </c>
      <c r="DW304" s="107">
        <f t="shared" ref="DW304:DW305" si="2792">IF(SeilBeregnet=0,"-",Skaleringsfaktor*(1*(LBf+SaDeplf)*Lf*PropF+Strikkf2)+ErfaringsF+Dyp_F)</f>
        <v>1.8571209914262261</v>
      </c>
      <c r="DX304" s="107">
        <f t="shared" si="1301"/>
        <v>1.8559632084798674</v>
      </c>
      <c r="DY304" s="122">
        <f>DX304-DW304</f>
        <v>-1.1577829463587097E-3</v>
      </c>
      <c r="DZ304" s="107">
        <f t="shared" si="1302"/>
        <v>1.8753581548219231</v>
      </c>
      <c r="EA304" s="122">
        <f t="shared" si="2699"/>
        <v>1.8237163395697031E-2</v>
      </c>
      <c r="EB304" s="107">
        <f t="shared" si="2672"/>
        <v>1.8768567752184457</v>
      </c>
      <c r="EC304" s="122">
        <f t="shared" si="2700"/>
        <v>1.973578379221963E-2</v>
      </c>
      <c r="ED304" s="107">
        <f t="shared" ref="ED304:ED305" si="2793">IF(SeilBeregnet=0,ED303,SeilBeregnet^0.5/Depl^0.33333)</f>
        <v>4.6665849318821397</v>
      </c>
      <c r="EE304" s="107">
        <f t="shared" ref="EE304:EE305" si="2794">IF(SeilBeregnet=0,EE303,Lwl^0.3333)</f>
        <v>2.4099302567134409</v>
      </c>
      <c r="EF304" s="107">
        <f t="shared" si="2713"/>
        <v>1.8264775997283047</v>
      </c>
      <c r="EH304" s="107">
        <f t="shared" si="2673"/>
        <v>1.8734360057313315</v>
      </c>
      <c r="EJ304" s="107">
        <f t="shared" ref="EJ304:EJ305" si="2795">IF(SeilBeregnet=0,EJ303,SeilBeregnet^0.5/Depl^0.33333)</f>
        <v>4.6665849318821397</v>
      </c>
      <c r="EK304" s="107">
        <f t="shared" si="2714"/>
        <v>2.4101210625897918</v>
      </c>
      <c r="EL304" s="107">
        <f t="shared" si="2715"/>
        <v>2.2324629077071676</v>
      </c>
      <c r="EM304" s="107">
        <f t="shared" si="2674"/>
        <v>1.8143382470816518</v>
      </c>
      <c r="EO304" s="107">
        <f t="shared" si="2716"/>
        <v>8.5234128453123645</v>
      </c>
      <c r="EP304" s="107">
        <f t="shared" ref="EP304:EP305" si="2796">IF(SeilBeregnet=0,EP303,SeilBeregnet^0.5/Depl^0.33333)</f>
        <v>4.6665849318821397</v>
      </c>
      <c r="EQ304" s="107">
        <f t="shared" si="2717"/>
        <v>1.8264775997283047</v>
      </c>
      <c r="ER304" s="107">
        <f t="shared" si="2718"/>
        <v>1.9343364202676692</v>
      </c>
      <c r="ES304" s="107">
        <f t="shared" si="2585"/>
        <v>1.7632032809626821</v>
      </c>
      <c r="EU304" s="107">
        <f>IF(SeilBeregnet=0,EU303,(EV:EV*EW:EW)^EU$3)</f>
        <v>2.3336614711985191</v>
      </c>
      <c r="EV304" s="107">
        <f t="shared" ref="EV304:EV305" si="2797">IF(SeilBeregnet=0,EV303,SeilBeregnet^0.5/Depl^0.33333)</f>
        <v>4.6665849318821397</v>
      </c>
      <c r="EW304" s="107">
        <f t="shared" si="2719"/>
        <v>1.1670152674066838</v>
      </c>
      <c r="EX304" s="107">
        <f t="shared" si="2720"/>
        <v>1.9984356656002644</v>
      </c>
      <c r="EY304" s="107">
        <f t="shared" si="2586"/>
        <v>1.5682467799768549</v>
      </c>
      <c r="FA304" s="107">
        <f t="shared" si="2587"/>
        <v>2.3337805328849188</v>
      </c>
      <c r="FB304" s="107">
        <f t="shared" ref="FB304:FB305" si="2798">IF(SeilBeregnet=0,FB303,SeilBeregnet^0.5/Depl^0.3333)</f>
        <v>4.6670611154691919</v>
      </c>
      <c r="FC304" s="107">
        <f t="shared" si="2721"/>
        <v>1.1670152674066838</v>
      </c>
      <c r="FD304" s="107">
        <f t="shared" si="2722"/>
        <v>1.9984356656002644</v>
      </c>
      <c r="FE304" s="107">
        <f t="shared" si="2588"/>
        <v>1.9720482614741162</v>
      </c>
      <c r="FF304" s="141">
        <f t="shared" si="2701"/>
        <v>11.492727004789005</v>
      </c>
      <c r="FG304" s="107">
        <f t="shared" si="2590"/>
        <v>6.3561855032225232</v>
      </c>
      <c r="FH304" s="133">
        <f t="shared" si="2723"/>
        <v>4.6670611154691919</v>
      </c>
      <c r="FI304" s="133">
        <f t="shared" si="2724"/>
        <v>1.3619246343602935</v>
      </c>
      <c r="FJ304" s="107">
        <f t="shared" si="2725"/>
        <v>1.12380296050131</v>
      </c>
      <c r="FK304" s="107">
        <f t="shared" si="2591"/>
        <v>1.7895426450195362</v>
      </c>
      <c r="FL304" s="141">
        <f t="shared" si="2702"/>
        <v>-6.7578346406689915</v>
      </c>
      <c r="FM304" s="107">
        <f t="shared" si="2593"/>
        <v>7.7743319776185462</v>
      </c>
      <c r="FN304" s="133">
        <f t="shared" si="2726"/>
        <v>4.6670611154691919</v>
      </c>
      <c r="FO304" s="133">
        <f>IF(SeilBeregnet=0,FO303,(SeilBeregnet^0.5/Lwl*FO$7)^FO$3)</f>
        <v>1.0357142857142858</v>
      </c>
      <c r="FP304" s="133">
        <f>IF(SeilBeregnet=0,FP303,((Loa)/Bredde)^FP$3*FP$7)</f>
        <v>2.5715565764350687</v>
      </c>
      <c r="FQ304" s="107">
        <f t="shared" si="2727"/>
        <v>1.9343364202676692</v>
      </c>
      <c r="FR304" s="107">
        <f t="shared" si="2594"/>
        <v>1.9809600193433472</v>
      </c>
      <c r="FS304" s="141">
        <f t="shared" si="2703"/>
        <v>12.38390279171211</v>
      </c>
      <c r="FT304" s="107">
        <f t="shared" si="2596"/>
        <v>12.001611704109187</v>
      </c>
      <c r="FU304" s="133">
        <f t="shared" si="2728"/>
        <v>4.6670611154691919</v>
      </c>
      <c r="FV304" s="133">
        <f t="shared" si="2729"/>
        <v>2.5715565764350687</v>
      </c>
      <c r="FW304" s="107">
        <f t="shared" si="2730"/>
        <v>1.9343364202676692</v>
      </c>
      <c r="FY304" s="336">
        <v>1</v>
      </c>
      <c r="FZ304" s="62">
        <f t="shared" si="2663"/>
        <v>1.6378072335951841</v>
      </c>
      <c r="GA304" s="62">
        <f t="shared" si="1303"/>
        <v>1.8145751367274014</v>
      </c>
      <c r="GB304" s="107">
        <f t="shared" si="1640"/>
        <v>1.653785984973694</v>
      </c>
      <c r="GC304" s="440"/>
      <c r="GD304" s="17"/>
      <c r="GE304" s="442"/>
      <c r="GF304" s="462"/>
      <c r="GG304" s="17"/>
      <c r="GH304" s="17"/>
      <c r="GI304" s="17"/>
      <c r="GJ304" s="17"/>
      <c r="GL304" s="17"/>
      <c r="GM304" s="442"/>
      <c r="GN304" s="8"/>
      <c r="GO304" s="8"/>
      <c r="GP304" s="8"/>
      <c r="GQ304" s="8"/>
      <c r="GS304" s="17"/>
      <c r="GT304" s="17"/>
      <c r="GU304" s="17"/>
      <c r="GV304" s="629"/>
      <c r="GW304" s="17"/>
      <c r="GX304" s="17"/>
      <c r="GY304" s="17"/>
      <c r="GZ304" s="17"/>
    </row>
    <row r="305" spans="1:209" ht="15.6" x14ac:dyDescent="0.3">
      <c r="A305" s="60" t="s">
        <v>232</v>
      </c>
      <c r="B305" s="218"/>
      <c r="C305" s="14" t="str">
        <f>C303</f>
        <v>Bermuda</v>
      </c>
      <c r="G305" s="54"/>
      <c r="H305" s="204">
        <f>TBFavrundet</f>
        <v>179.5</v>
      </c>
      <c r="I305" s="63">
        <f>COUNTA(O305:AG305)</f>
        <v>2</v>
      </c>
      <c r="J305" s="222">
        <f>SUM(O305:AG305)</f>
        <v>197</v>
      </c>
      <c r="K305" s="116">
        <f>Seilareal/Depl^0.667/K$7</f>
        <v>1.8887823585810164</v>
      </c>
      <c r="L305" s="116">
        <f>Seilareal/Lwl/Lwl/L$7</f>
        <v>1.5250606961864321</v>
      </c>
      <c r="M305" s="92">
        <f>RiggF</f>
        <v>0.96827411167512689</v>
      </c>
      <c r="N305" s="242">
        <f>StHfaktor</f>
        <v>1.0613956754725142</v>
      </c>
      <c r="O305" s="143"/>
      <c r="P305" s="143"/>
      <c r="Q305" s="143"/>
      <c r="R305" s="143"/>
      <c r="S305" s="143"/>
      <c r="T305" s="143"/>
      <c r="U305" s="165">
        <v>72</v>
      </c>
      <c r="V305" s="559"/>
      <c r="W305" s="559"/>
      <c r="X305" s="143"/>
      <c r="Y305" s="143"/>
      <c r="Z305" s="143"/>
      <c r="AA305" s="143"/>
      <c r="AB305" s="143"/>
      <c r="AC305" s="143"/>
      <c r="AD305" s="143"/>
      <c r="AE305" s="177">
        <v>125</v>
      </c>
      <c r="AF305" s="143"/>
      <c r="AG305" s="551"/>
      <c r="AH305" s="557">
        <f t="shared" si="2781"/>
        <v>22.55</v>
      </c>
      <c r="AI305" s="557">
        <f t="shared" si="2781"/>
        <v>22.55</v>
      </c>
      <c r="AJ305" s="337">
        <f t="shared" si="2782"/>
        <v>0</v>
      </c>
      <c r="AK305" s="339"/>
      <c r="AL305" s="337">
        <f t="shared" si="2782"/>
        <v>0</v>
      </c>
      <c r="AM305" s="339"/>
      <c r="AN305" s="267" t="str">
        <f t="shared" si="2783"/>
        <v>Meter</v>
      </c>
      <c r="AO305" s="45">
        <f>VLOOKUP(AN305,Skrogform!$1:$1048576,3,FALSE)</f>
        <v>1</v>
      </c>
      <c r="AP305" s="64">
        <f t="shared" ref="AP305:AZ305" si="2799">AP304</f>
        <v>20.5</v>
      </c>
      <c r="AQ305" s="64">
        <f t="shared" si="2799"/>
        <v>14</v>
      </c>
      <c r="AR305" s="64">
        <f t="shared" si="2799"/>
        <v>3.1</v>
      </c>
      <c r="AS305" s="64">
        <f t="shared" si="2799"/>
        <v>2.7</v>
      </c>
      <c r="AT305" s="64">
        <f t="shared" ref="AT305" si="2800">AT304</f>
        <v>30</v>
      </c>
      <c r="AU305" s="64">
        <f t="shared" si="2799"/>
        <v>30</v>
      </c>
      <c r="AV305" s="64">
        <f t="shared" si="2799"/>
        <v>15</v>
      </c>
      <c r="AW305" s="64">
        <f t="shared" si="2799"/>
        <v>0</v>
      </c>
      <c r="AX305" s="256">
        <f>AX304</f>
        <v>0</v>
      </c>
      <c r="AY305" s="256">
        <f t="shared" si="2799"/>
        <v>0</v>
      </c>
      <c r="AZ305" s="256">
        <f t="shared" si="2799"/>
        <v>0</v>
      </c>
      <c r="BA305" s="256">
        <f t="shared" ref="BA305:BB305" si="2801">BA304</f>
        <v>0</v>
      </c>
      <c r="BB305" s="256">
        <f t="shared" si="2801"/>
        <v>0</v>
      </c>
      <c r="BC305" s="256"/>
      <c r="BD305" s="66"/>
      <c r="BE305" s="66"/>
      <c r="BF305" s="261"/>
      <c r="BG305" s="66"/>
      <c r="BH305" s="175"/>
      <c r="BI305" s="66"/>
      <c r="BJ305" s="66"/>
      <c r="BK305" s="65">
        <f t="shared" ref="BK305:BM305" si="2802" xml:space="preserve"> BK304</f>
        <v>0</v>
      </c>
      <c r="BL305" s="267">
        <f t="shared" si="2802"/>
        <v>0</v>
      </c>
      <c r="BM305" s="267">
        <f t="shared" si="2802"/>
        <v>0</v>
      </c>
      <c r="BN305" s="45">
        <f t="shared" si="2579"/>
        <v>1</v>
      </c>
      <c r="BO305" s="59"/>
      <c r="BP305" s="59"/>
      <c r="BR305" s="49">
        <f t="shared" si="2788"/>
        <v>0</v>
      </c>
      <c r="BS305" s="49">
        <f t="shared" si="2788"/>
        <v>0</v>
      </c>
      <c r="BT305" s="49">
        <f t="shared" si="2788"/>
        <v>0</v>
      </c>
      <c r="BU305" s="49">
        <f t="shared" si="2788"/>
        <v>0</v>
      </c>
      <c r="BV305" s="49">
        <f t="shared" si="2788"/>
        <v>0</v>
      </c>
      <c r="BW305" s="49">
        <f t="shared" si="2788"/>
        <v>0</v>
      </c>
      <c r="BX305" s="49">
        <f t="shared" si="2788"/>
        <v>72</v>
      </c>
      <c r="BY305" s="549">
        <f>IF(COUNT(Q305:U305)&gt;1,MINA(Q305:U305)*BY$9,0)</f>
        <v>0</v>
      </c>
      <c r="BZ305" s="85">
        <f t="shared" si="2789"/>
        <v>0</v>
      </c>
      <c r="CA305" s="85">
        <f t="shared" si="2789"/>
        <v>0</v>
      </c>
      <c r="CB305" s="85">
        <f t="shared" si="2789"/>
        <v>0</v>
      </c>
      <c r="CC305" s="85">
        <f t="shared" si="2789"/>
        <v>0</v>
      </c>
      <c r="CD305" s="85">
        <f t="shared" si="2789"/>
        <v>0</v>
      </c>
      <c r="CE305" s="85">
        <f>IF(AC305=0,0,AC305*CE$9)</f>
        <v>0</v>
      </c>
      <c r="CF305" s="85">
        <f>IF(AA305=0,0,AA305*CF$9)</f>
        <v>0</v>
      </c>
      <c r="CG305" s="85">
        <f>IF(AB305=0,0,AB305*CG$9)</f>
        <v>0</v>
      </c>
      <c r="CH305" s="85">
        <f t="shared" si="2790"/>
        <v>0</v>
      </c>
      <c r="CI305" s="85">
        <f t="shared" si="2790"/>
        <v>118.75</v>
      </c>
      <c r="CJ305" s="85">
        <f t="shared" si="2790"/>
        <v>0</v>
      </c>
      <c r="CK305" s="85">
        <f t="shared" si="2790"/>
        <v>0</v>
      </c>
      <c r="CL305" s="100">
        <f>SUM(BR305:CK305)</f>
        <v>190.75</v>
      </c>
      <c r="CM305" s="50"/>
      <c r="CN305" s="104">
        <f>J305</f>
        <v>197</v>
      </c>
      <c r="CO305" s="101">
        <f>CL305/CN305</f>
        <v>0.96827411167512689</v>
      </c>
      <c r="CP305" s="51">
        <f>Seilareal/Lwl/Lwl</f>
        <v>1.0051020408163265</v>
      </c>
      <c r="CQ305" s="116">
        <f>Seilareal/Depl^0.667/K$7</f>
        <v>1.8887823585810164</v>
      </c>
      <c r="CR305" s="51">
        <f>Seilareal/Lwl/Lwl/SApRS1</f>
        <v>1.5250606961864321</v>
      </c>
      <c r="CS305" s="204"/>
      <c r="CT305" s="204">
        <f>(ROUND(TBF/CT$6,3)*CT$6)*CT$4</f>
        <v>179.5</v>
      </c>
      <c r="CU305" s="107">
        <f t="shared" si="1267"/>
        <v>1.7974071043582835</v>
      </c>
      <c r="CV305" s="62">
        <f t="shared" si="1297"/>
        <v>4.7073223538252416</v>
      </c>
      <c r="CW305" s="62">
        <f t="shared" si="1268"/>
        <v>2.3589226627916946</v>
      </c>
      <c r="CX305" s="62">
        <f t="shared" si="1298"/>
        <v>1.9343364202676692</v>
      </c>
      <c r="CY305" s="107">
        <f t="shared" si="1269"/>
        <v>1.0613956754725142</v>
      </c>
      <c r="CZ305" s="168" t="str">
        <f t="shared" si="2712"/>
        <v>-</v>
      </c>
      <c r="DA305" s="158"/>
      <c r="DB305" s="168" t="str">
        <f t="shared" si="2776"/>
        <v>-</v>
      </c>
      <c r="DC305" s="160"/>
      <c r="DD305" s="190" t="s">
        <v>134</v>
      </c>
      <c r="DE305" s="62">
        <v>1.48</v>
      </c>
      <c r="DF305" s="62">
        <v>1.23</v>
      </c>
      <c r="DG305" s="62">
        <v>1.43</v>
      </c>
      <c r="DH305" s="150">
        <v>1.48</v>
      </c>
      <c r="DI305" s="62">
        <f t="shared" si="1299"/>
        <v>2.0486068313432377</v>
      </c>
      <c r="DJ305" s="47">
        <f t="shared" si="1300"/>
        <v>14.917127071823206</v>
      </c>
      <c r="DK305" s="48">
        <f t="shared" si="2580"/>
        <v>0</v>
      </c>
      <c r="DM305" s="107">
        <f t="shared" si="2581"/>
        <v>1.6830636017604679</v>
      </c>
      <c r="DN305" s="141" t="str">
        <f t="shared" si="2698"/>
        <v>-</v>
      </c>
      <c r="DO305" s="107">
        <f t="shared" si="2662"/>
        <v>7.0169249880050355</v>
      </c>
      <c r="DP305" s="133">
        <f>IF(SeilBeregnet=0,DP304,(SeilBeregnet^0.5/(Depl^0.3333))^DP$3*DP$7)</f>
        <v>4.4453684115699668</v>
      </c>
      <c r="DQ305" s="133">
        <f>IF(SeilBeregnet=0,DQ304,(SeilBeregnet^0.5/Lwl)^DQ$3*DQ$7)</f>
        <v>0</v>
      </c>
      <c r="DR305" s="133">
        <f>IF(SeilBeregnet=0,DR304,(0.1*Loa/Depl^0.3333)^DR$3*DR$7)</f>
        <v>0</v>
      </c>
      <c r="DS305" s="133">
        <f>IF(SeilBeregnet=0,DS304,((Loa)/Bredde)^DS$3*DS$7)</f>
        <v>2.5715565764350687</v>
      </c>
      <c r="DT305" s="107">
        <f t="shared" si="2791"/>
        <v>1.9343364202676692</v>
      </c>
      <c r="DU305" s="133">
        <f>IF(SeilBeregnet=0,DU304,(Dypg/Loa)^DU$3*5*DU$7)</f>
        <v>1.8145751367274014</v>
      </c>
      <c r="DW305" s="107">
        <f t="shared" si="2792"/>
        <v>1.7974071043582835</v>
      </c>
      <c r="DX305" s="107">
        <f t="shared" si="1301"/>
        <v>1.7794049135750605</v>
      </c>
      <c r="DZ305" s="107">
        <f t="shared" si="1302"/>
        <v>1.8059191950171605</v>
      </c>
      <c r="EA305" s="122" t="str">
        <f t="shared" si="2699"/>
        <v>-</v>
      </c>
      <c r="EB305" s="107">
        <f t="shared" si="2672"/>
        <v>1.8009981728564444</v>
      </c>
      <c r="EC305" s="122" t="str">
        <f t="shared" si="2700"/>
        <v>-</v>
      </c>
      <c r="ED305" s="107">
        <f t="shared" si="2793"/>
        <v>4.4449148474482172</v>
      </c>
      <c r="EE305" s="107">
        <f t="shared" si="2794"/>
        <v>2.4099302567134409</v>
      </c>
      <c r="EF305" s="107">
        <f t="shared" si="2713"/>
        <v>1.8264775997283047</v>
      </c>
      <c r="EH305" s="107">
        <f t="shared" si="2673"/>
        <v>1.8016088341341983</v>
      </c>
      <c r="EJ305" s="107">
        <f t="shared" si="2795"/>
        <v>4.4449148474482172</v>
      </c>
      <c r="EK305" s="107">
        <f t="shared" si="2714"/>
        <v>2.4101210625897918</v>
      </c>
      <c r="EL305" s="107">
        <f t="shared" si="2715"/>
        <v>2.2324629077071676</v>
      </c>
      <c r="EM305" s="107">
        <f t="shared" si="2674"/>
        <v>1.7445338011576119</v>
      </c>
      <c r="EO305" s="107">
        <f t="shared" si="2716"/>
        <v>8.1185374015639233</v>
      </c>
      <c r="EP305" s="107">
        <f t="shared" si="2796"/>
        <v>4.4449148474482172</v>
      </c>
      <c r="EQ305" s="107">
        <f t="shared" si="2717"/>
        <v>1.8264775997283047</v>
      </c>
      <c r="ER305" s="107">
        <f t="shared" si="2718"/>
        <v>1.9343364202676692</v>
      </c>
      <c r="ES305" s="107">
        <f t="shared" si="2585"/>
        <v>1.7092583319069745</v>
      </c>
      <c r="EU305" s="107">
        <f>IF(SeilBeregnet=0,EU304,(EV:EV*EW:EW)^EU$3)</f>
        <v>2.2775608640154319</v>
      </c>
      <c r="EV305" s="107">
        <f t="shared" si="2797"/>
        <v>4.4449148474482172</v>
      </c>
      <c r="EW305" s="107">
        <f t="shared" si="2719"/>
        <v>1.1670152674066838</v>
      </c>
      <c r="EX305" s="107">
        <f t="shared" si="2720"/>
        <v>1.9984356656002644</v>
      </c>
      <c r="EY305" s="107">
        <f t="shared" si="2586"/>
        <v>1.5305465403939309</v>
      </c>
      <c r="FA305" s="107">
        <f t="shared" si="2587"/>
        <v>2.2776770634902461</v>
      </c>
      <c r="FB305" s="107">
        <f t="shared" si="2798"/>
        <v>4.4453684115699668</v>
      </c>
      <c r="FC305" s="107">
        <f t="shared" si="2721"/>
        <v>1.1670152674066838</v>
      </c>
      <c r="FD305" s="107">
        <f t="shared" si="2722"/>
        <v>1.9984356656002644</v>
      </c>
      <c r="FE305" s="107">
        <f t="shared" si="2588"/>
        <v>1.9007934915121278</v>
      </c>
      <c r="FF305" s="141" t="str">
        <f t="shared" si="2701"/>
        <v>-</v>
      </c>
      <c r="FG305" s="107">
        <f t="shared" si="2590"/>
        <v>6.0542567485242262</v>
      </c>
      <c r="FH305" s="133">
        <f t="shared" si="2723"/>
        <v>4.4453684115699668</v>
      </c>
      <c r="FI305" s="133">
        <f t="shared" si="2724"/>
        <v>1.3619246343602935</v>
      </c>
      <c r="FJ305" s="107">
        <f t="shared" si="2725"/>
        <v>1.12380296050131</v>
      </c>
      <c r="FK305" s="107">
        <f t="shared" si="2591"/>
        <v>1.7271873770074051</v>
      </c>
      <c r="FL305" s="141" t="str">
        <f t="shared" si="2702"/>
        <v>-</v>
      </c>
      <c r="FM305" s="107">
        <f t="shared" si="2593"/>
        <v>7.5034412249288316</v>
      </c>
      <c r="FN305" s="133">
        <f t="shared" si="2726"/>
        <v>4.4453684115699668</v>
      </c>
      <c r="FO305" s="133">
        <f>IF(SeilBeregnet=0,FO304,(SeilBeregnet^0.5/Lwl*FO$7)^FO$3)</f>
        <v>0.9865162369237952</v>
      </c>
      <c r="FP305" s="133">
        <f>IF(SeilBeregnet=0,FP304,((Loa)/Bredde)^FP$3*FP$7)</f>
        <v>2.5715565764350687</v>
      </c>
      <c r="FQ305" s="107">
        <f t="shared" si="2727"/>
        <v>1.9343364202676692</v>
      </c>
      <c r="FR305" s="107">
        <f t="shared" si="2594"/>
        <v>1.9103836250316901</v>
      </c>
      <c r="FS305" s="141" t="str">
        <f t="shared" si="2703"/>
        <v>-</v>
      </c>
      <c r="FT305" s="107">
        <f t="shared" si="2596"/>
        <v>11.431516373449464</v>
      </c>
      <c r="FU305" s="133">
        <f t="shared" si="2728"/>
        <v>4.4453684115699668</v>
      </c>
      <c r="FV305" s="133">
        <f t="shared" si="2729"/>
        <v>2.5715565764350687</v>
      </c>
      <c r="FW305" s="107">
        <f t="shared" si="2730"/>
        <v>1.9343364202676692</v>
      </c>
      <c r="FY305" s="336">
        <v>1</v>
      </c>
      <c r="FZ305" s="62">
        <f t="shared" si="2663"/>
        <v>1.5977031534912953</v>
      </c>
      <c r="GA305" s="62">
        <f t="shared" si="1303"/>
        <v>1.8145751367274014</v>
      </c>
      <c r="GB305" s="107">
        <f t="shared" si="1640"/>
        <v>1.6271742547613419</v>
      </c>
      <c r="GC305" s="440"/>
      <c r="GD305" s="17"/>
      <c r="GE305" s="442"/>
      <c r="GF305" s="462"/>
      <c r="GG305" s="17"/>
      <c r="GH305" s="17"/>
      <c r="GI305" s="17"/>
      <c r="GJ305" s="17"/>
      <c r="GL305" s="17"/>
      <c r="GM305" s="442"/>
      <c r="GN305" s="8"/>
      <c r="GO305" s="8"/>
      <c r="GP305" s="8"/>
      <c r="GQ305" s="8"/>
      <c r="GS305" s="17"/>
      <c r="GT305" s="17"/>
      <c r="GU305" s="17"/>
      <c r="GV305" s="629"/>
      <c r="GW305" s="17"/>
      <c r="GX305" s="17"/>
      <c r="GY305" s="17"/>
      <c r="GZ305" s="17"/>
    </row>
    <row r="306" spans="1:209" ht="15.6" x14ac:dyDescent="0.3">
      <c r="A306" s="52" t="s">
        <v>51</v>
      </c>
      <c r="B306" s="218">
        <f t="shared" ref="B306" si="2803">Loa/0.3048</f>
        <v>82.020997375328079</v>
      </c>
      <c r="C306" s="53" t="s">
        <v>19</v>
      </c>
      <c r="D306" s="53"/>
      <c r="E306" s="53"/>
      <c r="F306" s="53"/>
      <c r="G306" s="54"/>
      <c r="H306" s="112">
        <f>J307</f>
        <v>299</v>
      </c>
      <c r="I306" s="601">
        <f>H307/100</f>
        <v>1.44</v>
      </c>
      <c r="J306" s="651">
        <f>IF(DC307=0,"-",DC307)</f>
        <v>1.35</v>
      </c>
      <c r="K306" s="123" t="str">
        <f>A306</f>
        <v>Eileen II</v>
      </c>
      <c r="L306" s="116"/>
      <c r="M306" s="116"/>
      <c r="N306" s="92"/>
      <c r="O306" s="165">
        <v>25</v>
      </c>
      <c r="P306" s="165"/>
      <c r="Q306" s="165"/>
      <c r="R306" s="165">
        <v>48</v>
      </c>
      <c r="S306" s="165"/>
      <c r="T306" s="165"/>
      <c r="U306" s="165">
        <v>31</v>
      </c>
      <c r="V306" s="559"/>
      <c r="W306" s="559"/>
      <c r="X306" s="165">
        <v>107</v>
      </c>
      <c r="Y306" s="165"/>
      <c r="Z306" s="165"/>
      <c r="AA306" s="165">
        <v>26</v>
      </c>
      <c r="AB306" s="165">
        <v>20</v>
      </c>
      <c r="AC306" s="165">
        <v>51</v>
      </c>
      <c r="AD306" s="165">
        <v>11</v>
      </c>
      <c r="AE306" s="165"/>
      <c r="AF306" s="165"/>
      <c r="AG306" s="552"/>
      <c r="AH306" s="244"/>
      <c r="AI306" s="244">
        <v>17.8</v>
      </c>
      <c r="AJ306" s="554"/>
      <c r="AK306" s="339"/>
      <c r="AL306" s="268"/>
      <c r="AM306" s="339"/>
      <c r="AN306" s="268" t="s">
        <v>214</v>
      </c>
      <c r="AO306" s="45">
        <f>VLOOKUP(AN306,Skrogform!$1:$1048576,3,FALSE)</f>
        <v>1</v>
      </c>
      <c r="AP306" s="55">
        <v>25</v>
      </c>
      <c r="AQ306" s="55">
        <v>18.5</v>
      </c>
      <c r="AR306" s="55">
        <v>5.3</v>
      </c>
      <c r="AS306" s="55">
        <v>3.45</v>
      </c>
      <c r="AT306" s="637">
        <f>AU306</f>
        <v>70</v>
      </c>
      <c r="AU306" s="55">
        <v>70</v>
      </c>
      <c r="AV306" s="55">
        <v>25</v>
      </c>
      <c r="AW306" s="55"/>
      <c r="AX306" s="253"/>
      <c r="AY306" s="253">
        <v>284</v>
      </c>
      <c r="AZ306" s="253">
        <v>1000</v>
      </c>
      <c r="BA306" s="253"/>
      <c r="BB306" s="253"/>
      <c r="BC306" s="244">
        <f>Depl+Diesel/1000*0.84+Vann/1000</f>
        <v>70</v>
      </c>
      <c r="BD306" s="95">
        <f>Bredde/(Loa+Lwl)*2</f>
        <v>0.24367816091954023</v>
      </c>
      <c r="BE306" s="95">
        <f>(Kjøl+Ballast)/Depl</f>
        <v>0.35714285714285715</v>
      </c>
      <c r="BF306" s="260">
        <f>BF$7*((Depl-Kjøl-Ballast-VektMotor/1000-VektAnnet/1000)/Lwl/Lwl/Bredde)</f>
        <v>0.91540435413642984</v>
      </c>
      <c r="BG306" s="95">
        <f>BG$7*(Depl/Loa/Lwl/Lwl)</f>
        <v>0.60204479999999982</v>
      </c>
      <c r="BH306" s="174">
        <f>BH$7*(Depl/Loa/Lwl/Bredde)</f>
        <v>0.77677811320754708</v>
      </c>
      <c r="BI306" s="95">
        <f>BI$7*Bredde/(Loa+Lwl)*2</f>
        <v>0.6951378074403658</v>
      </c>
      <c r="BJ306" s="95">
        <f>BJ$7*(Dypg/Lwl)</f>
        <v>1.02</v>
      </c>
      <c r="BK306" s="56" t="s">
        <v>39</v>
      </c>
      <c r="BL306" s="268">
        <v>5</v>
      </c>
      <c r="BM306" s="268">
        <v>81</v>
      </c>
      <c r="BN306" s="45">
        <f t="shared" si="2579"/>
        <v>0.97805547321272501</v>
      </c>
      <c r="BO306" s="59"/>
      <c r="BP306" s="59"/>
      <c r="BR306" s="209"/>
      <c r="BS306" s="209"/>
      <c r="BT306" s="209" t="str">
        <f>$A306</f>
        <v>Eileen II</v>
      </c>
      <c r="BU306" s="10"/>
      <c r="BV306" s="10"/>
      <c r="BW306" s="10"/>
      <c r="BX306" s="10"/>
      <c r="BY306" s="549"/>
      <c r="BZ306" s="10"/>
      <c r="CA306" s="10"/>
      <c r="CB306" s="209" t="str">
        <f>$A306</f>
        <v>Eileen II</v>
      </c>
      <c r="CC306" s="10"/>
      <c r="CD306" s="10"/>
      <c r="CE306" s="10"/>
      <c r="CF306" s="10"/>
      <c r="CG306" s="10"/>
      <c r="CH306" s="10"/>
      <c r="CI306" s="10"/>
      <c r="CJ306" s="10"/>
      <c r="CK306" s="10"/>
      <c r="CL306" s="209"/>
      <c r="CM306" s="10"/>
      <c r="CN306" s="209" t="str">
        <f>$A306</f>
        <v>Eileen II</v>
      </c>
      <c r="CO306" s="207"/>
      <c r="CP306" s="207"/>
      <c r="CQ306" s="116"/>
      <c r="CR306" s="207"/>
      <c r="CS306" s="203"/>
      <c r="CT306" s="203" t="s">
        <v>23</v>
      </c>
      <c r="CU306" s="107" t="str">
        <f t="shared" si="1267"/>
        <v>-</v>
      </c>
      <c r="CV306" s="62" t="str">
        <f t="shared" si="1297"/>
        <v>-</v>
      </c>
      <c r="CW306" s="62" t="str">
        <f t="shared" si="1268"/>
        <v>-</v>
      </c>
      <c r="CX306" s="62" t="str">
        <f t="shared" si="1298"/>
        <v>-</v>
      </c>
      <c r="CY306" s="107" t="str">
        <f t="shared" si="1269"/>
        <v>-</v>
      </c>
      <c r="CZ306" s="168">
        <f t="shared" ref="CZ306:CZ311" si="2804">IF(DA306=0,"-",IF(CP306="TBF","-",CZ$7*DA306))</f>
        <v>1.4715294117647058</v>
      </c>
      <c r="DA306" s="158">
        <v>1.18</v>
      </c>
      <c r="DB306" s="168" t="str">
        <f t="shared" ref="DB306:DB311" si="2805">IF(DC306=0,"-",IF(CT306="TBF","-",DB$7*DC306))</f>
        <v>-</v>
      </c>
      <c r="DC306" s="160">
        <v>1.35</v>
      </c>
      <c r="DD306" s="190" t="s">
        <v>134</v>
      </c>
      <c r="DE306" s="29" t="s">
        <v>23</v>
      </c>
      <c r="DF306" s="29" t="s">
        <v>23</v>
      </c>
      <c r="DG306" s="29" t="s">
        <v>23</v>
      </c>
      <c r="DH306" s="149">
        <v>2022</v>
      </c>
      <c r="DI306" s="62" t="str">
        <f t="shared" si="1299"/>
        <v>-</v>
      </c>
      <c r="DJ306" s="47">
        <f t="shared" si="1300"/>
        <v>13.911290322580646</v>
      </c>
      <c r="DK306" s="167"/>
      <c r="DM306" s="107" t="str">
        <f t="shared" si="2581"/>
        <v>-</v>
      </c>
      <c r="DN306" s="141" t="str">
        <f t="shared" ref="DN306:DN311" si="2806">IF($DY306=0,"-",(DM306-$DW306)*100)</f>
        <v>-</v>
      </c>
      <c r="DO306" s="107" t="e">
        <f t="shared" ref="DO306:DO311" si="2807">SUM(DP306:DS306)^DO$3+DO$7</f>
        <v>#REF!</v>
      </c>
      <c r="DP306" s="133" t="e">
        <f>IF(SeilBeregnet=0,#REF!,(SeilBeregnet^0.5/(Depl^0.3333))^DP$3*DP$7)</f>
        <v>#REF!</v>
      </c>
      <c r="DQ306" s="133" t="e">
        <f>IF(SeilBeregnet=0,#REF!,(SeilBeregnet^0.5/Lwl)^DQ$3*DQ$7)</f>
        <v>#REF!</v>
      </c>
      <c r="DR306" s="133" t="e">
        <f>IF(SeilBeregnet=0,#REF!,(0.1*Loa/Depl^0.3333)^DR$3*DR$7)</f>
        <v>#REF!</v>
      </c>
      <c r="DS306" s="133" t="e">
        <f>IF(SeilBeregnet=0,#REF!,((Loa)/Bredde)^DS$3*DS$7)</f>
        <v>#REF!</v>
      </c>
      <c r="DT306" s="107" t="e">
        <f>IF(SeilBeregnet=0,#REF!,(Lwl)^DT$3)</f>
        <v>#REF!</v>
      </c>
      <c r="DU306" s="133" t="e">
        <f>IF(SeilBeregnet=0,#REF!,(Dypg/Loa)^DU$3*5*DU$7)</f>
        <v>#REF!</v>
      </c>
      <c r="DW306" s="107" t="str">
        <f t="shared" si="512"/>
        <v>-</v>
      </c>
      <c r="DX306" s="107" t="str">
        <f t="shared" si="1301"/>
        <v>-</v>
      </c>
      <c r="DZ306" s="107" t="str">
        <f t="shared" si="1302"/>
        <v>-</v>
      </c>
      <c r="EA306" s="122" t="str">
        <f t="shared" ref="EA306:EA311" si="2808">IF($DY306=0,"-",DZ306-$DW306)</f>
        <v>-</v>
      </c>
      <c r="EB306" s="107" t="str">
        <f t="shared" ref="EB306:EB311" si="2809">IF(SeilBeregnet=0,"-",EB$7*(EB$4*ED306*EE306*EF306*PropF+EB$6)+ErfaringsF+Dyp_F)</f>
        <v>-</v>
      </c>
      <c r="EC306" s="122" t="str">
        <f t="shared" ref="EC306:EC311" si="2810">IF($DY306=0,"-",EB306-$DW306)</f>
        <v>-</v>
      </c>
      <c r="ED306" s="107" t="e">
        <f>IF(SeilBeregnet=0,#REF!,SeilBeregnet^0.5/Depl^0.33333)</f>
        <v>#REF!</v>
      </c>
      <c r="EE306" s="107" t="e">
        <f>IF(SeilBeregnet=0,#REF!,Lwl^0.3333)</f>
        <v>#REF!</v>
      </c>
      <c r="EF306" s="107" t="e">
        <f>IF(SeilBeregnet=0,#REF!,((Loa+Lwl)/Bredde)^EF$3)</f>
        <v>#REF!</v>
      </c>
      <c r="EH306" s="107" t="str">
        <f t="shared" ref="EH306:EH311" si="2811">IF(SeilBeregnet=0,"-",EH$7*(EH$4*EJ306*EK306*EL306*PropF+EH$6)+ErfaringsF+Dyp_F)</f>
        <v>-</v>
      </c>
      <c r="EJ306" s="107" t="e">
        <f>IF(SeilBeregnet=0,#REF!,SeilBeregnet^0.5/Depl^0.33333)</f>
        <v>#REF!</v>
      </c>
      <c r="EK306" s="107" t="e">
        <f>IF(SeilBeregnet=0,#REF!,Lwl^EK$3)</f>
        <v>#REF!</v>
      </c>
      <c r="EL306" s="107" t="e">
        <f>IF(SeilBeregnet=0,#REF!,((Loa+Lwl)/Bredde)^EL$3)</f>
        <v>#REF!</v>
      </c>
      <c r="EM306" s="107" t="str">
        <f t="shared" ref="EM306:EM311" si="2812">IF(SeilBeregnet=0,"-",EM$7*(EM$4*EO306+EM$6)*ER306*PropF+ErfaringsF+Dyp_F)</f>
        <v>-</v>
      </c>
      <c r="EO306" s="107" t="e">
        <f>IF(SeilBeregnet=0,#REF!,(EP306*EQ306)^EO$3)</f>
        <v>#REF!</v>
      </c>
      <c r="EP306" s="107" t="e">
        <f>IF(SeilBeregnet=0,#REF!,SeilBeregnet^0.5/Depl^0.33333)</f>
        <v>#REF!</v>
      </c>
      <c r="EQ306" s="107" t="e">
        <f>IF(SeilBeregnet=0,#REF!,((Loa+Lwl)/Bredde)^EQ$3)</f>
        <v>#REF!</v>
      </c>
      <c r="ER306" s="107" t="e">
        <f>IF(SeilBeregnet=0,#REF!,Lwl^ER$3)</f>
        <v>#REF!</v>
      </c>
      <c r="ES306" s="107" t="str">
        <f t="shared" si="2585"/>
        <v>-</v>
      </c>
      <c r="EU306" s="107" t="e">
        <f>IF(SeilBeregnet=0,#REF!,(EV:EV*EW:EW)^EU$3)</f>
        <v>#REF!</v>
      </c>
      <c r="EV306" s="107" t="e">
        <f>IF(SeilBeregnet=0,#REF!,SeilBeregnet^0.5/Depl^0.33333)</f>
        <v>#REF!</v>
      </c>
      <c r="EW306" s="107" t="e">
        <f>IF(SeilBeregnet=0,#REF!,((Loa+Lwl)/Bredde/6)^EW$3)</f>
        <v>#REF!</v>
      </c>
      <c r="EX306" s="107" t="e">
        <f>IF(SeilBeregnet=0,#REF!,(Lwl*0.7+Loa*0.3)^EX$3)</f>
        <v>#REF!</v>
      </c>
      <c r="EY306" s="107" t="str">
        <f t="shared" si="2586"/>
        <v>-</v>
      </c>
      <c r="FA306" s="107" t="e">
        <f t="shared" si="2587"/>
        <v>#REF!</v>
      </c>
      <c r="FB306" s="107" t="e">
        <f>IF(SeilBeregnet=0,#REF!,SeilBeregnet^0.5/Depl^0.3333)</f>
        <v>#REF!</v>
      </c>
      <c r="FC306" s="107" t="e">
        <f>IF(SeilBeregnet=0,#REF!,((Loa+Lwl)/Bredde/6)^FC$3)</f>
        <v>#REF!</v>
      </c>
      <c r="FD306" s="107" t="e">
        <f>IF(SeilBeregnet=0,#REF!,(Lwl*0.7+Loa*0.3)^FD$3)</f>
        <v>#REF!</v>
      </c>
      <c r="FE306" s="107" t="str">
        <f t="shared" si="2588"/>
        <v>-</v>
      </c>
      <c r="FF306" s="141" t="str">
        <f t="shared" ref="FF306:FF311" si="2813">IF($DY306=0,"-",(FE306-$DW306)*100)</f>
        <v>-</v>
      </c>
      <c r="FG306" s="107" t="e">
        <f t="shared" si="2590"/>
        <v>#REF!</v>
      </c>
      <c r="FH306" s="133" t="e">
        <f>IF(SeilBeregnet=0,#REF!,(SeilBeregnet^0.5/(Depl^0.3333))^FH$3)</f>
        <v>#REF!</v>
      </c>
      <c r="FI306" s="133" t="e">
        <f>IF(SeilBeregnet=0,#REF!,((Loa+Lwl)/Bredde/6)^FI$3)</f>
        <v>#REF!</v>
      </c>
      <c r="FJ306" s="107" t="e">
        <f>IF(SeilBeregnet=0,#REF!,(Lwl*0.07+Loa*0.03)^FJ$3)</f>
        <v>#REF!</v>
      </c>
      <c r="FK306" s="107" t="str">
        <f t="shared" si="2591"/>
        <v>-</v>
      </c>
      <c r="FL306" s="141" t="str">
        <f t="shared" ref="FL306:FL311" si="2814">IF($DY306=0,"-",(FK306-$DW306)*100)</f>
        <v>-</v>
      </c>
      <c r="FM306" s="107" t="e">
        <f t="shared" si="2593"/>
        <v>#REF!</v>
      </c>
      <c r="FN306" s="133" t="e">
        <f>IF(SeilBeregnet=0,#REF!,(SeilBeregnet^0.5/(Depl^0.3333))^FN$3)</f>
        <v>#REF!</v>
      </c>
      <c r="FO306" s="133" t="e">
        <f>IF(SeilBeregnet=0,#REF!,(SeilBeregnet^0.5/Lwl*FO$7)^FO$3)</f>
        <v>#REF!</v>
      </c>
      <c r="FP306" s="133" t="e">
        <f>IF(SeilBeregnet=0,#REF!,((Loa)/Bredde)^FP$3*FP$7)</f>
        <v>#REF!</v>
      </c>
      <c r="FQ306" s="107" t="e">
        <f>IF(SeilBeregnet=0,#REF!,(Lwl)^FQ$3)</f>
        <v>#REF!</v>
      </c>
      <c r="FR306" s="107" t="str">
        <f t="shared" si="2594"/>
        <v>-</v>
      </c>
      <c r="FS306" s="141" t="str">
        <f t="shared" ref="FS306:FS311" si="2815">IF($DY306=0,"-",(FR306-$DW306)*100)</f>
        <v>-</v>
      </c>
      <c r="FT306" s="107" t="e">
        <f t="shared" si="2596"/>
        <v>#REF!</v>
      </c>
      <c r="FU306" s="133" t="e">
        <f>IF(SeilBeregnet=0,#REF!,(SeilBeregnet^0.5/(Depl^0.3333))^FU$3)</f>
        <v>#REF!</v>
      </c>
      <c r="FV306" s="133" t="e">
        <f>IF(SeilBeregnet=0,#REF!,(Loa/Bredde)^FV$3)</f>
        <v>#REF!</v>
      </c>
      <c r="FW306" s="107" t="e">
        <f>IF(SeilBeregnet=0,#REF!,Lwl^FW$3)</f>
        <v>#REF!</v>
      </c>
      <c r="FY306" s="336">
        <v>1</v>
      </c>
      <c r="FZ306" s="62" t="str">
        <f t="shared" si="2663"/>
        <v>-</v>
      </c>
      <c r="GA306" s="62">
        <f t="shared" si="1303"/>
        <v>1.8574175621006712</v>
      </c>
      <c r="GB306" s="107" t="str">
        <f t="shared" si="1640"/>
        <v>-</v>
      </c>
      <c r="GC306" s="441">
        <v>39</v>
      </c>
      <c r="GD306" s="57"/>
      <c r="GE306" s="436"/>
      <c r="GF306" s="75"/>
      <c r="GG306" s="57"/>
      <c r="GH306" s="57"/>
      <c r="GI306" s="57"/>
      <c r="GJ306" s="57"/>
      <c r="GL306" s="57" t="s">
        <v>478</v>
      </c>
      <c r="GM306" s="436" t="s">
        <v>478</v>
      </c>
      <c r="GN306" s="58" t="s">
        <v>478</v>
      </c>
      <c r="GO306" s="58" t="s">
        <v>478</v>
      </c>
      <c r="GP306" s="58" t="s">
        <v>478</v>
      </c>
      <c r="GQ306" s="58" t="s">
        <v>478</v>
      </c>
      <c r="GS306" s="57"/>
      <c r="GT306" s="57"/>
      <c r="GU306" s="57"/>
      <c r="GV306" s="632"/>
      <c r="GW306" s="57"/>
      <c r="GX306" s="57"/>
      <c r="GY306" s="57"/>
      <c r="GZ306" s="57"/>
    </row>
    <row r="307" spans="1:209" ht="15.6" x14ac:dyDescent="0.3">
      <c r="A307" s="60" t="s">
        <v>144</v>
      </c>
      <c r="B307" s="218"/>
      <c r="C307" s="61" t="str">
        <f>C306</f>
        <v>Gaffel</v>
      </c>
      <c r="D307" s="61"/>
      <c r="E307" s="61"/>
      <c r="F307" s="61"/>
      <c r="G307" s="54"/>
      <c r="H307" s="204">
        <f>IF(StH=0,0,TBFavrundet)</f>
        <v>144</v>
      </c>
      <c r="I307" s="63">
        <f>COUNTA(O307:AG307)</f>
        <v>7</v>
      </c>
      <c r="J307" s="222">
        <f>SUM(O307:AG307)</f>
        <v>299</v>
      </c>
      <c r="K307" s="116">
        <f>Seilareal/Depl^0.667/K$7</f>
        <v>1.6290948250347488</v>
      </c>
      <c r="L307" s="116">
        <f>Seilareal/Lwl/Lwl/L$7</f>
        <v>1.3255762224352827</v>
      </c>
      <c r="M307" s="92">
        <f>RiggF</f>
        <v>0.6546822742474917</v>
      </c>
      <c r="N307" s="242">
        <f>StHfaktor</f>
        <v>0.99519007058976183</v>
      </c>
      <c r="O307" s="165">
        <v>25</v>
      </c>
      <c r="P307" s="165"/>
      <c r="Q307" s="143"/>
      <c r="R307" s="165">
        <v>48</v>
      </c>
      <c r="S307" s="143"/>
      <c r="T307" s="143"/>
      <c r="U307" s="165">
        <v>31</v>
      </c>
      <c r="V307" s="559"/>
      <c r="W307" s="559"/>
      <c r="X307" s="165">
        <v>107</v>
      </c>
      <c r="Y307" s="143"/>
      <c r="Z307" s="143"/>
      <c r="AA307" s="165">
        <v>26</v>
      </c>
      <c r="AB307" s="143"/>
      <c r="AC307" s="165">
        <v>51</v>
      </c>
      <c r="AD307" s="165">
        <v>11</v>
      </c>
      <c r="AE307" s="143"/>
      <c r="AF307" s="143"/>
      <c r="AG307" s="551"/>
      <c r="AH307" s="557">
        <f t="shared" ref="AH307:AI311" si="2816">AH306</f>
        <v>0</v>
      </c>
      <c r="AI307" s="557">
        <f t="shared" si="2816"/>
        <v>17.8</v>
      </c>
      <c r="AJ307" s="337">
        <f t="shared" ref="AJ307:AL311" si="2817" xml:space="preserve"> AJ306</f>
        <v>0</v>
      </c>
      <c r="AK307" s="339"/>
      <c r="AL307" s="337">
        <f t="shared" si="2817"/>
        <v>0</v>
      </c>
      <c r="AM307" s="339"/>
      <c r="AN307" s="267" t="str">
        <f t="shared" ref="AN307" si="2818" xml:space="preserve"> AN306</f>
        <v>Meter</v>
      </c>
      <c r="AO307" s="45">
        <f>VLOOKUP(AN307,Skrogform!$1:$1048576,3,FALSE)</f>
        <v>1</v>
      </c>
      <c r="AP307" s="64">
        <f t="shared" ref="AP307:AZ307" si="2819">AP306</f>
        <v>25</v>
      </c>
      <c r="AQ307" s="64">
        <f t="shared" si="2819"/>
        <v>18.5</v>
      </c>
      <c r="AR307" s="64">
        <f t="shared" si="2819"/>
        <v>5.3</v>
      </c>
      <c r="AS307" s="64">
        <f t="shared" si="2819"/>
        <v>3.45</v>
      </c>
      <c r="AT307" s="64">
        <f t="shared" ref="AT307" si="2820">AT306</f>
        <v>70</v>
      </c>
      <c r="AU307" s="64">
        <f t="shared" si="2819"/>
        <v>70</v>
      </c>
      <c r="AV307" s="64">
        <f t="shared" si="2819"/>
        <v>25</v>
      </c>
      <c r="AW307" s="64">
        <f t="shared" si="2819"/>
        <v>0</v>
      </c>
      <c r="AX307" s="256">
        <f>AX306</f>
        <v>0</v>
      </c>
      <c r="AY307" s="256">
        <f t="shared" si="2819"/>
        <v>284</v>
      </c>
      <c r="AZ307" s="256">
        <f t="shared" si="2819"/>
        <v>1000</v>
      </c>
      <c r="BA307" s="256">
        <f t="shared" ref="BA307:BB307" si="2821">BA306</f>
        <v>0</v>
      </c>
      <c r="BB307" s="256">
        <f t="shared" si="2821"/>
        <v>0</v>
      </c>
      <c r="BC307" s="256"/>
      <c r="BD307" s="66"/>
      <c r="BE307" s="66"/>
      <c r="BF307" s="261"/>
      <c r="BG307" s="66"/>
      <c r="BH307" s="175"/>
      <c r="BI307" s="66"/>
      <c r="BJ307" s="66"/>
      <c r="BK307" s="65" t="str">
        <f t="shared" ref="BK307:BM307" si="2822" xml:space="preserve"> BK306</f>
        <v>Fast</v>
      </c>
      <c r="BL307" s="267">
        <f t="shared" si="2822"/>
        <v>5</v>
      </c>
      <c r="BM307" s="267">
        <f t="shared" si="2822"/>
        <v>81</v>
      </c>
      <c r="BN307" s="45">
        <f t="shared" si="2579"/>
        <v>0.97805547321272501</v>
      </c>
      <c r="BO307" s="59"/>
      <c r="BP307" s="59"/>
      <c r="BR307" s="49">
        <f t="shared" ref="BR307:BX311" si="2823">IF(O307=0,0,O307*BR$9)</f>
        <v>1.25</v>
      </c>
      <c r="BS307" s="49">
        <f t="shared" si="2823"/>
        <v>0</v>
      </c>
      <c r="BT307" s="49">
        <f t="shared" si="2823"/>
        <v>0</v>
      </c>
      <c r="BU307" s="49">
        <f t="shared" si="2823"/>
        <v>48</v>
      </c>
      <c r="BV307" s="49">
        <f t="shared" si="2823"/>
        <v>0</v>
      </c>
      <c r="BW307" s="49">
        <f t="shared" si="2823"/>
        <v>0</v>
      </c>
      <c r="BX307" s="49">
        <f t="shared" si="2823"/>
        <v>31</v>
      </c>
      <c r="BY307" s="549">
        <f>IF(COUNT(Q307:U307)&gt;1,MINA(Q307:U307)*BY$9,0)</f>
        <v>-15.5</v>
      </c>
      <c r="BZ307" s="85">
        <f t="shared" ref="BZ307:CD311" si="2824">IF(V307=0,0,V307*BZ$9)</f>
        <v>0</v>
      </c>
      <c r="CA307" s="85">
        <f t="shared" si="2824"/>
        <v>0</v>
      </c>
      <c r="CB307" s="85">
        <f t="shared" si="2824"/>
        <v>85.600000000000009</v>
      </c>
      <c r="CC307" s="85">
        <f t="shared" si="2824"/>
        <v>0</v>
      </c>
      <c r="CD307" s="85">
        <f t="shared" si="2824"/>
        <v>0</v>
      </c>
      <c r="CE307" s="85">
        <f>IF(AC307=0,0,AC307*CE$9)</f>
        <v>30.599999999999998</v>
      </c>
      <c r="CF307" s="85">
        <f t="shared" ref="CF307:CG311" si="2825">IF(AA307=0,0,AA307*CF$9)</f>
        <v>10.4</v>
      </c>
      <c r="CG307" s="85">
        <f t="shared" si="2825"/>
        <v>0</v>
      </c>
      <c r="CH307" s="85">
        <f t="shared" ref="CH307:CK311" si="2826">IF(AD307=0,0,AD307*CH$9)</f>
        <v>4.4000000000000004</v>
      </c>
      <c r="CI307" s="85">
        <f t="shared" si="2826"/>
        <v>0</v>
      </c>
      <c r="CJ307" s="85">
        <f t="shared" si="2826"/>
        <v>0</v>
      </c>
      <c r="CK307" s="85">
        <f t="shared" si="2826"/>
        <v>0</v>
      </c>
      <c r="CL307" s="100">
        <f>SUM(BR307:CK307)</f>
        <v>195.75000000000003</v>
      </c>
      <c r="CM307" s="50"/>
      <c r="CN307" s="104">
        <f>J307</f>
        <v>299</v>
      </c>
      <c r="CO307" s="101">
        <f>CL307/CN307</f>
        <v>0.6546822742474917</v>
      </c>
      <c r="CP307" s="51">
        <f>Seilareal/Lwl/Lwl</f>
        <v>0.87363038714390062</v>
      </c>
      <c r="CQ307" s="116">
        <f>Seilareal/Depl^0.667/K$7</f>
        <v>1.6290948250347488</v>
      </c>
      <c r="CR307" s="51">
        <f>Seilareal/Lwl/Lwl/SApRS1</f>
        <v>1.3255762224352827</v>
      </c>
      <c r="CS307" s="204"/>
      <c r="CT307" s="204">
        <f>(ROUND(TBF/CT$6,3)*CT$6)*CT$4</f>
        <v>144</v>
      </c>
      <c r="CU307" s="107">
        <f t="shared" si="1267"/>
        <v>1.4406611227894981</v>
      </c>
      <c r="CV307" s="62">
        <f t="shared" si="1297"/>
        <v>3.3752909547040271</v>
      </c>
      <c r="CW307" s="62">
        <f t="shared" si="1268"/>
        <v>2.0257772791957316</v>
      </c>
      <c r="CX307" s="62">
        <f t="shared" si="1298"/>
        <v>2.0739244522212745</v>
      </c>
      <c r="CY307" s="107">
        <f t="shared" si="1269"/>
        <v>0.99519007058976183</v>
      </c>
      <c r="CZ307" s="168">
        <f t="shared" si="2804"/>
        <v>1.4715294117647058</v>
      </c>
      <c r="DA307" s="159">
        <f>DA306</f>
        <v>1.18</v>
      </c>
      <c r="DB307" s="168">
        <f t="shared" si="2805"/>
        <v>1.2552631578947371</v>
      </c>
      <c r="DC307" s="159">
        <f>DC306</f>
        <v>1.35</v>
      </c>
      <c r="DD307" s="190" t="s">
        <v>134</v>
      </c>
      <c r="DE307" s="62">
        <v>1.21</v>
      </c>
      <c r="DF307" s="62">
        <v>1.07</v>
      </c>
      <c r="DG307" s="62">
        <v>1.1499999999999999</v>
      </c>
      <c r="DH307" s="150">
        <v>1.22</v>
      </c>
      <c r="DI307" s="62">
        <f t="shared" si="1299"/>
        <v>2.0384666167167156</v>
      </c>
      <c r="DJ307" s="47">
        <f t="shared" si="1300"/>
        <v>13.911290322580646</v>
      </c>
      <c r="DK307" s="167"/>
      <c r="DM307" s="107">
        <f t="shared" si="2581"/>
        <v>1.4002734398175671</v>
      </c>
      <c r="DN307" s="141" t="str">
        <f t="shared" si="2806"/>
        <v>-</v>
      </c>
      <c r="DO307" s="107">
        <f t="shared" si="2807"/>
        <v>5.5671733721032801</v>
      </c>
      <c r="DP307" s="133">
        <f>IF(SeilBeregnet=0,DP306,(SeilBeregnet^0.5/(Depl^0.3333))^DP$3*DP$7)</f>
        <v>3.3953121582879335</v>
      </c>
      <c r="DQ307" s="133">
        <f>IF(SeilBeregnet=0,DQ306,(SeilBeregnet^0.5/Lwl)^DQ$3*DQ$7)</f>
        <v>0</v>
      </c>
      <c r="DR307" s="133">
        <f>IF(SeilBeregnet=0,DR306,(0.1*Loa/Depl^0.3333)^DR$3*DR$7)</f>
        <v>0</v>
      </c>
      <c r="DS307" s="133">
        <f>IF(SeilBeregnet=0,DS306,((Loa)/Bredde)^DS$3*DS$7)</f>
        <v>2.171861213815347</v>
      </c>
      <c r="DT307" s="107">
        <f>IF(SeilBeregnet=0,DT306,(Lwl)^DT$3)</f>
        <v>2.0739244522212745</v>
      </c>
      <c r="DU307" s="133">
        <f>IF(SeilBeregnet=0,DU306,(Dypg/Loa)^DU$3*5*DU$7)</f>
        <v>1.8574175621006712</v>
      </c>
      <c r="DW307" s="107">
        <f t="shared" si="512"/>
        <v>1.4406611227894983</v>
      </c>
      <c r="DX307" s="107">
        <f t="shared" si="1301"/>
        <v>1.3894921607675204</v>
      </c>
      <c r="DZ307" s="107">
        <f t="shared" si="1302"/>
        <v>1.3866582917288559</v>
      </c>
      <c r="EA307" s="122" t="str">
        <f t="shared" si="2808"/>
        <v>-</v>
      </c>
      <c r="EB307" s="107">
        <f t="shared" si="2809"/>
        <v>1.435382179040922</v>
      </c>
      <c r="EC307" s="122" t="str">
        <f t="shared" si="2810"/>
        <v>-</v>
      </c>
      <c r="ED307" s="107">
        <f>IF(SeilBeregnet=0,ED306,SeilBeregnet^0.5/Depl^0.33333)</f>
        <v>3.3948794368382513</v>
      </c>
      <c r="EE307" s="107">
        <f>IF(SeilBeregnet=0,EE306,Lwl^0.3333)</f>
        <v>2.6445290195265336</v>
      </c>
      <c r="EF307" s="107">
        <f>IF(SeilBeregnet=0,EF306,((Loa+Lwl)/Bredde)^EF$3)</f>
        <v>1.6925961427894936</v>
      </c>
      <c r="EH307" s="107">
        <f t="shared" si="2811"/>
        <v>1.4280293982962398</v>
      </c>
      <c r="EJ307" s="107">
        <f>IF(SeilBeregnet=0,EJ306,SeilBeregnet^0.5/Depl^0.33333)</f>
        <v>3.3948794368382513</v>
      </c>
      <c r="EK307" s="107">
        <f>IF(SeilBeregnet=0,EK306,Lwl^EK$3)</f>
        <v>2.6447605135392824</v>
      </c>
      <c r="EL307" s="107">
        <f>IF(SeilBeregnet=0,EL306,((Loa+Lwl)/Bredde)^EL$3)</f>
        <v>2.017006612549411</v>
      </c>
      <c r="EM307" s="107">
        <f t="shared" si="2812"/>
        <v>1.400465815461285</v>
      </c>
      <c r="EO307" s="107">
        <f>IF(SeilBeregnet=0,EO306,(EP307*EQ307)^EO$3)</f>
        <v>5.7461598400277927</v>
      </c>
      <c r="EP307" s="107">
        <f>IF(SeilBeregnet=0,EP306,SeilBeregnet^0.5/Depl^0.33333)</f>
        <v>3.3948794368382513</v>
      </c>
      <c r="EQ307" s="107">
        <f>IF(SeilBeregnet=0,EQ306,((Loa+Lwl)/Bredde)^EQ$3)</f>
        <v>1.6925961427894936</v>
      </c>
      <c r="ER307" s="107">
        <f>IF(SeilBeregnet=0,ER306,Lwl^ER$3)</f>
        <v>2.0739244522212745</v>
      </c>
      <c r="ES307" s="107">
        <f t="shared" si="2585"/>
        <v>1.4171838444689886</v>
      </c>
      <c r="EU307" s="107">
        <f>IF(SeilBeregnet=0,EU306,(EV:EV*EW:EW)^EU$3)</f>
        <v>1.9161078272588477</v>
      </c>
      <c r="EV307" s="107">
        <f>IF(SeilBeregnet=0,EV306,SeilBeregnet^0.5/Depl^0.33333)</f>
        <v>3.3948794368382513</v>
      </c>
      <c r="EW307" s="107">
        <f>IF(SeilBeregnet=0,EW306,((Loa+Lwl)/Bredde/6)^EW$3)</f>
        <v>1.081472633709186</v>
      </c>
      <c r="EX307" s="107">
        <f>IF(SeilBeregnet=0,EX306,(Lwl*0.7+Loa*0.3)^EX$3)</f>
        <v>2.1265388832179877</v>
      </c>
      <c r="EY307" s="107">
        <f t="shared" si="2586"/>
        <v>1.3401353311562456</v>
      </c>
      <c r="FA307" s="107">
        <f t="shared" si="2587"/>
        <v>1.9162299397745752</v>
      </c>
      <c r="FB307" s="107">
        <f>IF(SeilBeregnet=0,FB306,SeilBeregnet^0.5/Depl^0.3333)</f>
        <v>3.3953121582879335</v>
      </c>
      <c r="FC307" s="107">
        <f>IF(SeilBeregnet=0,FC306,((Loa+Lwl)/Bredde/6)^FC$3)</f>
        <v>1.081472633709186</v>
      </c>
      <c r="FD307" s="107">
        <f>IF(SeilBeregnet=0,FD306,(Lwl*0.7+Loa*0.3)^FD$3)</f>
        <v>2.1265388832179877</v>
      </c>
      <c r="FE307" s="107">
        <f t="shared" si="2588"/>
        <v>1.4665957568907912</v>
      </c>
      <c r="FF307" s="141" t="str">
        <f t="shared" si="2813"/>
        <v>-</v>
      </c>
      <c r="FG307" s="107">
        <f t="shared" si="2590"/>
        <v>3.9710995751279072</v>
      </c>
      <c r="FH307" s="133">
        <f>IF(SeilBeregnet=0,FH306,(SeilBeregnet^0.5/(Depl^0.3333))^FH$3)</f>
        <v>3.3953121582879335</v>
      </c>
      <c r="FI307" s="133">
        <f>IF(SeilBeregnet=0,FI306,((Loa+Lwl)/Bredde/6)^FI$3)</f>
        <v>1.1695830574618833</v>
      </c>
      <c r="FJ307" s="107">
        <f>IF(SeilBeregnet=0,FJ306,(Lwl*0.07+Loa*0.03)^FJ$3)</f>
        <v>1.195840693657608</v>
      </c>
      <c r="FK307" s="107">
        <f t="shared" si="2591"/>
        <v>1.4056705126226892</v>
      </c>
      <c r="FL307" s="141" t="str">
        <f t="shared" si="2814"/>
        <v>-</v>
      </c>
      <c r="FM307" s="107">
        <f t="shared" si="2593"/>
        <v>5.8234473493807517</v>
      </c>
      <c r="FN307" s="133">
        <f>IF(SeilBeregnet=0,FN306,(SeilBeregnet^0.5/(Depl^0.3333))^FN$3)</f>
        <v>3.3953121582879335</v>
      </c>
      <c r="FO307" s="133">
        <f>IF(SeilBeregnet=0,FO306,(SeilBeregnet^0.5/Lwl*FO$7)^FO$3)</f>
        <v>0.75627397727747159</v>
      </c>
      <c r="FP307" s="133">
        <f>IF(SeilBeregnet=0,FP306,((Loa)/Bredde)^FP$3*FP$7)</f>
        <v>2.171861213815347</v>
      </c>
      <c r="FQ307" s="107">
        <f>IF(SeilBeregnet=0,FQ306,(Lwl)^FQ$3)</f>
        <v>2.0739244522212745</v>
      </c>
      <c r="FR307" s="107">
        <f t="shared" si="2594"/>
        <v>1.4765740185972089</v>
      </c>
      <c r="FS307" s="141" t="str">
        <f t="shared" si="2815"/>
        <v>-</v>
      </c>
      <c r="FT307" s="107">
        <f t="shared" si="2596"/>
        <v>7.374146785381237</v>
      </c>
      <c r="FU307" s="133">
        <f>IF(SeilBeregnet=0,FU306,(SeilBeregnet^0.5/(Depl^0.3333))^FU$3)</f>
        <v>3.3953121582879335</v>
      </c>
      <c r="FV307" s="133">
        <f>IF(SeilBeregnet=0,FV306,(Loa/Bredde)^FV$3)</f>
        <v>2.171861213815347</v>
      </c>
      <c r="FW307" s="107">
        <f>IF(SeilBeregnet=0,FW306,Lwl^FW$3)</f>
        <v>2.0739244522212745</v>
      </c>
      <c r="FY307" s="336">
        <v>1</v>
      </c>
      <c r="FZ307" s="62">
        <f t="shared" si="2663"/>
        <v>1.4400969323294741</v>
      </c>
      <c r="GA307" s="62">
        <f t="shared" si="1303"/>
        <v>1.8574175621006712</v>
      </c>
      <c r="GB307" s="107">
        <f t="shared" si="1640"/>
        <v>1.1265678412341071</v>
      </c>
      <c r="GC307" s="440"/>
      <c r="GD307" s="17"/>
      <c r="GE307" s="442"/>
      <c r="GF307" s="462"/>
      <c r="GG307" s="17"/>
      <c r="GH307" s="17"/>
      <c r="GI307" s="17"/>
      <c r="GJ307" s="17"/>
      <c r="GL307" s="17"/>
      <c r="GM307" s="442"/>
      <c r="GN307" s="8"/>
      <c r="GO307" s="8"/>
      <c r="GP307" s="8"/>
      <c r="GQ307" s="8"/>
      <c r="GS307" s="17"/>
      <c r="GT307" s="17"/>
      <c r="GU307" s="17"/>
      <c r="GV307" s="629"/>
      <c r="GW307" s="17"/>
      <c r="GX307" s="17"/>
      <c r="GY307" s="17"/>
      <c r="GZ307" s="17"/>
    </row>
    <row r="308" spans="1:209" ht="15.6" x14ac:dyDescent="0.3">
      <c r="A308" s="60" t="s">
        <v>143</v>
      </c>
      <c r="B308" s="218"/>
      <c r="C308" s="61" t="str">
        <f t="shared" ref="C308:C311" si="2827">C307</f>
        <v>Gaffel</v>
      </c>
      <c r="D308" s="61"/>
      <c r="E308" s="61"/>
      <c r="F308" s="61"/>
      <c r="G308" s="54"/>
      <c r="H308" s="204">
        <f>TBFavrundet</f>
        <v>144</v>
      </c>
      <c r="I308" s="63">
        <f>COUNTA(O308:AG308)</f>
        <v>6</v>
      </c>
      <c r="J308" s="222">
        <f>SUM(O308:AG308)</f>
        <v>274</v>
      </c>
      <c r="K308" s="116">
        <f>Seilareal/Depl^0.667/K$7</f>
        <v>1.4928828831422112</v>
      </c>
      <c r="L308" s="116">
        <f>Seilareal/Lwl/Lwl/L$7</f>
        <v>1.2147420901246402</v>
      </c>
      <c r="M308" s="92">
        <f>RiggF</f>
        <v>0.70985401459854025</v>
      </c>
      <c r="N308" s="242">
        <f>StHfaktor</f>
        <v>0.99519007058976183</v>
      </c>
      <c r="O308" s="143"/>
      <c r="P308" s="143"/>
      <c r="Q308" s="143"/>
      <c r="R308" s="165">
        <v>48</v>
      </c>
      <c r="S308" s="143"/>
      <c r="T308" s="143"/>
      <c r="U308" s="165">
        <v>31</v>
      </c>
      <c r="V308" s="559"/>
      <c r="W308" s="559"/>
      <c r="X308" s="165">
        <v>107</v>
      </c>
      <c r="Y308" s="143"/>
      <c r="Z308" s="143"/>
      <c r="AA308" s="165">
        <v>26</v>
      </c>
      <c r="AB308" s="143"/>
      <c r="AC308" s="165">
        <v>51</v>
      </c>
      <c r="AD308" s="165">
        <v>11</v>
      </c>
      <c r="AE308" s="143"/>
      <c r="AF308" s="143"/>
      <c r="AG308" s="551"/>
      <c r="AH308" s="557">
        <f t="shared" si="2816"/>
        <v>0</v>
      </c>
      <c r="AI308" s="557">
        <f t="shared" si="2816"/>
        <v>17.8</v>
      </c>
      <c r="AJ308" s="337">
        <f t="shared" si="2817"/>
        <v>0</v>
      </c>
      <c r="AK308" s="339"/>
      <c r="AL308" s="337">
        <f t="shared" si="2817"/>
        <v>0</v>
      </c>
      <c r="AM308" s="339"/>
      <c r="AN308" s="267" t="str">
        <f t="shared" ref="AN308" si="2828" xml:space="preserve"> AN307</f>
        <v>Meter</v>
      </c>
      <c r="AO308" s="45">
        <f>VLOOKUP(AN308,Skrogform!$1:$1048576,3,FALSE)</f>
        <v>1</v>
      </c>
      <c r="AP308" s="64">
        <f t="shared" ref="AP308:AZ308" si="2829">AP307</f>
        <v>25</v>
      </c>
      <c r="AQ308" s="64">
        <f t="shared" si="2829"/>
        <v>18.5</v>
      </c>
      <c r="AR308" s="64">
        <f t="shared" si="2829"/>
        <v>5.3</v>
      </c>
      <c r="AS308" s="64">
        <f t="shared" si="2829"/>
        <v>3.45</v>
      </c>
      <c r="AT308" s="64">
        <f t="shared" ref="AT308" si="2830">AT307</f>
        <v>70</v>
      </c>
      <c r="AU308" s="64">
        <f t="shared" si="2829"/>
        <v>70</v>
      </c>
      <c r="AV308" s="64">
        <f t="shared" si="2829"/>
        <v>25</v>
      </c>
      <c r="AW308" s="64">
        <f t="shared" si="2829"/>
        <v>0</v>
      </c>
      <c r="AX308" s="256">
        <f>AX307</f>
        <v>0</v>
      </c>
      <c r="AY308" s="256">
        <f t="shared" si="2829"/>
        <v>284</v>
      </c>
      <c r="AZ308" s="256">
        <f t="shared" si="2829"/>
        <v>1000</v>
      </c>
      <c r="BA308" s="256">
        <f t="shared" ref="BA308:BB308" si="2831">BA307</f>
        <v>0</v>
      </c>
      <c r="BB308" s="256">
        <f t="shared" si="2831"/>
        <v>0</v>
      </c>
      <c r="BC308" s="256"/>
      <c r="BD308" s="66"/>
      <c r="BE308" s="66"/>
      <c r="BF308" s="261"/>
      <c r="BG308" s="66"/>
      <c r="BH308" s="175"/>
      <c r="BI308" s="66"/>
      <c r="BJ308" s="66"/>
      <c r="BK308" s="65" t="str">
        <f t="shared" ref="BK308:BM308" si="2832" xml:space="preserve"> BK307</f>
        <v>Fast</v>
      </c>
      <c r="BL308" s="267">
        <f t="shared" si="2832"/>
        <v>5</v>
      </c>
      <c r="BM308" s="267">
        <f t="shared" si="2832"/>
        <v>81</v>
      </c>
      <c r="BN308" s="45">
        <f t="shared" si="2579"/>
        <v>0.97805547321272501</v>
      </c>
      <c r="BO308" s="59"/>
      <c r="BP308" s="59"/>
      <c r="BR308" s="49">
        <f t="shared" si="2823"/>
        <v>0</v>
      </c>
      <c r="BS308" s="49">
        <f t="shared" si="2823"/>
        <v>0</v>
      </c>
      <c r="BT308" s="49">
        <f t="shared" si="2823"/>
        <v>0</v>
      </c>
      <c r="BU308" s="49">
        <f t="shared" si="2823"/>
        <v>48</v>
      </c>
      <c r="BV308" s="49">
        <f t="shared" si="2823"/>
        <v>0</v>
      </c>
      <c r="BW308" s="49">
        <f t="shared" si="2823"/>
        <v>0</v>
      </c>
      <c r="BX308" s="49">
        <f t="shared" si="2823"/>
        <v>31</v>
      </c>
      <c r="BY308" s="549">
        <f>IF(COUNT(Q308:U308)&gt;1,MINA(Q308:U308)*BY$9,0)</f>
        <v>-15.5</v>
      </c>
      <c r="BZ308" s="85">
        <f t="shared" si="2824"/>
        <v>0</v>
      </c>
      <c r="CA308" s="85">
        <f t="shared" si="2824"/>
        <v>0</v>
      </c>
      <c r="CB308" s="85">
        <f t="shared" si="2824"/>
        <v>85.600000000000009</v>
      </c>
      <c r="CC308" s="85">
        <f t="shared" si="2824"/>
        <v>0</v>
      </c>
      <c r="CD308" s="85">
        <f t="shared" si="2824"/>
        <v>0</v>
      </c>
      <c r="CE308" s="85">
        <f>IF(AC308=0,0,AC308*CE$9)</f>
        <v>30.599999999999998</v>
      </c>
      <c r="CF308" s="85">
        <f t="shared" si="2825"/>
        <v>10.4</v>
      </c>
      <c r="CG308" s="85">
        <f t="shared" si="2825"/>
        <v>0</v>
      </c>
      <c r="CH308" s="85">
        <f t="shared" si="2826"/>
        <v>4.4000000000000004</v>
      </c>
      <c r="CI308" s="85">
        <f t="shared" si="2826"/>
        <v>0</v>
      </c>
      <c r="CJ308" s="85">
        <f t="shared" si="2826"/>
        <v>0</v>
      </c>
      <c r="CK308" s="85">
        <f t="shared" si="2826"/>
        <v>0</v>
      </c>
      <c r="CL308" s="100">
        <f>SUM(BR308:CK308)</f>
        <v>194.50000000000003</v>
      </c>
      <c r="CM308" s="50"/>
      <c r="CN308" s="104">
        <f>J308</f>
        <v>274</v>
      </c>
      <c r="CO308" s="101">
        <f>CL308/CN308</f>
        <v>0.70985401459854025</v>
      </c>
      <c r="CP308" s="51">
        <f>Seilareal/Lwl/Lwl</f>
        <v>0.80058436815193568</v>
      </c>
      <c r="CQ308" s="116">
        <f>Seilareal/Depl^0.667/K$7</f>
        <v>1.4928828831422112</v>
      </c>
      <c r="CR308" s="51">
        <f>Seilareal/Lwl/Lwl/SApRS1</f>
        <v>1.2147420901246402</v>
      </c>
      <c r="CS308" s="204"/>
      <c r="CT308" s="204">
        <f>(ROUND(TBF/CT$6,3)*CT$6)*CT$4</f>
        <v>144</v>
      </c>
      <c r="CU308" s="107">
        <f t="shared" si="1267"/>
        <v>1.4377819573594024</v>
      </c>
      <c r="CV308" s="62">
        <f t="shared" si="1297"/>
        <v>3.364496904181915</v>
      </c>
      <c r="CW308" s="62">
        <f t="shared" si="1268"/>
        <v>2.0257772791957316</v>
      </c>
      <c r="CX308" s="62">
        <f t="shared" si="1298"/>
        <v>2.0739244522212745</v>
      </c>
      <c r="CY308" s="107">
        <f t="shared" si="1269"/>
        <v>0.99519007058976183</v>
      </c>
      <c r="CZ308" s="168" t="str">
        <f t="shared" si="2804"/>
        <v>-</v>
      </c>
      <c r="DA308" s="158"/>
      <c r="DB308" s="168" t="str">
        <f t="shared" si="2805"/>
        <v>-</v>
      </c>
      <c r="DC308" s="160"/>
      <c r="DD308" s="190" t="s">
        <v>134</v>
      </c>
      <c r="DE308" s="62">
        <v>1.19</v>
      </c>
      <c r="DF308" s="62">
        <v>1.05</v>
      </c>
      <c r="DG308" s="62">
        <v>1.1299999999999999</v>
      </c>
      <c r="DH308" s="150">
        <v>1.19</v>
      </c>
      <c r="DI308" s="62">
        <f t="shared" si="1299"/>
        <v>2.0384666167167156</v>
      </c>
      <c r="DJ308" s="47">
        <f t="shared" si="1300"/>
        <v>13.911290322580646</v>
      </c>
      <c r="DK308" s="167"/>
      <c r="DM308" s="107">
        <f t="shared" si="2581"/>
        <v>1.3975423810559675</v>
      </c>
      <c r="DN308" s="142">
        <f t="shared" si="2806"/>
        <v>-4.0239576303434887</v>
      </c>
      <c r="DO308" s="107">
        <f t="shared" si="2807"/>
        <v>5.5563152945429373</v>
      </c>
      <c r="DP308" s="133">
        <f>IF(SeilBeregnet=0,DP306,(SeilBeregnet^0.5/(Depl^0.3333))^DP$3*DP$7)</f>
        <v>3.3844540807275907</v>
      </c>
      <c r="DQ308" s="133">
        <f>IF(SeilBeregnet=0,DQ306,(SeilBeregnet^0.5/Lwl)^DQ$3*DQ$7)</f>
        <v>0</v>
      </c>
      <c r="DR308" s="133">
        <f>IF(SeilBeregnet=0,DR306,(0.1*Loa/Depl^0.3333)^DR$3*DR$7)</f>
        <v>0</v>
      </c>
      <c r="DS308" s="133">
        <f>IF(SeilBeregnet=0,DS306,((Loa)/Bredde)^DS$3*DS$7)</f>
        <v>2.171861213815347</v>
      </c>
      <c r="DT308" s="107">
        <f>IF(SeilBeregnet=0,DT306,(Lwl)^DT$3)</f>
        <v>2.0739244522212745</v>
      </c>
      <c r="DU308" s="133">
        <f>IF(SeilBeregnet=0,DU306,(Dypg/Loa)^DU$3*5*DU$7)</f>
        <v>1.8574175621006712</v>
      </c>
      <c r="DW308" s="107">
        <f t="shared" si="512"/>
        <v>1.4377819573594024</v>
      </c>
      <c r="DX308" s="107">
        <f t="shared" si="1301"/>
        <v>1.3858297610784975</v>
      </c>
      <c r="DY308" s="122">
        <f>DX308-DW308</f>
        <v>-5.1952196280904861E-2</v>
      </c>
      <c r="DZ308" s="107">
        <f t="shared" si="1302"/>
        <v>1.3835462759832289</v>
      </c>
      <c r="EA308" s="122">
        <f t="shared" si="2808"/>
        <v>-5.4235681376173517E-2</v>
      </c>
      <c r="EB308" s="107">
        <f t="shared" si="2809"/>
        <v>1.4316869472648741</v>
      </c>
      <c r="EC308" s="122">
        <f t="shared" si="2810"/>
        <v>-6.0950100945282859E-3</v>
      </c>
      <c r="ED308" s="107">
        <f>IF(SeilBeregnet=0,ED307,SeilBeregnet^0.5/Depl^0.33333)</f>
        <v>3.3840227431044445</v>
      </c>
      <c r="EE308" s="107">
        <f>IF(SeilBeregnet=0,EE307,Lwl^0.3333)</f>
        <v>2.6445290195265336</v>
      </c>
      <c r="EF308" s="107">
        <f>IF(SeilBeregnet=0,EF307,((Loa+Lwl)/Bredde)^EF$3)</f>
        <v>1.6925961427894936</v>
      </c>
      <c r="EH308" s="107">
        <f t="shared" si="2811"/>
        <v>1.4246181501154271</v>
      </c>
      <c r="EJ308" s="107">
        <f>IF(SeilBeregnet=0,EJ307,SeilBeregnet^0.5/Depl^0.33333)</f>
        <v>3.3840227431044445</v>
      </c>
      <c r="EK308" s="107">
        <f>IF(SeilBeregnet=0,EK307,Lwl^EK$3)</f>
        <v>2.6447605135392824</v>
      </c>
      <c r="EL308" s="107">
        <f>IF(SeilBeregnet=0,EL307,((Loa+Lwl)/Bredde)^EL$3)</f>
        <v>2.017006612549411</v>
      </c>
      <c r="EM308" s="107">
        <f t="shared" si="2812"/>
        <v>1.3971435296490071</v>
      </c>
      <c r="EO308" s="107">
        <f>IF(SeilBeregnet=0,EO307,(EP308*EQ308)^EO$3)</f>
        <v>5.7277838420905036</v>
      </c>
      <c r="EP308" s="107">
        <f>IF(SeilBeregnet=0,EP307,SeilBeregnet^0.5/Depl^0.33333)</f>
        <v>3.3840227431044445</v>
      </c>
      <c r="EQ308" s="107">
        <f>IF(SeilBeregnet=0,EQ307,((Loa+Lwl)/Bredde)^EQ$3)</f>
        <v>1.6925961427894936</v>
      </c>
      <c r="ER308" s="107">
        <f>IF(SeilBeregnet=0,ER307,Lwl^ER$3)</f>
        <v>2.0739244522212745</v>
      </c>
      <c r="ES308" s="107">
        <f t="shared" si="2585"/>
        <v>1.4141152416393556</v>
      </c>
      <c r="EU308" s="107">
        <f>IF(SeilBeregnet=0,EU307,(EV:EV*EW:EW)^EU$3)</f>
        <v>1.9130415543100332</v>
      </c>
      <c r="EV308" s="107">
        <f>IF(SeilBeregnet=0,EV307,SeilBeregnet^0.5/Depl^0.33333)</f>
        <v>3.3840227431044445</v>
      </c>
      <c r="EW308" s="107">
        <f>IF(SeilBeregnet=0,EW307,((Loa+Lwl)/Bredde/6)^EW$3)</f>
        <v>1.081472633709186</v>
      </c>
      <c r="EX308" s="107">
        <f>IF(SeilBeregnet=0,EX307,(Lwl*0.7+Loa*0.3)^EX$3)</f>
        <v>2.1265388832179877</v>
      </c>
      <c r="EY308" s="107">
        <f t="shared" si="2586"/>
        <v>1.3379907646265252</v>
      </c>
      <c r="FA308" s="107">
        <f t="shared" si="2587"/>
        <v>1.9131634714138439</v>
      </c>
      <c r="FB308" s="107">
        <f>IF(SeilBeregnet=0,FB307,SeilBeregnet^0.5/Depl^0.3333)</f>
        <v>3.3844540807275907</v>
      </c>
      <c r="FC308" s="107">
        <f>IF(SeilBeregnet=0,FC307,((Loa+Lwl)/Bredde/6)^FC$3)</f>
        <v>1.081472633709186</v>
      </c>
      <c r="FD308" s="107">
        <f>IF(SeilBeregnet=0,FD307,(Lwl*0.7+Loa*0.3)^FD$3)</f>
        <v>2.1265388832179877</v>
      </c>
      <c r="FE308" s="107">
        <f t="shared" si="2588"/>
        <v>1.4634765791814284</v>
      </c>
      <c r="FF308" s="141">
        <f t="shared" si="2813"/>
        <v>2.5694621822025976</v>
      </c>
      <c r="FG308" s="107">
        <f t="shared" si="2590"/>
        <v>3.9584001515767229</v>
      </c>
      <c r="FH308" s="133">
        <f>IF(SeilBeregnet=0,FH307,(SeilBeregnet^0.5/(Depl^0.3333))^FH$3)</f>
        <v>3.3844540807275907</v>
      </c>
      <c r="FI308" s="133">
        <f>IF(SeilBeregnet=0,FI307,((Loa+Lwl)/Bredde/6)^FI$3)</f>
        <v>1.1695830574618833</v>
      </c>
      <c r="FJ308" s="107">
        <f>IF(SeilBeregnet=0,FJ307,(Lwl*0.07+Loa*0.03)^FJ$3)</f>
        <v>1.195840693657608</v>
      </c>
      <c r="FK308" s="107">
        <f t="shared" si="2591"/>
        <v>1.4024657883843741</v>
      </c>
      <c r="FL308" s="141">
        <f t="shared" si="2814"/>
        <v>-3.5316168975028317</v>
      </c>
      <c r="FM308" s="107">
        <f t="shared" si="2593"/>
        <v>5.8101707367581454</v>
      </c>
      <c r="FN308" s="133">
        <f>IF(SeilBeregnet=0,FN307,(SeilBeregnet^0.5/(Depl^0.3333))^FN$3)</f>
        <v>3.3844540807275907</v>
      </c>
      <c r="FO308" s="133">
        <f>IF(SeilBeregnet=0,FO307,(SeilBeregnet^0.5/Lwl*FO$7)^FO$3)</f>
        <v>0.75385544221520839</v>
      </c>
      <c r="FP308" s="133">
        <f>IF(SeilBeregnet=0,FP307,((Loa)/Bredde)^FP$3*FP$7)</f>
        <v>2.171861213815347</v>
      </c>
      <c r="FQ308" s="107">
        <f>IF(SeilBeregnet=0,FQ307,(Lwl)^FQ$3)</f>
        <v>2.0739244522212745</v>
      </c>
      <c r="FR308" s="107">
        <f t="shared" si="2594"/>
        <v>1.4735126092568376</v>
      </c>
      <c r="FS308" s="141">
        <f t="shared" si="2815"/>
        <v>3.5730651897435184</v>
      </c>
      <c r="FT308" s="107">
        <f t="shared" si="2596"/>
        <v>7.35056454787133</v>
      </c>
      <c r="FU308" s="133">
        <f>IF(SeilBeregnet=0,FU307,(SeilBeregnet^0.5/(Depl^0.3333))^FU$3)</f>
        <v>3.3844540807275907</v>
      </c>
      <c r="FV308" s="133">
        <f>IF(SeilBeregnet=0,FV307,(Loa/Bredde)^FV$3)</f>
        <v>2.171861213815347</v>
      </c>
      <c r="FW308" s="107">
        <f>IF(SeilBeregnet=0,FW307,Lwl^FW$3)</f>
        <v>2.0739244522212745</v>
      </c>
      <c r="FY308" s="336">
        <v>1</v>
      </c>
      <c r="FZ308" s="62">
        <f t="shared" si="2663"/>
        <v>1.4379910274272802</v>
      </c>
      <c r="GA308" s="62">
        <f t="shared" si="1303"/>
        <v>1.8574175621006712</v>
      </c>
      <c r="GB308" s="107">
        <f t="shared" si="1640"/>
        <v>1.1253656519426947</v>
      </c>
      <c r="GC308" s="440"/>
      <c r="GD308" s="17"/>
      <c r="GE308" s="442"/>
      <c r="GF308" s="462"/>
      <c r="GG308" s="17"/>
      <c r="GH308" s="17"/>
      <c r="GI308" s="17"/>
      <c r="GJ308" s="17"/>
      <c r="GL308" s="17"/>
      <c r="GM308" s="442"/>
      <c r="GN308" s="8"/>
      <c r="GO308" s="8"/>
      <c r="GP308" s="8"/>
      <c r="GQ308" s="8"/>
      <c r="GS308" s="17"/>
      <c r="GT308" s="17"/>
      <c r="GU308" s="17"/>
      <c r="GV308" s="629"/>
      <c r="GW308" s="17"/>
      <c r="GX308" s="17"/>
      <c r="GY308" s="17"/>
      <c r="GZ308" s="17"/>
    </row>
    <row r="309" spans="1:209" ht="15.6" x14ac:dyDescent="0.3">
      <c r="A309" s="60" t="s">
        <v>142</v>
      </c>
      <c r="B309" s="218"/>
      <c r="C309" s="61" t="str">
        <f t="shared" si="2827"/>
        <v>Gaffel</v>
      </c>
      <c r="D309" s="61"/>
      <c r="E309" s="61"/>
      <c r="F309" s="61"/>
      <c r="G309" s="54"/>
      <c r="H309" s="204">
        <f>TBFavrundet</f>
        <v>143</v>
      </c>
      <c r="I309" s="63">
        <f>COUNTA(O309:AG309)</f>
        <v>5</v>
      </c>
      <c r="J309" s="222">
        <f>SUM(O309:AG309)</f>
        <v>263</v>
      </c>
      <c r="K309" s="116">
        <f>Seilareal/Depl^0.667/K$7</f>
        <v>1.4329496287094947</v>
      </c>
      <c r="L309" s="116">
        <f>Seilareal/Lwl/Lwl/L$7</f>
        <v>1.1659750719079576</v>
      </c>
      <c r="M309" s="92">
        <f>RiggF</f>
        <v>0.7228136882129278</v>
      </c>
      <c r="N309" s="242">
        <f>StHfaktor</f>
        <v>0.99519007058976183</v>
      </c>
      <c r="O309" s="143"/>
      <c r="P309" s="143"/>
      <c r="Q309" s="143"/>
      <c r="R309" s="165">
        <v>48</v>
      </c>
      <c r="S309" s="143"/>
      <c r="T309" s="143"/>
      <c r="U309" s="165">
        <v>31</v>
      </c>
      <c r="V309" s="559"/>
      <c r="W309" s="559"/>
      <c r="X309" s="165">
        <v>107</v>
      </c>
      <c r="Y309" s="143"/>
      <c r="Z309" s="143"/>
      <c r="AA309" s="165">
        <v>26</v>
      </c>
      <c r="AB309" s="143"/>
      <c r="AC309" s="165">
        <v>51</v>
      </c>
      <c r="AD309" s="143"/>
      <c r="AE309" s="143"/>
      <c r="AF309" s="143"/>
      <c r="AG309" s="551"/>
      <c r="AH309" s="557">
        <f t="shared" si="2816"/>
        <v>0</v>
      </c>
      <c r="AI309" s="557">
        <f t="shared" si="2816"/>
        <v>17.8</v>
      </c>
      <c r="AJ309" s="337">
        <f t="shared" si="2817"/>
        <v>0</v>
      </c>
      <c r="AK309" s="339"/>
      <c r="AL309" s="337">
        <f t="shared" si="2817"/>
        <v>0</v>
      </c>
      <c r="AM309" s="339"/>
      <c r="AN309" s="267" t="str">
        <f t="shared" ref="AN309" si="2833" xml:space="preserve"> AN308</f>
        <v>Meter</v>
      </c>
      <c r="AO309" s="45">
        <f>VLOOKUP(AN309,Skrogform!$1:$1048576,3,FALSE)</f>
        <v>1</v>
      </c>
      <c r="AP309" s="64">
        <f t="shared" ref="AP309:AZ309" si="2834">AP308</f>
        <v>25</v>
      </c>
      <c r="AQ309" s="64">
        <f t="shared" si="2834"/>
        <v>18.5</v>
      </c>
      <c r="AR309" s="64">
        <f t="shared" si="2834"/>
        <v>5.3</v>
      </c>
      <c r="AS309" s="64">
        <f t="shared" si="2834"/>
        <v>3.45</v>
      </c>
      <c r="AT309" s="64">
        <f t="shared" ref="AT309" si="2835">AT308</f>
        <v>70</v>
      </c>
      <c r="AU309" s="64">
        <f t="shared" si="2834"/>
        <v>70</v>
      </c>
      <c r="AV309" s="64">
        <f t="shared" si="2834"/>
        <v>25</v>
      </c>
      <c r="AW309" s="64">
        <f t="shared" si="2834"/>
        <v>0</v>
      </c>
      <c r="AX309" s="256">
        <f>AX308</f>
        <v>0</v>
      </c>
      <c r="AY309" s="256">
        <f t="shared" si="2834"/>
        <v>284</v>
      </c>
      <c r="AZ309" s="256">
        <f t="shared" si="2834"/>
        <v>1000</v>
      </c>
      <c r="BA309" s="256">
        <f t="shared" ref="BA309:BB309" si="2836">BA308</f>
        <v>0</v>
      </c>
      <c r="BB309" s="256">
        <f t="shared" si="2836"/>
        <v>0</v>
      </c>
      <c r="BC309" s="256"/>
      <c r="BD309" s="66"/>
      <c r="BE309" s="66"/>
      <c r="BF309" s="261"/>
      <c r="BG309" s="66"/>
      <c r="BH309" s="175"/>
      <c r="BI309" s="66"/>
      <c r="BJ309" s="66"/>
      <c r="BK309" s="65" t="str">
        <f t="shared" ref="BK309:BM309" si="2837" xml:space="preserve"> BK308</f>
        <v>Fast</v>
      </c>
      <c r="BL309" s="267">
        <f t="shared" si="2837"/>
        <v>5</v>
      </c>
      <c r="BM309" s="267">
        <f t="shared" si="2837"/>
        <v>81</v>
      </c>
      <c r="BN309" s="45">
        <f t="shared" si="2579"/>
        <v>0.97805547321272501</v>
      </c>
      <c r="BO309" s="59"/>
      <c r="BP309" s="59"/>
      <c r="BR309" s="49">
        <f t="shared" si="2823"/>
        <v>0</v>
      </c>
      <c r="BS309" s="49">
        <f t="shared" si="2823"/>
        <v>0</v>
      </c>
      <c r="BT309" s="49">
        <f t="shared" si="2823"/>
        <v>0</v>
      </c>
      <c r="BU309" s="49">
        <f t="shared" si="2823"/>
        <v>48</v>
      </c>
      <c r="BV309" s="49">
        <f t="shared" si="2823"/>
        <v>0</v>
      </c>
      <c r="BW309" s="49">
        <f t="shared" si="2823"/>
        <v>0</v>
      </c>
      <c r="BX309" s="49">
        <f t="shared" si="2823"/>
        <v>31</v>
      </c>
      <c r="BY309" s="549">
        <f>IF(COUNT(Q309:U309)&gt;1,MINA(Q309:U309)*BY$9,0)</f>
        <v>-15.5</v>
      </c>
      <c r="BZ309" s="85">
        <f t="shared" si="2824"/>
        <v>0</v>
      </c>
      <c r="CA309" s="85">
        <f t="shared" si="2824"/>
        <v>0</v>
      </c>
      <c r="CB309" s="85">
        <f t="shared" si="2824"/>
        <v>85.600000000000009</v>
      </c>
      <c r="CC309" s="85">
        <f t="shared" si="2824"/>
        <v>0</v>
      </c>
      <c r="CD309" s="85">
        <f t="shared" si="2824"/>
        <v>0</v>
      </c>
      <c r="CE309" s="85">
        <f>IF(AC309=0,0,AC309*CE$9)</f>
        <v>30.599999999999998</v>
      </c>
      <c r="CF309" s="85">
        <f t="shared" si="2825"/>
        <v>10.4</v>
      </c>
      <c r="CG309" s="85">
        <f t="shared" si="2825"/>
        <v>0</v>
      </c>
      <c r="CH309" s="85">
        <f t="shared" si="2826"/>
        <v>0</v>
      </c>
      <c r="CI309" s="85">
        <f t="shared" si="2826"/>
        <v>0</v>
      </c>
      <c r="CJ309" s="85">
        <f t="shared" si="2826"/>
        <v>0</v>
      </c>
      <c r="CK309" s="85">
        <f t="shared" si="2826"/>
        <v>0</v>
      </c>
      <c r="CL309" s="100">
        <f>SUM(BR309:CK309)</f>
        <v>190.10000000000002</v>
      </c>
      <c r="CM309" s="50"/>
      <c r="CN309" s="104">
        <f>J309</f>
        <v>263</v>
      </c>
      <c r="CO309" s="101">
        <f>CL309/CN309</f>
        <v>0.7228136882129278</v>
      </c>
      <c r="CP309" s="51">
        <f>Seilareal/Lwl/Lwl</f>
        <v>0.76844411979547111</v>
      </c>
      <c r="CQ309" s="116">
        <f>Seilareal/Depl^0.667/K$7</f>
        <v>1.4329496287094947</v>
      </c>
      <c r="CR309" s="51">
        <f>Seilareal/Lwl/Lwl/SApRS1</f>
        <v>1.1659750719079576</v>
      </c>
      <c r="CS309" s="204"/>
      <c r="CT309" s="204">
        <f>(ROUND(TBF/CT$6,3)*CT$6)*CT$4</f>
        <v>143</v>
      </c>
      <c r="CU309" s="107">
        <f t="shared" si="1267"/>
        <v>1.4275729704440061</v>
      </c>
      <c r="CV309" s="62">
        <f t="shared" si="1297"/>
        <v>3.3262232018817652</v>
      </c>
      <c r="CW309" s="62">
        <f t="shared" si="1268"/>
        <v>2.0257772791957316</v>
      </c>
      <c r="CX309" s="62">
        <f t="shared" si="1298"/>
        <v>2.0739244522212745</v>
      </c>
      <c r="CY309" s="107">
        <f t="shared" si="1269"/>
        <v>0.99519007058976183</v>
      </c>
      <c r="CZ309" s="168" t="str">
        <f t="shared" si="2804"/>
        <v>-</v>
      </c>
      <c r="DA309" s="158"/>
      <c r="DB309" s="168" t="str">
        <f t="shared" si="2805"/>
        <v>-</v>
      </c>
      <c r="DC309" s="160"/>
      <c r="DD309" s="190" t="s">
        <v>134</v>
      </c>
      <c r="DE309" s="62">
        <v>1.19</v>
      </c>
      <c r="DF309" s="62">
        <v>1.05</v>
      </c>
      <c r="DG309" s="62">
        <v>1.1299999999999999</v>
      </c>
      <c r="DH309" s="150">
        <v>1.19</v>
      </c>
      <c r="DI309" s="62">
        <f t="shared" si="1299"/>
        <v>2.0384666167167156</v>
      </c>
      <c r="DJ309" s="47">
        <f t="shared" si="1300"/>
        <v>13.911290322580646</v>
      </c>
      <c r="DK309" s="167"/>
      <c r="DM309" s="107">
        <f t="shared" si="2581"/>
        <v>1.3878585529330998</v>
      </c>
      <c r="DN309" s="142">
        <f t="shared" si="2806"/>
        <v>-3.9714417510906319</v>
      </c>
      <c r="DO309" s="107">
        <f t="shared" si="2807"/>
        <v>5.5178145642336638</v>
      </c>
      <c r="DP309" s="133">
        <f>IF(SeilBeregnet=0,DP307,(SeilBeregnet^0.5/(Depl^0.3333))^DP$3*DP$7)</f>
        <v>3.3459533504183172</v>
      </c>
      <c r="DQ309" s="133">
        <f>IF(SeilBeregnet=0,DQ307,(SeilBeregnet^0.5/Lwl)^DQ$3*DQ$7)</f>
        <v>0</v>
      </c>
      <c r="DR309" s="133">
        <f>IF(SeilBeregnet=0,DR307,(0.1*Loa/Depl^0.3333)^DR$3*DR$7)</f>
        <v>0</v>
      </c>
      <c r="DS309" s="133">
        <f>IF(SeilBeregnet=0,DS307,((Loa)/Bredde)^DS$3*DS$7)</f>
        <v>2.171861213815347</v>
      </c>
      <c r="DT309" s="107">
        <f>IF(SeilBeregnet=0,DT307,(Lwl)^DT$3)</f>
        <v>2.0739244522212745</v>
      </c>
      <c r="DU309" s="133">
        <f>IF(SeilBeregnet=0,DU307,(Dypg/Loa)^DU$3*5*DU$7)</f>
        <v>1.8574175621006712</v>
      </c>
      <c r="DW309" s="107">
        <f t="shared" si="512"/>
        <v>1.4275729704440061</v>
      </c>
      <c r="DX309" s="107">
        <f t="shared" si="1301"/>
        <v>1.3728435706660411</v>
      </c>
      <c r="DY309" s="122">
        <f>DX309-DW309</f>
        <v>-5.4729399777964982E-2</v>
      </c>
      <c r="DZ309" s="107">
        <f t="shared" si="1302"/>
        <v>1.3725116450115173</v>
      </c>
      <c r="EA309" s="122">
        <f t="shared" si="2808"/>
        <v>-5.5061325432488761E-2</v>
      </c>
      <c r="EB309" s="107">
        <f t="shared" si="2809"/>
        <v>1.4185843403577831</v>
      </c>
      <c r="EC309" s="122">
        <f t="shared" si="2810"/>
        <v>-8.9886300862229707E-3</v>
      </c>
      <c r="ED309" s="107">
        <f>IF(SeilBeregnet=0,ED308,SeilBeregnet^0.5/Depl^0.33333)</f>
        <v>3.3455269195875532</v>
      </c>
      <c r="EE309" s="107">
        <f>IF(SeilBeregnet=0,EE308,Lwl^0.3333)</f>
        <v>2.6445290195265336</v>
      </c>
      <c r="EF309" s="107">
        <f>IF(SeilBeregnet=0,EF308,((Loa+Lwl)/Bredde)^EF$3)</f>
        <v>1.6925961427894936</v>
      </c>
      <c r="EH309" s="107">
        <f t="shared" si="2811"/>
        <v>1.4125224963961034</v>
      </c>
      <c r="EJ309" s="107">
        <f>IF(SeilBeregnet=0,EJ308,SeilBeregnet^0.5/Depl^0.33333)</f>
        <v>3.3455269195875532</v>
      </c>
      <c r="EK309" s="107">
        <f>IF(SeilBeregnet=0,EK308,Lwl^EK$3)</f>
        <v>2.6447605135392824</v>
      </c>
      <c r="EL309" s="107">
        <f>IF(SeilBeregnet=0,EL308,((Loa+Lwl)/Bredde)^EL$3)</f>
        <v>2.017006612549411</v>
      </c>
      <c r="EM309" s="107">
        <f t="shared" si="2812"/>
        <v>1.3853633199978996</v>
      </c>
      <c r="EO309" s="107">
        <f>IF(SeilBeregnet=0,EO308,(EP309*EQ309)^EO$3)</f>
        <v>5.662625959692309</v>
      </c>
      <c r="EP309" s="107">
        <f>IF(SeilBeregnet=0,EP308,SeilBeregnet^0.5/Depl^0.33333)</f>
        <v>3.3455269195875532</v>
      </c>
      <c r="EQ309" s="107">
        <f>IF(SeilBeregnet=0,EQ308,((Loa+Lwl)/Bredde)^EQ$3)</f>
        <v>1.6925961427894936</v>
      </c>
      <c r="ER309" s="107">
        <f>IF(SeilBeregnet=0,ER308,Lwl^ER$3)</f>
        <v>2.0739244522212745</v>
      </c>
      <c r="ES309" s="107">
        <f t="shared" si="2585"/>
        <v>1.4031946786363354</v>
      </c>
      <c r="EU309" s="107">
        <f>IF(SeilBeregnet=0,EU308,(EV:EV*EW:EW)^EU$3)</f>
        <v>1.9021292829014886</v>
      </c>
      <c r="EV309" s="107">
        <f>IF(SeilBeregnet=0,EV308,SeilBeregnet^0.5/Depl^0.33333)</f>
        <v>3.3455269195875532</v>
      </c>
      <c r="EW309" s="107">
        <f>IF(SeilBeregnet=0,EW308,((Loa+Lwl)/Bredde/6)^EW$3)</f>
        <v>1.081472633709186</v>
      </c>
      <c r="EX309" s="107">
        <f>IF(SeilBeregnet=0,EX308,(Lwl*0.7+Loa*0.3)^EX$3)</f>
        <v>2.1265388832179877</v>
      </c>
      <c r="EY309" s="107">
        <f t="shared" si="2586"/>
        <v>1.3303586678051904</v>
      </c>
      <c r="FA309" s="107">
        <f t="shared" si="2587"/>
        <v>1.902250504572143</v>
      </c>
      <c r="FB309" s="107">
        <f>IF(SeilBeregnet=0,FB308,SeilBeregnet^0.5/Depl^0.3333)</f>
        <v>3.3459533504183172</v>
      </c>
      <c r="FC309" s="107">
        <f>IF(SeilBeregnet=0,FC308,((Loa+Lwl)/Bredde/6)^FC$3)</f>
        <v>1.081472633709186</v>
      </c>
      <c r="FD309" s="107">
        <f>IF(SeilBeregnet=0,FD308,(Lwl*0.7+Loa*0.3)^FD$3)</f>
        <v>2.1265388832179877</v>
      </c>
      <c r="FE309" s="107">
        <f t="shared" si="2588"/>
        <v>1.4524165532138955</v>
      </c>
      <c r="FF309" s="141">
        <f t="shared" si="2813"/>
        <v>2.4843582769889405</v>
      </c>
      <c r="FG309" s="107">
        <f t="shared" si="2590"/>
        <v>3.9133703497070877</v>
      </c>
      <c r="FH309" s="133">
        <f>IF(SeilBeregnet=0,FH308,(SeilBeregnet^0.5/(Depl^0.3333))^FH$3)</f>
        <v>3.3459533504183172</v>
      </c>
      <c r="FI309" s="133">
        <f>IF(SeilBeregnet=0,FI308,((Loa+Lwl)/Bredde/6)^FI$3)</f>
        <v>1.1695830574618833</v>
      </c>
      <c r="FJ309" s="107">
        <f>IF(SeilBeregnet=0,FJ308,(Lwl*0.07+Loa*0.03)^FJ$3)</f>
        <v>1.195840693657608</v>
      </c>
      <c r="FK309" s="107">
        <f t="shared" si="2591"/>
        <v>1.3911024302826056</v>
      </c>
      <c r="FL309" s="141">
        <f t="shared" si="2814"/>
        <v>-3.64705401614005</v>
      </c>
      <c r="FM309" s="107">
        <f t="shared" si="2593"/>
        <v>5.7630943294325476</v>
      </c>
      <c r="FN309" s="133">
        <f>IF(SeilBeregnet=0,FN308,(SeilBeregnet^0.5/(Depl^0.3333))^FN$3)</f>
        <v>3.3459533504183172</v>
      </c>
      <c r="FO309" s="133">
        <f>IF(SeilBeregnet=0,FO308,(SeilBeregnet^0.5/Lwl*FO$7)^FO$3)</f>
        <v>0.7452797651988825</v>
      </c>
      <c r="FP309" s="133">
        <f>IF(SeilBeregnet=0,FP308,((Loa)/Bredde)^FP$3*FP$7)</f>
        <v>2.171861213815347</v>
      </c>
      <c r="FQ309" s="107">
        <f>IF(SeilBeregnet=0,FQ308,(Lwl)^FQ$3)</f>
        <v>2.0739244522212745</v>
      </c>
      <c r="FR309" s="107">
        <f t="shared" si="2594"/>
        <v>1.4626574192174515</v>
      </c>
      <c r="FS309" s="141">
        <f t="shared" si="2815"/>
        <v>3.5084448773445409</v>
      </c>
      <c r="FT309" s="107">
        <f t="shared" si="2596"/>
        <v>7.2669463050090535</v>
      </c>
      <c r="FU309" s="133">
        <f>IF(SeilBeregnet=0,FU308,(SeilBeregnet^0.5/(Depl^0.3333))^FU$3)</f>
        <v>3.3459533504183172</v>
      </c>
      <c r="FV309" s="133">
        <f>IF(SeilBeregnet=0,FV308,(Loa/Bredde)^FV$3)</f>
        <v>2.171861213815347</v>
      </c>
      <c r="FW309" s="107">
        <f>IF(SeilBeregnet=0,FW308,Lwl^FW$3)</f>
        <v>2.0739244522212745</v>
      </c>
      <c r="FY309" s="336">
        <v>1</v>
      </c>
      <c r="FZ309" s="62">
        <f t="shared" si="2663"/>
        <v>1.4305238790075205</v>
      </c>
      <c r="GA309" s="62">
        <f t="shared" si="1303"/>
        <v>1.8574175621006712</v>
      </c>
      <c r="GB309" s="107">
        <f t="shared" si="1640"/>
        <v>1.1210820719140724</v>
      </c>
      <c r="GC309" s="440"/>
      <c r="GD309" s="17"/>
      <c r="GE309" s="442"/>
      <c r="GF309" s="462"/>
      <c r="GG309" s="17"/>
      <c r="GH309" s="17"/>
      <c r="GI309" s="17"/>
      <c r="GJ309" s="17"/>
      <c r="GL309" s="17"/>
      <c r="GM309" s="442"/>
      <c r="GN309" s="8"/>
      <c r="GO309" s="8"/>
      <c r="GP309" s="8"/>
      <c r="GQ309" s="8"/>
      <c r="GS309" s="17"/>
      <c r="GT309" s="17"/>
      <c r="GU309" s="17"/>
      <c r="GV309" s="629"/>
      <c r="GW309" s="17"/>
      <c r="GX309" s="17"/>
      <c r="GY309" s="17"/>
      <c r="GZ309" s="17"/>
    </row>
    <row r="310" spans="1:209" ht="15.6" x14ac:dyDescent="0.3">
      <c r="A310" s="60" t="s">
        <v>64</v>
      </c>
      <c r="B310" s="218"/>
      <c r="C310" s="61" t="str">
        <f t="shared" si="2827"/>
        <v>Gaffel</v>
      </c>
      <c r="D310" s="61"/>
      <c r="E310" s="61"/>
      <c r="F310" s="61"/>
      <c r="G310" s="54"/>
      <c r="H310" s="204">
        <f>TBFavrundet</f>
        <v>140.50000000000003</v>
      </c>
      <c r="I310" s="63">
        <f>COUNTA(O310:AG310)</f>
        <v>4</v>
      </c>
      <c r="J310" s="222">
        <f>SUM(O310:AG310)</f>
        <v>237</v>
      </c>
      <c r="K310" s="116">
        <f>Seilareal/Depl^0.667/K$7</f>
        <v>1.2912892091412558</v>
      </c>
      <c r="L310" s="116">
        <f>Seilareal/Lwl/Lwl/L$7</f>
        <v>1.0507075743048895</v>
      </c>
      <c r="M310" s="92">
        <f>RiggF</f>
        <v>0.75822784810126587</v>
      </c>
      <c r="N310" s="242">
        <f>StHfaktor</f>
        <v>0.99519007058976183</v>
      </c>
      <c r="O310" s="143"/>
      <c r="P310" s="143"/>
      <c r="Q310" s="143"/>
      <c r="R310" s="165">
        <v>48</v>
      </c>
      <c r="S310" s="143"/>
      <c r="T310" s="143"/>
      <c r="U310" s="165">
        <v>31</v>
      </c>
      <c r="V310" s="559"/>
      <c r="W310" s="559"/>
      <c r="X310" s="165">
        <v>107</v>
      </c>
      <c r="Y310" s="143"/>
      <c r="Z310" s="143"/>
      <c r="AA310" s="143"/>
      <c r="AB310" s="143"/>
      <c r="AC310" s="165">
        <v>51</v>
      </c>
      <c r="AD310" s="143"/>
      <c r="AE310" s="143"/>
      <c r="AF310" s="143"/>
      <c r="AG310" s="551"/>
      <c r="AH310" s="557">
        <f t="shared" si="2816"/>
        <v>0</v>
      </c>
      <c r="AI310" s="557">
        <f t="shared" si="2816"/>
        <v>17.8</v>
      </c>
      <c r="AJ310" s="337">
        <f t="shared" si="2817"/>
        <v>0</v>
      </c>
      <c r="AK310" s="339"/>
      <c r="AL310" s="337">
        <f t="shared" si="2817"/>
        <v>0</v>
      </c>
      <c r="AM310" s="339"/>
      <c r="AN310" s="267" t="str">
        <f t="shared" ref="AN310" si="2838" xml:space="preserve"> AN309</f>
        <v>Meter</v>
      </c>
      <c r="AO310" s="45">
        <f>VLOOKUP(AN310,Skrogform!$1:$1048576,3,FALSE)</f>
        <v>1</v>
      </c>
      <c r="AP310" s="64">
        <f t="shared" ref="AP310:AZ310" si="2839">AP309</f>
        <v>25</v>
      </c>
      <c r="AQ310" s="64">
        <f t="shared" si="2839"/>
        <v>18.5</v>
      </c>
      <c r="AR310" s="64">
        <f t="shared" si="2839"/>
        <v>5.3</v>
      </c>
      <c r="AS310" s="64">
        <f t="shared" si="2839"/>
        <v>3.45</v>
      </c>
      <c r="AT310" s="64">
        <f t="shared" ref="AT310" si="2840">AT309</f>
        <v>70</v>
      </c>
      <c r="AU310" s="64">
        <f t="shared" si="2839"/>
        <v>70</v>
      </c>
      <c r="AV310" s="64">
        <f t="shared" si="2839"/>
        <v>25</v>
      </c>
      <c r="AW310" s="64">
        <f t="shared" si="2839"/>
        <v>0</v>
      </c>
      <c r="AX310" s="256">
        <f>AX309</f>
        <v>0</v>
      </c>
      <c r="AY310" s="256">
        <f t="shared" si="2839"/>
        <v>284</v>
      </c>
      <c r="AZ310" s="256">
        <f t="shared" si="2839"/>
        <v>1000</v>
      </c>
      <c r="BA310" s="256">
        <f t="shared" ref="BA310:BB310" si="2841">BA309</f>
        <v>0</v>
      </c>
      <c r="BB310" s="256">
        <f t="shared" si="2841"/>
        <v>0</v>
      </c>
      <c r="BC310" s="256"/>
      <c r="BD310" s="66"/>
      <c r="BE310" s="66"/>
      <c r="BF310" s="261"/>
      <c r="BG310" s="66"/>
      <c r="BH310" s="175"/>
      <c r="BI310" s="66"/>
      <c r="BJ310" s="66"/>
      <c r="BK310" s="65" t="str">
        <f t="shared" ref="BK310:BM310" si="2842" xml:space="preserve"> BK309</f>
        <v>Fast</v>
      </c>
      <c r="BL310" s="267">
        <f t="shared" si="2842"/>
        <v>5</v>
      </c>
      <c r="BM310" s="267">
        <f t="shared" si="2842"/>
        <v>81</v>
      </c>
      <c r="BN310" s="45">
        <f t="shared" si="2579"/>
        <v>0.97805547321272501</v>
      </c>
      <c r="BO310" s="59"/>
      <c r="BP310" s="59"/>
      <c r="BR310" s="49">
        <f t="shared" si="2823"/>
        <v>0</v>
      </c>
      <c r="BS310" s="49">
        <f t="shared" si="2823"/>
        <v>0</v>
      </c>
      <c r="BT310" s="49">
        <f t="shared" si="2823"/>
        <v>0</v>
      </c>
      <c r="BU310" s="49">
        <f t="shared" si="2823"/>
        <v>48</v>
      </c>
      <c r="BV310" s="49">
        <f t="shared" si="2823"/>
        <v>0</v>
      </c>
      <c r="BW310" s="49">
        <f t="shared" si="2823"/>
        <v>0</v>
      </c>
      <c r="BX310" s="49">
        <f t="shared" si="2823"/>
        <v>31</v>
      </c>
      <c r="BY310" s="549">
        <f>IF(COUNT(Q310:U310)&gt;1,MINA(Q310:U310)*BY$9,0)</f>
        <v>-15.5</v>
      </c>
      <c r="BZ310" s="85">
        <f t="shared" si="2824"/>
        <v>0</v>
      </c>
      <c r="CA310" s="85">
        <f t="shared" si="2824"/>
        <v>0</v>
      </c>
      <c r="CB310" s="85">
        <f t="shared" si="2824"/>
        <v>85.600000000000009</v>
      </c>
      <c r="CC310" s="85">
        <f t="shared" si="2824"/>
        <v>0</v>
      </c>
      <c r="CD310" s="85">
        <f t="shared" si="2824"/>
        <v>0</v>
      </c>
      <c r="CE310" s="85">
        <f>IF(AC310=0,0,AC310*CE$9)</f>
        <v>30.599999999999998</v>
      </c>
      <c r="CF310" s="85">
        <f t="shared" si="2825"/>
        <v>0</v>
      </c>
      <c r="CG310" s="85">
        <f t="shared" si="2825"/>
        <v>0</v>
      </c>
      <c r="CH310" s="85">
        <f t="shared" si="2826"/>
        <v>0</v>
      </c>
      <c r="CI310" s="85">
        <f t="shared" si="2826"/>
        <v>0</v>
      </c>
      <c r="CJ310" s="85">
        <f t="shared" si="2826"/>
        <v>0</v>
      </c>
      <c r="CK310" s="85">
        <f t="shared" si="2826"/>
        <v>0</v>
      </c>
      <c r="CL310" s="100">
        <f>SUM(BR310:CK310)</f>
        <v>179.70000000000002</v>
      </c>
      <c r="CM310" s="50"/>
      <c r="CN310" s="104">
        <f>J310</f>
        <v>237</v>
      </c>
      <c r="CO310" s="101">
        <f>CL310/CN310</f>
        <v>0.75822784810126587</v>
      </c>
      <c r="CP310" s="51">
        <f>Seilareal/Lwl/Lwl</f>
        <v>0.69247626004382756</v>
      </c>
      <c r="CQ310" s="116">
        <f>Seilareal/Depl^0.667/K$7</f>
        <v>1.2912892091412558</v>
      </c>
      <c r="CR310" s="51">
        <f>Seilareal/Lwl/Lwl/SApRS1</f>
        <v>1.0507075743048895</v>
      </c>
      <c r="CS310" s="204"/>
      <c r="CT310" s="204">
        <f>(ROUND(TBF/CT$6,3)*CT$6)*CT$4</f>
        <v>140.50000000000003</v>
      </c>
      <c r="CU310" s="107">
        <f t="shared" si="1267"/>
        <v>1.4029624759373267</v>
      </c>
      <c r="CV310" s="62">
        <f t="shared" si="1297"/>
        <v>3.2339579508814347</v>
      </c>
      <c r="CW310" s="62">
        <f t="shared" si="1268"/>
        <v>2.0257772791957316</v>
      </c>
      <c r="CX310" s="62">
        <f t="shared" si="1298"/>
        <v>2.0739244522212745</v>
      </c>
      <c r="CY310" s="107">
        <f t="shared" si="1269"/>
        <v>0.99519007058976183</v>
      </c>
      <c r="CZ310" s="168" t="str">
        <f t="shared" si="2804"/>
        <v>-</v>
      </c>
      <c r="DA310" s="158"/>
      <c r="DB310" s="168" t="str">
        <f t="shared" si="2805"/>
        <v>-</v>
      </c>
      <c r="DC310" s="160"/>
      <c r="DD310" s="190" t="s">
        <v>134</v>
      </c>
      <c r="DE310" s="62">
        <v>1.1599999999999999</v>
      </c>
      <c r="DF310" s="62">
        <v>1.04</v>
      </c>
      <c r="DG310" s="62">
        <v>1.1000000000000001</v>
      </c>
      <c r="DH310" s="150">
        <v>1.1599999999999999</v>
      </c>
      <c r="DI310" s="62">
        <f t="shared" si="1299"/>
        <v>2.0384666167167156</v>
      </c>
      <c r="DJ310" s="47">
        <f t="shared" si="1300"/>
        <v>13.911290322580646</v>
      </c>
      <c r="DK310" s="167"/>
      <c r="DM310" s="107">
        <f t="shared" si="2581"/>
        <v>1.3645140427680358</v>
      </c>
      <c r="DN310" s="141" t="str">
        <f t="shared" si="2806"/>
        <v>-</v>
      </c>
      <c r="DO310" s="107">
        <f t="shared" si="2807"/>
        <v>5.4250020237110999</v>
      </c>
      <c r="DP310" s="133">
        <f>IF(SeilBeregnet=0,DP308,(SeilBeregnet^0.5/(Depl^0.3333))^DP$3*DP$7)</f>
        <v>3.2531408098957533</v>
      </c>
      <c r="DQ310" s="133">
        <f>IF(SeilBeregnet=0,DQ308,(SeilBeregnet^0.5/Lwl)^DQ$3*DQ$7)</f>
        <v>0</v>
      </c>
      <c r="DR310" s="133">
        <f>IF(SeilBeregnet=0,DR308,(0.1*Loa/Depl^0.3333)^DR$3*DR$7)</f>
        <v>0</v>
      </c>
      <c r="DS310" s="133">
        <f>IF(SeilBeregnet=0,DS308,((Loa)/Bredde)^DS$3*DS$7)</f>
        <v>2.171861213815347</v>
      </c>
      <c r="DT310" s="107">
        <f>IF(SeilBeregnet=0,DT308,(Lwl)^DT$3)</f>
        <v>2.0739244522212745</v>
      </c>
      <c r="DU310" s="133">
        <f>IF(SeilBeregnet=0,DU308,(Dypg/Loa)^DU$3*5*DU$7)</f>
        <v>1.8574175621006712</v>
      </c>
      <c r="DW310" s="107">
        <f t="shared" si="512"/>
        <v>1.4029624759373267</v>
      </c>
      <c r="DX310" s="107">
        <f t="shared" si="1301"/>
        <v>1.3415381560879822</v>
      </c>
      <c r="DZ310" s="107">
        <f t="shared" si="1302"/>
        <v>1.3459107954695329</v>
      </c>
      <c r="EA310" s="122" t="str">
        <f t="shared" si="2808"/>
        <v>-</v>
      </c>
      <c r="EB310" s="107">
        <f t="shared" si="2809"/>
        <v>1.3869982840739963</v>
      </c>
      <c r="EC310" s="122" t="str">
        <f t="shared" si="2810"/>
        <v>-</v>
      </c>
      <c r="ED310" s="107">
        <f>IF(SeilBeregnet=0,ED309,SeilBeregnet^0.5/Depl^0.33333)</f>
        <v>3.2527262077202677</v>
      </c>
      <c r="EE310" s="107">
        <f>IF(SeilBeregnet=0,EE309,Lwl^0.3333)</f>
        <v>2.6445290195265336</v>
      </c>
      <c r="EF310" s="107">
        <f>IF(SeilBeregnet=0,EF309,((Loa+Lwl)/Bredde)^EF$3)</f>
        <v>1.6925961427894936</v>
      </c>
      <c r="EH310" s="107">
        <f t="shared" si="2811"/>
        <v>1.3833638715608434</v>
      </c>
      <c r="EJ310" s="107">
        <f>IF(SeilBeregnet=0,EJ309,SeilBeregnet^0.5/Depl^0.33333)</f>
        <v>3.2527262077202677</v>
      </c>
      <c r="EK310" s="107">
        <f>IF(SeilBeregnet=0,EK309,Lwl^EK$3)</f>
        <v>2.6447605135392824</v>
      </c>
      <c r="EL310" s="107">
        <f>IF(SeilBeregnet=0,EL309,((Loa+Lwl)/Bredde)^EL$3)</f>
        <v>2.017006612549411</v>
      </c>
      <c r="EM310" s="107">
        <f t="shared" si="2812"/>
        <v>1.3569651265915683</v>
      </c>
      <c r="EO310" s="107">
        <f>IF(SeilBeregnet=0,EO309,(EP310*EQ310)^EO$3)</f>
        <v>5.5055518327376216</v>
      </c>
      <c r="EP310" s="107">
        <f>IF(SeilBeregnet=0,EP309,SeilBeregnet^0.5/Depl^0.33333)</f>
        <v>3.2527262077202677</v>
      </c>
      <c r="EQ310" s="107">
        <f>IF(SeilBeregnet=0,EQ309,((Loa+Lwl)/Bredde)^EQ$3)</f>
        <v>1.6925961427894936</v>
      </c>
      <c r="ER310" s="107">
        <f>IF(SeilBeregnet=0,ER309,Lwl^ER$3)</f>
        <v>2.0739244522212745</v>
      </c>
      <c r="ES310" s="107">
        <f t="shared" si="2585"/>
        <v>1.3766076257421858</v>
      </c>
      <c r="EU310" s="107">
        <f>IF(SeilBeregnet=0,EU309,(EV:EV*EW:EW)^EU$3)</f>
        <v>1.8755624166095168</v>
      </c>
      <c r="EV310" s="107">
        <f>IF(SeilBeregnet=0,EV309,SeilBeregnet^0.5/Depl^0.33333)</f>
        <v>3.2527262077202677</v>
      </c>
      <c r="EW310" s="107">
        <f>IF(SeilBeregnet=0,EW309,((Loa+Lwl)/Bredde/6)^EW$3)</f>
        <v>1.081472633709186</v>
      </c>
      <c r="EX310" s="107">
        <f>IF(SeilBeregnet=0,EX309,(Lwl*0.7+Loa*0.3)^EX$3)</f>
        <v>2.1265388832179877</v>
      </c>
      <c r="EY310" s="107">
        <f t="shared" si="2586"/>
        <v>1.3117776695703944</v>
      </c>
      <c r="FA310" s="107">
        <f t="shared" si="2587"/>
        <v>1.8756819451881479</v>
      </c>
      <c r="FB310" s="107">
        <f>IF(SeilBeregnet=0,FB309,SeilBeregnet^0.5/Depl^0.3333)</f>
        <v>3.2531408098957533</v>
      </c>
      <c r="FC310" s="107">
        <f>IF(SeilBeregnet=0,FC309,((Loa+Lwl)/Bredde/6)^FC$3)</f>
        <v>1.081472633709186</v>
      </c>
      <c r="FD310" s="107">
        <f>IF(SeilBeregnet=0,FD309,(Lwl*0.7+Loa*0.3)^FD$3)</f>
        <v>2.1265388832179877</v>
      </c>
      <c r="FE310" s="107">
        <f t="shared" si="2588"/>
        <v>1.4257544847272354</v>
      </c>
      <c r="FF310" s="141" t="str">
        <f t="shared" si="2813"/>
        <v>-</v>
      </c>
      <c r="FG310" s="107">
        <f t="shared" si="2590"/>
        <v>3.8048183747919024</v>
      </c>
      <c r="FH310" s="133">
        <f>IF(SeilBeregnet=0,FH309,(SeilBeregnet^0.5/(Depl^0.3333))^FH$3)</f>
        <v>3.2531408098957533</v>
      </c>
      <c r="FI310" s="133">
        <f>IF(SeilBeregnet=0,FI309,((Loa+Lwl)/Bredde/6)^FI$3)</f>
        <v>1.1695830574618833</v>
      </c>
      <c r="FJ310" s="107">
        <f>IF(SeilBeregnet=0,FJ309,(Lwl*0.07+Loa*0.03)^FJ$3)</f>
        <v>1.195840693657608</v>
      </c>
      <c r="FK310" s="107">
        <f t="shared" si="2591"/>
        <v>1.3637091282381819</v>
      </c>
      <c r="FL310" s="141" t="str">
        <f t="shared" si="2814"/>
        <v>-</v>
      </c>
      <c r="FM310" s="107">
        <f t="shared" si="2593"/>
        <v>5.649608664940839</v>
      </c>
      <c r="FN310" s="133">
        <f>IF(SeilBeregnet=0,FN309,(SeilBeregnet^0.5/(Depl^0.3333))^FN$3)</f>
        <v>3.2531408098957533</v>
      </c>
      <c r="FO310" s="133">
        <f>IF(SeilBeregnet=0,FO309,(SeilBeregnet^0.5/Lwl*FO$7)^FO$3)</f>
        <v>0.72460664122973917</v>
      </c>
      <c r="FP310" s="133">
        <f>IF(SeilBeregnet=0,FP309,((Loa)/Bredde)^FP$3*FP$7)</f>
        <v>2.171861213815347</v>
      </c>
      <c r="FQ310" s="107">
        <f>IF(SeilBeregnet=0,FQ309,(Lwl)^FQ$3)</f>
        <v>2.0739244522212745</v>
      </c>
      <c r="FR310" s="107">
        <f t="shared" si="2594"/>
        <v>1.4364891424778281</v>
      </c>
      <c r="FS310" s="141" t="str">
        <f t="shared" si="2815"/>
        <v>-</v>
      </c>
      <c r="FT310" s="107">
        <f t="shared" si="2596"/>
        <v>7.0653703480924319</v>
      </c>
      <c r="FU310" s="133">
        <f>IF(SeilBeregnet=0,FU309,(SeilBeregnet^0.5/(Depl^0.3333))^FU$3)</f>
        <v>3.2531408098957533</v>
      </c>
      <c r="FV310" s="133">
        <f>IF(SeilBeregnet=0,FV309,(Loa/Bredde)^FV$3)</f>
        <v>2.171861213815347</v>
      </c>
      <c r="FW310" s="107">
        <f>IF(SeilBeregnet=0,FW309,Lwl^FW$3)</f>
        <v>2.0739244522212745</v>
      </c>
      <c r="FY310" s="336">
        <v>1</v>
      </c>
      <c r="FZ310" s="62">
        <f t="shared" si="2663"/>
        <v>1.4125230512380269</v>
      </c>
      <c r="GA310" s="62">
        <f t="shared" si="1303"/>
        <v>1.8574175621006712</v>
      </c>
      <c r="GB310" s="107">
        <f t="shared" si="1640"/>
        <v>1.1106189197057155</v>
      </c>
      <c r="GC310" s="440"/>
      <c r="GD310" s="17"/>
      <c r="GE310" s="442"/>
      <c r="GF310" s="462"/>
      <c r="GG310" s="17"/>
      <c r="GH310" s="17"/>
      <c r="GI310" s="17"/>
      <c r="GJ310" s="17"/>
      <c r="GL310" s="17"/>
      <c r="GM310" s="442"/>
      <c r="GN310" s="8"/>
      <c r="GO310" s="8"/>
      <c r="GP310" s="8"/>
      <c r="GQ310" s="8"/>
      <c r="GS310" s="17"/>
      <c r="GT310" s="17"/>
      <c r="GU310" s="17"/>
      <c r="GV310" s="629"/>
      <c r="GW310" s="17"/>
      <c r="GX310" s="17"/>
      <c r="GY310" s="17"/>
      <c r="GZ310" s="17"/>
    </row>
    <row r="311" spans="1:209" ht="15.6" x14ac:dyDescent="0.3">
      <c r="A311" s="60" t="s">
        <v>33</v>
      </c>
      <c r="B311" s="218"/>
      <c r="C311" s="61" t="str">
        <f t="shared" si="2827"/>
        <v>Gaffel</v>
      </c>
      <c r="D311" s="61"/>
      <c r="E311" s="61"/>
      <c r="F311" s="61"/>
      <c r="G311" s="54"/>
      <c r="H311" s="204">
        <f>TBFavrundet</f>
        <v>123.49999999999999</v>
      </c>
      <c r="I311" s="63">
        <f>COUNTA(O311:AG311)</f>
        <v>2</v>
      </c>
      <c r="J311" s="222">
        <f>SUM(O311:AG311)</f>
        <v>138</v>
      </c>
      <c r="K311" s="116">
        <f>Seilareal/Depl^0.667/K$7</f>
        <v>0.75188991924680715</v>
      </c>
      <c r="L311" s="116">
        <f>Seilareal/Lwl/Lwl/L$7</f>
        <v>0.61180441035474586</v>
      </c>
      <c r="M311" s="92">
        <f>RiggF</f>
        <v>0.8449275362318841</v>
      </c>
      <c r="N311" s="242">
        <f>StHfaktor</f>
        <v>0.99519007058976183</v>
      </c>
      <c r="O311" s="143"/>
      <c r="P311" s="143"/>
      <c r="Q311" s="143"/>
      <c r="R311" s="143"/>
      <c r="S311" s="143"/>
      <c r="T311" s="143"/>
      <c r="U311" s="165">
        <v>31</v>
      </c>
      <c r="V311" s="559"/>
      <c r="W311" s="559"/>
      <c r="X311" s="165">
        <v>107</v>
      </c>
      <c r="Y311" s="143"/>
      <c r="Z311" s="143"/>
      <c r="AA311" s="143"/>
      <c r="AB311" s="143"/>
      <c r="AC311" s="143"/>
      <c r="AD311" s="143"/>
      <c r="AE311" s="143"/>
      <c r="AF311" s="143"/>
      <c r="AG311" s="551"/>
      <c r="AH311" s="557">
        <f t="shared" si="2816"/>
        <v>0</v>
      </c>
      <c r="AI311" s="557">
        <f t="shared" si="2816"/>
        <v>17.8</v>
      </c>
      <c r="AJ311" s="337">
        <f t="shared" si="2817"/>
        <v>0</v>
      </c>
      <c r="AK311" s="339"/>
      <c r="AL311" s="337">
        <f t="shared" si="2817"/>
        <v>0</v>
      </c>
      <c r="AM311" s="339"/>
      <c r="AN311" s="267" t="str">
        <f t="shared" ref="AN311" si="2843" xml:space="preserve"> AN310</f>
        <v>Meter</v>
      </c>
      <c r="AO311" s="45">
        <f>VLOOKUP(AN311,Skrogform!$1:$1048576,3,FALSE)</f>
        <v>1</v>
      </c>
      <c r="AP311" s="64">
        <f t="shared" ref="AP311:AZ311" si="2844">AP310</f>
        <v>25</v>
      </c>
      <c r="AQ311" s="64">
        <f t="shared" si="2844"/>
        <v>18.5</v>
      </c>
      <c r="AR311" s="64">
        <f t="shared" si="2844"/>
        <v>5.3</v>
      </c>
      <c r="AS311" s="64">
        <f t="shared" si="2844"/>
        <v>3.45</v>
      </c>
      <c r="AT311" s="64">
        <f t="shared" ref="AT311" si="2845">AT310</f>
        <v>70</v>
      </c>
      <c r="AU311" s="64">
        <f t="shared" si="2844"/>
        <v>70</v>
      </c>
      <c r="AV311" s="64">
        <f t="shared" si="2844"/>
        <v>25</v>
      </c>
      <c r="AW311" s="64">
        <f t="shared" si="2844"/>
        <v>0</v>
      </c>
      <c r="AX311" s="256">
        <f>AX310</f>
        <v>0</v>
      </c>
      <c r="AY311" s="256">
        <f t="shared" si="2844"/>
        <v>284</v>
      </c>
      <c r="AZ311" s="256">
        <f t="shared" si="2844"/>
        <v>1000</v>
      </c>
      <c r="BA311" s="256">
        <f t="shared" ref="BA311:BB311" si="2846">BA310</f>
        <v>0</v>
      </c>
      <c r="BB311" s="256">
        <f t="shared" si="2846"/>
        <v>0</v>
      </c>
      <c r="BC311" s="256"/>
      <c r="BD311" s="66"/>
      <c r="BE311" s="66"/>
      <c r="BF311" s="261"/>
      <c r="BG311" s="66"/>
      <c r="BH311" s="175"/>
      <c r="BI311" s="66"/>
      <c r="BJ311" s="66"/>
      <c r="BK311" s="65" t="str">
        <f t="shared" ref="BK311:BM311" si="2847" xml:space="preserve"> BK310</f>
        <v>Fast</v>
      </c>
      <c r="BL311" s="267">
        <f t="shared" si="2847"/>
        <v>5</v>
      </c>
      <c r="BM311" s="267">
        <f t="shared" si="2847"/>
        <v>81</v>
      </c>
      <c r="BN311" s="45">
        <f t="shared" si="2579"/>
        <v>0.97805547321272501</v>
      </c>
      <c r="BO311" s="59"/>
      <c r="BP311" s="59"/>
      <c r="BR311" s="49">
        <f t="shared" si="2823"/>
        <v>0</v>
      </c>
      <c r="BS311" s="49">
        <f t="shared" si="2823"/>
        <v>0</v>
      </c>
      <c r="BT311" s="49">
        <f t="shared" si="2823"/>
        <v>0</v>
      </c>
      <c r="BU311" s="49">
        <f t="shared" si="2823"/>
        <v>0</v>
      </c>
      <c r="BV311" s="49">
        <f t="shared" si="2823"/>
        <v>0</v>
      </c>
      <c r="BW311" s="49">
        <f t="shared" si="2823"/>
        <v>0</v>
      </c>
      <c r="BX311" s="49">
        <f t="shared" si="2823"/>
        <v>31</v>
      </c>
      <c r="BY311" s="549">
        <f>IF(COUNT(Q311:U311)&gt;1,MINA(Q311:U311)*BY$9,0)</f>
        <v>0</v>
      </c>
      <c r="BZ311" s="85">
        <f t="shared" si="2824"/>
        <v>0</v>
      </c>
      <c r="CA311" s="85">
        <f t="shared" si="2824"/>
        <v>0</v>
      </c>
      <c r="CB311" s="85">
        <f t="shared" si="2824"/>
        <v>85.600000000000009</v>
      </c>
      <c r="CC311" s="85">
        <f t="shared" si="2824"/>
        <v>0</v>
      </c>
      <c r="CD311" s="85">
        <f t="shared" si="2824"/>
        <v>0</v>
      </c>
      <c r="CE311" s="85">
        <f>IF(AC311=0,0,AC311*CE$9)</f>
        <v>0</v>
      </c>
      <c r="CF311" s="85">
        <f t="shared" si="2825"/>
        <v>0</v>
      </c>
      <c r="CG311" s="85">
        <f t="shared" si="2825"/>
        <v>0</v>
      </c>
      <c r="CH311" s="85">
        <f t="shared" si="2826"/>
        <v>0</v>
      </c>
      <c r="CI311" s="85">
        <f t="shared" si="2826"/>
        <v>0</v>
      </c>
      <c r="CJ311" s="85">
        <f t="shared" si="2826"/>
        <v>0</v>
      </c>
      <c r="CK311" s="85">
        <f t="shared" si="2826"/>
        <v>0</v>
      </c>
      <c r="CL311" s="100">
        <f>SUM(BR311:CK311)</f>
        <v>116.60000000000001</v>
      </c>
      <c r="CM311" s="50"/>
      <c r="CN311" s="104">
        <f>J311</f>
        <v>138</v>
      </c>
      <c r="CO311" s="101">
        <f>CL311/CN311</f>
        <v>0.8449275362318841</v>
      </c>
      <c r="CP311" s="51">
        <f>Seilareal/Lwl/Lwl</f>
        <v>0.40321402483564645</v>
      </c>
      <c r="CQ311" s="116">
        <f>Seilareal/Depl^0.667/K$7</f>
        <v>0.75188991924680715</v>
      </c>
      <c r="CR311" s="51">
        <f>Seilareal/Lwl/Lwl/SApRS1</f>
        <v>0.61180441035474586</v>
      </c>
      <c r="CS311" s="204"/>
      <c r="CT311" s="204">
        <f>(ROUND(TBF/CT$6,3)*CT$6)*CT$4</f>
        <v>123.49999999999999</v>
      </c>
      <c r="CU311" s="107">
        <f t="shared" si="1267"/>
        <v>1.235199544269544</v>
      </c>
      <c r="CV311" s="62">
        <f t="shared" si="1297"/>
        <v>2.6050112633340459</v>
      </c>
      <c r="CW311" s="62">
        <f t="shared" si="1268"/>
        <v>2.0257772791957316</v>
      </c>
      <c r="CX311" s="62">
        <f t="shared" si="1298"/>
        <v>2.0739244522212745</v>
      </c>
      <c r="CY311" s="107">
        <f t="shared" si="1269"/>
        <v>0.99519007058976183</v>
      </c>
      <c r="CZ311" s="168" t="str">
        <f t="shared" si="2804"/>
        <v>-</v>
      </c>
      <c r="DA311" s="158"/>
      <c r="DB311" s="168" t="str">
        <f t="shared" si="2805"/>
        <v>-</v>
      </c>
      <c r="DC311" s="160"/>
      <c r="DD311" s="190" t="s">
        <v>134</v>
      </c>
      <c r="DE311" s="62">
        <v>1.1599999999999999</v>
      </c>
      <c r="DF311" s="62">
        <v>1.04</v>
      </c>
      <c r="DG311" s="62">
        <v>1.1000000000000001</v>
      </c>
      <c r="DH311" s="150">
        <v>1.1599999999999999</v>
      </c>
      <c r="DI311" s="62">
        <f t="shared" si="1299"/>
        <v>2.0384666167167156</v>
      </c>
      <c r="DJ311" s="47">
        <f t="shared" si="1300"/>
        <v>13.911290322580646</v>
      </c>
      <c r="DK311" s="167"/>
      <c r="DM311" s="107">
        <f t="shared" si="2581"/>
        <v>1.2053809760766481</v>
      </c>
      <c r="DN311" s="141" t="str">
        <f t="shared" si="2806"/>
        <v>-</v>
      </c>
      <c r="DO311" s="107">
        <f t="shared" si="2807"/>
        <v>4.7923246149181065</v>
      </c>
      <c r="DP311" s="133">
        <f>IF(SeilBeregnet=0,DP309,(SeilBeregnet^0.5/(Depl^0.3333))^DP$3*DP$7)</f>
        <v>2.6204634011027599</v>
      </c>
      <c r="DQ311" s="133">
        <f>IF(SeilBeregnet=0,DQ309,(SeilBeregnet^0.5/Lwl)^DQ$3*DQ$7)</f>
        <v>0</v>
      </c>
      <c r="DR311" s="133">
        <f>IF(SeilBeregnet=0,DR309,(0.1*Loa/Depl^0.3333)^DR$3*DR$7)</f>
        <v>0</v>
      </c>
      <c r="DS311" s="133">
        <f>IF(SeilBeregnet=0,DS309,((Loa)/Bredde)^DS$3*DS$7)</f>
        <v>2.171861213815347</v>
      </c>
      <c r="DT311" s="107">
        <f>IF(SeilBeregnet=0,DT309,(Lwl)^DT$3)</f>
        <v>2.0739244522212745</v>
      </c>
      <c r="DU311" s="133">
        <f>IF(SeilBeregnet=0,DU309,(Dypg/Loa)^DU$3*5*DU$7)</f>
        <v>1.8574175621006712</v>
      </c>
      <c r="DW311" s="107">
        <f t="shared" si="512"/>
        <v>1.235199544269544</v>
      </c>
      <c r="DX311" s="107">
        <f t="shared" si="1301"/>
        <v>1.1281378066856127</v>
      </c>
      <c r="DZ311" s="107">
        <f t="shared" si="1302"/>
        <v>1.1645801642298517</v>
      </c>
      <c r="EA311" s="122" t="str">
        <f t="shared" si="2808"/>
        <v>-</v>
      </c>
      <c r="EB311" s="107">
        <f t="shared" si="2809"/>
        <v>1.1716848778133675</v>
      </c>
      <c r="EC311" s="122" t="str">
        <f t="shared" si="2810"/>
        <v>-</v>
      </c>
      <c r="ED311" s="107">
        <f>IF(SeilBeregnet=0,ED310,SeilBeregnet^0.5/Depl^0.33333)</f>
        <v>2.620129431597483</v>
      </c>
      <c r="EE311" s="107">
        <f>IF(SeilBeregnet=0,EE310,Lwl^0.3333)</f>
        <v>2.6445290195265336</v>
      </c>
      <c r="EF311" s="107">
        <f>IF(SeilBeregnet=0,EF310,((Loa+Lwl)/Bredde)^EF$3)</f>
        <v>1.6925961427894936</v>
      </c>
      <c r="EH311" s="107">
        <f t="shared" si="2811"/>
        <v>1.1845975938480331</v>
      </c>
      <c r="EJ311" s="107">
        <f>IF(SeilBeregnet=0,EJ310,SeilBeregnet^0.5/Depl^0.33333)</f>
        <v>2.620129431597483</v>
      </c>
      <c r="EK311" s="107">
        <f>IF(SeilBeregnet=0,EK310,Lwl^EK$3)</f>
        <v>2.6447605135392824</v>
      </c>
      <c r="EL311" s="107">
        <f>IF(SeilBeregnet=0,EL310,((Loa+Lwl)/Bredde)^EL$3)</f>
        <v>2.017006612549411</v>
      </c>
      <c r="EM311" s="107">
        <f t="shared" si="2812"/>
        <v>1.1633824995288833</v>
      </c>
      <c r="EO311" s="107">
        <f>IF(SeilBeregnet=0,EO310,(EP311*EQ311)^EO$3)</f>
        <v>4.4348209695311276</v>
      </c>
      <c r="EP311" s="107">
        <f>IF(SeilBeregnet=0,EP310,SeilBeregnet^0.5/Depl^0.33333)</f>
        <v>2.620129431597483</v>
      </c>
      <c r="EQ311" s="107">
        <f>IF(SeilBeregnet=0,EQ310,((Loa+Lwl)/Bredde)^EQ$3)</f>
        <v>1.6925961427894936</v>
      </c>
      <c r="ER311" s="107">
        <f>IF(SeilBeregnet=0,ER310,Lwl^ER$3)</f>
        <v>2.0739244522212745</v>
      </c>
      <c r="ES311" s="107">
        <f t="shared" si="2585"/>
        <v>1.1842286638711148</v>
      </c>
      <c r="EU311" s="107">
        <f>IF(SeilBeregnet=0,EU310,(EV:EV*EW:EW)^EU$3)</f>
        <v>1.6833295212312658</v>
      </c>
      <c r="EV311" s="107">
        <f>IF(SeilBeregnet=0,EV310,SeilBeregnet^0.5/Depl^0.33333)</f>
        <v>2.620129431597483</v>
      </c>
      <c r="EW311" s="107">
        <f>IF(SeilBeregnet=0,EW310,((Loa+Lwl)/Bredde/6)^EW$3)</f>
        <v>1.081472633709186</v>
      </c>
      <c r="EX311" s="107">
        <f>IF(SeilBeregnet=0,EX310,(Lwl*0.7+Loa*0.3)^EX$3)</f>
        <v>2.1265388832179877</v>
      </c>
      <c r="EY311" s="107">
        <f t="shared" si="2586"/>
        <v>1.1773290277758452</v>
      </c>
      <c r="FA311" s="107">
        <f t="shared" si="2587"/>
        <v>1.6834367989114212</v>
      </c>
      <c r="FB311" s="107">
        <f>IF(SeilBeregnet=0,FB310,SeilBeregnet^0.5/Depl^0.3333)</f>
        <v>2.6204634011027599</v>
      </c>
      <c r="FC311" s="107">
        <f>IF(SeilBeregnet=0,FC310,((Loa+Lwl)/Bredde/6)^FC$3)</f>
        <v>1.081472633709186</v>
      </c>
      <c r="FD311" s="107">
        <f>IF(SeilBeregnet=0,FD310,(Lwl*0.7+Loa*0.3)^FD$3)</f>
        <v>2.1265388832179877</v>
      </c>
      <c r="FE311" s="107">
        <f t="shared" si="2588"/>
        <v>1.2440065408801384</v>
      </c>
      <c r="FF311" s="141" t="str">
        <f t="shared" si="2813"/>
        <v>-</v>
      </c>
      <c r="FG311" s="107">
        <f t="shared" si="2590"/>
        <v>3.0648495966287315</v>
      </c>
      <c r="FH311" s="133">
        <f>IF(SeilBeregnet=0,FH310,(SeilBeregnet^0.5/(Depl^0.3333))^FH$3)</f>
        <v>2.6204634011027599</v>
      </c>
      <c r="FI311" s="133">
        <f>IF(SeilBeregnet=0,FI310,((Loa+Lwl)/Bredde/6)^FI$3)</f>
        <v>1.1695830574618833</v>
      </c>
      <c r="FJ311" s="107">
        <f>IF(SeilBeregnet=0,FJ310,(Lwl*0.07+Loa*0.03)^FJ$3)</f>
        <v>1.195840693657608</v>
      </c>
      <c r="FK311" s="107">
        <f t="shared" si="2591"/>
        <v>1.1769765675500465</v>
      </c>
      <c r="FL311" s="141" t="str">
        <f t="shared" si="2814"/>
        <v>-</v>
      </c>
      <c r="FM311" s="107">
        <f t="shared" si="2593"/>
        <v>4.8760082900183486</v>
      </c>
      <c r="FN311" s="133">
        <f>IF(SeilBeregnet=0,FN310,(SeilBeregnet^0.5/(Depl^0.3333))^FN$3)</f>
        <v>2.6204634011027599</v>
      </c>
      <c r="FO311" s="133">
        <f>IF(SeilBeregnet=0,FO310,(SeilBeregnet^0.5/Lwl*FO$7)^FO$3)</f>
        <v>0.58368367510024166</v>
      </c>
      <c r="FP311" s="133">
        <f>IF(SeilBeregnet=0,FP310,((Loa)/Bredde)^FP$3*FP$7)</f>
        <v>2.171861213815347</v>
      </c>
      <c r="FQ311" s="107">
        <f>IF(SeilBeregnet=0,FQ310,(Lwl)^FQ$3)</f>
        <v>2.0739244522212745</v>
      </c>
      <c r="FR311" s="107">
        <f t="shared" si="2594"/>
        <v>1.2581072403449163</v>
      </c>
      <c r="FS311" s="141" t="str">
        <f t="shared" si="2815"/>
        <v>-</v>
      </c>
      <c r="FT311" s="107">
        <f t="shared" si="2596"/>
        <v>5.6912828230777324</v>
      </c>
      <c r="FU311" s="133">
        <f>IF(SeilBeregnet=0,FU310,(SeilBeregnet^0.5/(Depl^0.3333))^FU$3)</f>
        <v>2.6204634011027599</v>
      </c>
      <c r="FV311" s="133">
        <f>IF(SeilBeregnet=0,FV310,(Loa/Bredde)^FV$3)</f>
        <v>2.171861213815347</v>
      </c>
      <c r="FW311" s="107">
        <f>IF(SeilBeregnet=0,FW310,Lwl^FW$3)</f>
        <v>2.0739244522212745</v>
      </c>
      <c r="FY311" s="336">
        <v>1</v>
      </c>
      <c r="FZ311" s="62">
        <f t="shared" si="2663"/>
        <v>1.2898163889140568</v>
      </c>
      <c r="GA311" s="62">
        <f t="shared" si="1303"/>
        <v>1.8574175621006712</v>
      </c>
      <c r="GB311" s="107">
        <f t="shared" si="1640"/>
        <v>1.0333722932660305</v>
      </c>
      <c r="GC311" s="440"/>
      <c r="GD311" s="17"/>
      <c r="GE311" s="442"/>
      <c r="GF311" s="462"/>
      <c r="GG311" s="17"/>
      <c r="GH311" s="17"/>
      <c r="GI311" s="17"/>
      <c r="GJ311" s="17"/>
      <c r="GL311" s="17"/>
      <c r="GM311" s="442"/>
      <c r="GN311" s="8"/>
      <c r="GO311" s="8"/>
      <c r="GP311" s="8"/>
      <c r="GQ311" s="8"/>
      <c r="GS311" s="17"/>
      <c r="GT311" s="17"/>
      <c r="GU311" s="17"/>
      <c r="GV311" s="629"/>
      <c r="GW311" s="17"/>
      <c r="GX311" s="17"/>
      <c r="GY311" s="17"/>
      <c r="GZ311" s="17"/>
    </row>
    <row r="312" spans="1:209" ht="15.6" x14ac:dyDescent="0.3">
      <c r="A312" s="60" t="s">
        <v>134</v>
      </c>
      <c r="B312" s="218" t="s">
        <v>134</v>
      </c>
      <c r="C312" s="14" t="s">
        <v>134</v>
      </c>
      <c r="G312" s="39"/>
      <c r="H312" s="204" t="s">
        <v>134</v>
      </c>
      <c r="I312" s="109" t="s">
        <v>134</v>
      </c>
      <c r="J312" s="109" t="s">
        <v>134</v>
      </c>
      <c r="K312" s="109" t="s">
        <v>134</v>
      </c>
      <c r="L312" s="109" t="s">
        <v>134</v>
      </c>
      <c r="M312" s="109" t="s">
        <v>134</v>
      </c>
      <c r="N312" s="109" t="s">
        <v>134</v>
      </c>
      <c r="O312" s="109" t="s">
        <v>134</v>
      </c>
      <c r="P312" s="109" t="s">
        <v>134</v>
      </c>
      <c r="Q312" s="109" t="s">
        <v>134</v>
      </c>
      <c r="R312" s="109" t="s">
        <v>134</v>
      </c>
      <c r="S312" s="109" t="s">
        <v>134</v>
      </c>
      <c r="T312" s="109" t="s">
        <v>134</v>
      </c>
      <c r="U312" s="109" t="s">
        <v>134</v>
      </c>
      <c r="V312" s="109" t="s">
        <v>134</v>
      </c>
      <c r="W312" s="109" t="s">
        <v>134</v>
      </c>
      <c r="X312" s="109" t="s">
        <v>134</v>
      </c>
      <c r="Y312" s="109" t="s">
        <v>134</v>
      </c>
      <c r="Z312" s="109" t="s">
        <v>134</v>
      </c>
      <c r="AA312" s="109" t="s">
        <v>134</v>
      </c>
      <c r="AB312" s="109" t="s">
        <v>134</v>
      </c>
      <c r="AC312" s="109" t="s">
        <v>134</v>
      </c>
      <c r="AD312" s="109" t="s">
        <v>134</v>
      </c>
      <c r="AE312" s="109" t="s">
        <v>134</v>
      </c>
      <c r="AF312" s="109" t="s">
        <v>134</v>
      </c>
      <c r="AG312" s="110" t="s">
        <v>134</v>
      </c>
      <c r="AH312" s="10" t="s">
        <v>134</v>
      </c>
      <c r="AI312" s="10" t="s">
        <v>134</v>
      </c>
      <c r="AJ312" s="265" t="s">
        <v>134</v>
      </c>
      <c r="AK312" s="10" t="s">
        <v>134</v>
      </c>
      <c r="AL312" s="265" t="s">
        <v>134</v>
      </c>
      <c r="AM312" s="10" t="s">
        <v>134</v>
      </c>
      <c r="AN312" s="265" t="s">
        <v>134</v>
      </c>
      <c r="AO312" s="10" t="s">
        <v>134</v>
      </c>
      <c r="AP312" s="10" t="s">
        <v>134</v>
      </c>
      <c r="AQ312" s="10" t="s">
        <v>134</v>
      </c>
      <c r="AR312" s="10" t="s">
        <v>134</v>
      </c>
      <c r="AS312" s="10" t="s">
        <v>134</v>
      </c>
      <c r="AT312" s="10" t="s">
        <v>134</v>
      </c>
      <c r="AU312" s="10" t="s">
        <v>134</v>
      </c>
      <c r="AV312" s="10" t="s">
        <v>134</v>
      </c>
      <c r="AW312" s="10" t="s">
        <v>134</v>
      </c>
      <c r="AX312" s="10" t="s">
        <v>134</v>
      </c>
      <c r="AY312" s="10" t="s">
        <v>134</v>
      </c>
      <c r="AZ312" s="10" t="s">
        <v>134</v>
      </c>
      <c r="BA312" s="10" t="s">
        <v>134</v>
      </c>
      <c r="BB312" s="10" t="s">
        <v>134</v>
      </c>
      <c r="BC312" s="10" t="s">
        <v>134</v>
      </c>
      <c r="BD312" s="10" t="s">
        <v>134</v>
      </c>
      <c r="BE312" s="10" t="s">
        <v>134</v>
      </c>
      <c r="BF312" s="10" t="s">
        <v>134</v>
      </c>
      <c r="BG312" s="10" t="s">
        <v>134</v>
      </c>
      <c r="BH312" s="10" t="s">
        <v>134</v>
      </c>
      <c r="BI312" s="10" t="s">
        <v>134</v>
      </c>
      <c r="BJ312" s="10" t="s">
        <v>134</v>
      </c>
      <c r="BK312" s="10" t="s">
        <v>134</v>
      </c>
      <c r="BL312" s="10" t="s">
        <v>134</v>
      </c>
      <c r="BM312" s="10" t="s">
        <v>134</v>
      </c>
      <c r="BN312" s="10" t="s">
        <v>134</v>
      </c>
      <c r="BO312" s="10" t="s">
        <v>134</v>
      </c>
      <c r="BP312" s="10" t="s">
        <v>134</v>
      </c>
      <c r="BQ312" s="10" t="s">
        <v>134</v>
      </c>
      <c r="BR312" s="10" t="s">
        <v>134</v>
      </c>
      <c r="BS312" s="10" t="s">
        <v>134</v>
      </c>
      <c r="BT312" s="10" t="s">
        <v>134</v>
      </c>
      <c r="BU312" s="10" t="s">
        <v>134</v>
      </c>
      <c r="BV312" s="10" t="s">
        <v>134</v>
      </c>
      <c r="BW312" s="10" t="s">
        <v>134</v>
      </c>
      <c r="BX312" s="10" t="s">
        <v>134</v>
      </c>
      <c r="BY312" s="10" t="s">
        <v>134</v>
      </c>
      <c r="BZ312" s="10" t="s">
        <v>134</v>
      </c>
      <c r="CA312" s="10" t="s">
        <v>134</v>
      </c>
      <c r="CB312" s="10" t="s">
        <v>134</v>
      </c>
      <c r="CC312" s="10" t="s">
        <v>134</v>
      </c>
      <c r="CD312" s="10" t="s">
        <v>134</v>
      </c>
      <c r="CE312" s="10" t="s">
        <v>134</v>
      </c>
      <c r="CF312" s="10" t="s">
        <v>134</v>
      </c>
      <c r="CG312" s="10" t="s">
        <v>134</v>
      </c>
      <c r="CH312" s="10" t="s">
        <v>134</v>
      </c>
      <c r="CI312" s="10" t="s">
        <v>134</v>
      </c>
      <c r="CJ312" s="10" t="s">
        <v>134</v>
      </c>
      <c r="CK312" s="10" t="s">
        <v>134</v>
      </c>
      <c r="CL312" s="10" t="s">
        <v>134</v>
      </c>
      <c r="CM312" s="10" t="s">
        <v>134</v>
      </c>
      <c r="CN312" s="10" t="s">
        <v>134</v>
      </c>
      <c r="CO312" s="10" t="s">
        <v>134</v>
      </c>
      <c r="CP312" s="10" t="s">
        <v>134</v>
      </c>
      <c r="CQ312" s="10" t="s">
        <v>134</v>
      </c>
      <c r="CR312" s="10" t="s">
        <v>134</v>
      </c>
      <c r="CS312" s="10" t="s">
        <v>134</v>
      </c>
      <c r="CT312" s="10" t="s">
        <v>134</v>
      </c>
      <c r="CU312" s="10" t="s">
        <v>134</v>
      </c>
      <c r="CV312" s="10" t="s">
        <v>134</v>
      </c>
      <c r="CW312" s="10" t="s">
        <v>134</v>
      </c>
      <c r="CX312" s="10" t="s">
        <v>134</v>
      </c>
      <c r="CY312" s="10" t="s">
        <v>134</v>
      </c>
      <c r="CZ312" s="10" t="s">
        <v>134</v>
      </c>
      <c r="DA312" s="10" t="s">
        <v>134</v>
      </c>
      <c r="DB312" s="10" t="s">
        <v>134</v>
      </c>
      <c r="DC312" s="10" t="s">
        <v>134</v>
      </c>
      <c r="DD312" s="10" t="s">
        <v>134</v>
      </c>
      <c r="DE312" s="10" t="s">
        <v>134</v>
      </c>
      <c r="DF312" s="10" t="s">
        <v>134</v>
      </c>
      <c r="DG312" s="10" t="s">
        <v>134</v>
      </c>
      <c r="DH312" s="10" t="s">
        <v>134</v>
      </c>
      <c r="DI312" s="10" t="s">
        <v>134</v>
      </c>
      <c r="DJ312" s="10" t="s">
        <v>134</v>
      </c>
      <c r="DK312" s="10" t="s">
        <v>134</v>
      </c>
      <c r="DL312" s="10" t="s">
        <v>134</v>
      </c>
      <c r="DM312" s="10" t="s">
        <v>134</v>
      </c>
      <c r="DN312" s="10" t="s">
        <v>134</v>
      </c>
      <c r="DO312" s="10" t="s">
        <v>134</v>
      </c>
      <c r="DP312" s="10" t="s">
        <v>134</v>
      </c>
      <c r="DQ312" s="10" t="s">
        <v>134</v>
      </c>
      <c r="DR312" s="10" t="s">
        <v>134</v>
      </c>
      <c r="DS312" s="10" t="s">
        <v>134</v>
      </c>
      <c r="DT312" s="10" t="s">
        <v>134</v>
      </c>
      <c r="DU312" s="10" t="s">
        <v>134</v>
      </c>
      <c r="DV312" s="10" t="s">
        <v>134</v>
      </c>
      <c r="DW312" s="10" t="s">
        <v>134</v>
      </c>
      <c r="DX312" s="10" t="s">
        <v>134</v>
      </c>
      <c r="DY312" s="10" t="s">
        <v>134</v>
      </c>
      <c r="DZ312" s="10" t="s">
        <v>134</v>
      </c>
      <c r="EA312" s="10" t="s">
        <v>134</v>
      </c>
      <c r="EB312" s="10" t="s">
        <v>134</v>
      </c>
      <c r="EC312" s="10" t="s">
        <v>134</v>
      </c>
      <c r="ED312" s="10" t="s">
        <v>134</v>
      </c>
      <c r="EE312" s="10" t="s">
        <v>134</v>
      </c>
      <c r="EF312" s="10" t="s">
        <v>134</v>
      </c>
      <c r="EG312" s="10" t="s">
        <v>134</v>
      </c>
      <c r="EH312" s="10" t="s">
        <v>134</v>
      </c>
      <c r="EI312" s="10" t="s">
        <v>134</v>
      </c>
      <c r="EJ312" s="10" t="s">
        <v>134</v>
      </c>
      <c r="EK312" s="10" t="s">
        <v>134</v>
      </c>
      <c r="EL312" s="10" t="s">
        <v>134</v>
      </c>
      <c r="EM312" s="10" t="s">
        <v>134</v>
      </c>
      <c r="EN312" s="10" t="s">
        <v>134</v>
      </c>
      <c r="EO312" s="10" t="s">
        <v>134</v>
      </c>
      <c r="EP312" s="10" t="s">
        <v>134</v>
      </c>
      <c r="EQ312" s="10" t="s">
        <v>134</v>
      </c>
      <c r="ER312" s="10" t="s">
        <v>134</v>
      </c>
      <c r="ES312" s="10" t="s">
        <v>134</v>
      </c>
      <c r="ET312" s="10" t="s">
        <v>134</v>
      </c>
      <c r="EU312" s="10" t="s">
        <v>134</v>
      </c>
      <c r="EV312" s="10" t="s">
        <v>134</v>
      </c>
      <c r="EW312" s="10" t="s">
        <v>134</v>
      </c>
      <c r="EX312" s="10" t="s">
        <v>134</v>
      </c>
      <c r="EY312" s="10" t="s">
        <v>134</v>
      </c>
      <c r="EZ312" s="10" t="s">
        <v>134</v>
      </c>
      <c r="FA312" s="10" t="s">
        <v>134</v>
      </c>
      <c r="FB312" s="10" t="s">
        <v>134</v>
      </c>
      <c r="FC312" s="10" t="s">
        <v>134</v>
      </c>
      <c r="FD312" s="10" t="s">
        <v>134</v>
      </c>
      <c r="FE312" s="10" t="s">
        <v>134</v>
      </c>
      <c r="FF312" s="10" t="s">
        <v>134</v>
      </c>
      <c r="FG312" s="10" t="s">
        <v>134</v>
      </c>
      <c r="FH312" s="10" t="s">
        <v>134</v>
      </c>
      <c r="FI312" s="10" t="s">
        <v>134</v>
      </c>
      <c r="FJ312" s="10" t="s">
        <v>134</v>
      </c>
      <c r="FK312" s="10" t="s">
        <v>134</v>
      </c>
      <c r="FL312" s="10" t="s">
        <v>134</v>
      </c>
      <c r="FM312" s="10" t="s">
        <v>134</v>
      </c>
      <c r="FN312" s="10" t="s">
        <v>134</v>
      </c>
      <c r="FO312" s="10" t="s">
        <v>134</v>
      </c>
      <c r="FP312" s="10" t="s">
        <v>134</v>
      </c>
      <c r="FQ312" s="10" t="s">
        <v>134</v>
      </c>
      <c r="FR312" s="10" t="s">
        <v>134</v>
      </c>
      <c r="FS312" s="10" t="s">
        <v>134</v>
      </c>
      <c r="FT312" s="10" t="s">
        <v>134</v>
      </c>
      <c r="FU312" s="10" t="s">
        <v>134</v>
      </c>
      <c r="FV312" s="10" t="s">
        <v>134</v>
      </c>
      <c r="FW312" s="10" t="s">
        <v>134</v>
      </c>
      <c r="FX312" s="10" t="s">
        <v>134</v>
      </c>
      <c r="FY312" s="10" t="s">
        <v>134</v>
      </c>
      <c r="FZ312" s="10" t="s">
        <v>134</v>
      </c>
      <c r="GA312" s="10" t="s">
        <v>134</v>
      </c>
      <c r="GB312" s="10" t="s">
        <v>134</v>
      </c>
      <c r="GC312" s="10" t="s">
        <v>134</v>
      </c>
      <c r="GD312" s="10" t="s">
        <v>134</v>
      </c>
      <c r="GE312" s="10" t="s">
        <v>134</v>
      </c>
      <c r="GF312" s="10" t="s">
        <v>134</v>
      </c>
      <c r="GG312" s="10" t="s">
        <v>134</v>
      </c>
      <c r="GH312" s="10" t="s">
        <v>134</v>
      </c>
      <c r="GI312" s="10" t="s">
        <v>134</v>
      </c>
      <c r="GJ312" s="10" t="s">
        <v>134</v>
      </c>
      <c r="GK312" s="10" t="s">
        <v>134</v>
      </c>
      <c r="GL312" s="10" t="s">
        <v>134</v>
      </c>
      <c r="GM312" s="10" t="s">
        <v>134</v>
      </c>
      <c r="GN312" s="10" t="s">
        <v>134</v>
      </c>
      <c r="GO312" s="10" t="s">
        <v>134</v>
      </c>
      <c r="GP312" s="10" t="s">
        <v>134</v>
      </c>
      <c r="GQ312" s="10" t="s">
        <v>134</v>
      </c>
      <c r="GR312" s="10" t="s">
        <v>134</v>
      </c>
      <c r="GS312" s="10" t="s">
        <v>134</v>
      </c>
      <c r="GT312" s="10" t="s">
        <v>134</v>
      </c>
      <c r="GU312" s="10" t="s">
        <v>134</v>
      </c>
      <c r="GV312" s="635" t="s">
        <v>134</v>
      </c>
      <c r="GW312" s="10" t="s">
        <v>134</v>
      </c>
      <c r="GX312" s="10" t="s">
        <v>134</v>
      </c>
      <c r="GY312" s="10" t="s">
        <v>134</v>
      </c>
      <c r="GZ312" s="10" t="s">
        <v>134</v>
      </c>
      <c r="HA312" s="10" t="s">
        <v>134</v>
      </c>
    </row>
    <row r="313" spans="1:209" ht="15.6" x14ac:dyDescent="0.3">
      <c r="A313" s="60"/>
      <c r="B313" s="218"/>
      <c r="G313" s="39"/>
      <c r="H313" s="204"/>
      <c r="I313" s="109"/>
      <c r="J313" s="223"/>
      <c r="K313" s="116"/>
      <c r="L313" s="116"/>
      <c r="M313" s="92"/>
      <c r="N313" s="242"/>
      <c r="O313" s="110"/>
      <c r="P313" s="110"/>
      <c r="Q313" s="110"/>
      <c r="R313" s="110"/>
      <c r="S313" s="110"/>
      <c r="T313" s="110"/>
      <c r="U313" s="286"/>
      <c r="V313" s="286"/>
      <c r="W313" s="286"/>
      <c r="X313" s="110"/>
      <c r="Y313" s="110"/>
      <c r="Z313" s="110"/>
      <c r="AA313" s="110"/>
      <c r="AB313" s="110"/>
      <c r="AC313" s="110"/>
      <c r="AD313" s="110"/>
      <c r="AE313" s="286"/>
      <c r="AF313" s="110"/>
      <c r="AG313" s="110"/>
      <c r="AH313" s="10"/>
      <c r="AI313" s="10"/>
      <c r="AJ313" s="265"/>
      <c r="AK313" s="10"/>
      <c r="AL313" s="265"/>
      <c r="AM313" s="10"/>
      <c r="AN313" s="265"/>
      <c r="AO313" s="10"/>
      <c r="AP313" s="50"/>
      <c r="AQ313" s="50"/>
      <c r="AR313" s="50"/>
      <c r="AS313" s="50"/>
      <c r="AT313" s="50"/>
      <c r="AU313" s="50"/>
      <c r="AV313" s="50"/>
      <c r="AW313" s="50"/>
      <c r="AX313" s="287"/>
      <c r="AY313" s="287"/>
      <c r="AZ313" s="287"/>
      <c r="BA313" s="287"/>
      <c r="BB313" s="287"/>
      <c r="BC313" s="287"/>
      <c r="BD313" s="66"/>
      <c r="BE313" s="66"/>
      <c r="BF313" s="288"/>
      <c r="BG313" s="66"/>
      <c r="BH313" s="66"/>
      <c r="BI313" s="66"/>
      <c r="BJ313" s="66"/>
      <c r="BK313" s="42"/>
      <c r="BL313" s="265"/>
      <c r="BM313" s="265"/>
      <c r="BN313" s="10"/>
      <c r="BO313" s="10"/>
      <c r="BP313" s="10"/>
      <c r="BR313" s="111"/>
      <c r="BS313" s="111"/>
      <c r="BT313" s="111"/>
      <c r="BU313" s="111"/>
      <c r="BV313" s="111"/>
      <c r="BW313" s="111"/>
      <c r="BX313" s="111"/>
      <c r="BY313" s="5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00"/>
      <c r="CM313" s="50"/>
      <c r="CN313" s="112"/>
      <c r="CO313" s="113"/>
      <c r="CP313" s="114"/>
      <c r="CQ313" s="116"/>
      <c r="CR313" s="114"/>
      <c r="CS313" s="204"/>
      <c r="CT313" s="204"/>
      <c r="CU313" s="107"/>
      <c r="CV313" s="62"/>
      <c r="CW313" s="62"/>
      <c r="CX313" s="62"/>
      <c r="CY313" s="107"/>
      <c r="CZ313" s="168"/>
      <c r="DA313" s="159"/>
      <c r="DB313" s="168"/>
      <c r="DC313" s="289"/>
      <c r="DD313" s="290"/>
      <c r="DE313" s="62"/>
      <c r="DF313" s="62"/>
      <c r="DG313" s="62"/>
      <c r="DH313" s="150"/>
      <c r="DI313" s="62"/>
      <c r="DJ313" s="47"/>
      <c r="DK313" s="48"/>
      <c r="DM313" s="107"/>
      <c r="DN313" s="141"/>
      <c r="DO313" s="107"/>
      <c r="DP313" s="133"/>
      <c r="DQ313" s="133"/>
      <c r="DR313" s="133"/>
      <c r="DS313" s="133"/>
      <c r="DT313" s="107"/>
      <c r="DU313" s="133"/>
      <c r="DW313" s="107"/>
      <c r="DX313" s="107"/>
      <c r="DZ313" s="107"/>
      <c r="EA313" s="122"/>
      <c r="EB313" s="107"/>
      <c r="EC313" s="122"/>
      <c r="ED313" s="107"/>
      <c r="EE313" s="107"/>
      <c r="EF313" s="107"/>
      <c r="EH313" s="107"/>
      <c r="EJ313" s="107"/>
      <c r="EK313" s="107"/>
      <c r="EL313" s="107"/>
      <c r="EM313" s="107"/>
      <c r="EO313" s="107"/>
      <c r="EP313" s="107"/>
      <c r="EQ313" s="107"/>
      <c r="ER313" s="107"/>
      <c r="ES313" s="107"/>
      <c r="EU313" s="107"/>
      <c r="EV313" s="107"/>
      <c r="EW313" s="107"/>
      <c r="EX313" s="107"/>
      <c r="EY313" s="107"/>
      <c r="FA313" s="107"/>
      <c r="FB313" s="107"/>
      <c r="FC313" s="107"/>
      <c r="FD313" s="107"/>
      <c r="FE313" s="107"/>
      <c r="FF313" s="141"/>
      <c r="FG313" s="107"/>
      <c r="FH313" s="133"/>
      <c r="FI313" s="133"/>
      <c r="FJ313" s="107"/>
      <c r="FK313" s="107"/>
      <c r="FL313" s="141"/>
      <c r="FM313" s="107"/>
      <c r="FN313" s="133"/>
      <c r="FO313" s="133"/>
      <c r="FP313" s="133"/>
      <c r="FQ313" s="107"/>
      <c r="FR313" s="107"/>
      <c r="FS313" s="141"/>
      <c r="FT313" s="107"/>
      <c r="FU313" s="133"/>
      <c r="FV313" s="133"/>
      <c r="FW313" s="107"/>
      <c r="FZ313" s="107"/>
      <c r="GA313" s="107"/>
      <c r="GB313" s="107"/>
    </row>
    <row r="314" spans="1:209" ht="15.6" x14ac:dyDescent="0.3">
      <c r="A314" s="60"/>
      <c r="B314" s="218"/>
      <c r="G314" s="39"/>
      <c r="H314" s="204"/>
      <c r="I314" s="109"/>
      <c r="J314" s="223"/>
      <c r="K314" s="116"/>
      <c r="L314" s="116"/>
      <c r="M314" s="92"/>
      <c r="N314" s="242"/>
      <c r="O314" s="110"/>
      <c r="P314" s="110"/>
      <c r="Q314" s="110"/>
      <c r="R314" s="110"/>
      <c r="S314" s="110"/>
      <c r="T314" s="110"/>
      <c r="U314" s="286"/>
      <c r="V314" s="286"/>
      <c r="W314" s="286"/>
      <c r="X314" s="110"/>
      <c r="Y314" s="110"/>
      <c r="Z314" s="110"/>
      <c r="AA314" s="110"/>
      <c r="AB314" s="110"/>
      <c r="AC314" s="110"/>
      <c r="AD314" s="110"/>
      <c r="AE314" s="286"/>
      <c r="AF314" s="110"/>
      <c r="AG314" s="110"/>
      <c r="AH314" s="10"/>
      <c r="AI314" s="10"/>
      <c r="AJ314" s="265"/>
      <c r="AK314" s="10"/>
      <c r="AL314" s="265"/>
      <c r="AM314" s="10"/>
      <c r="AN314" s="265"/>
      <c r="AO314" s="10"/>
      <c r="AP314" s="50"/>
      <c r="AQ314" s="50"/>
      <c r="AR314" s="50"/>
      <c r="AS314" s="50"/>
      <c r="AT314" s="50"/>
      <c r="AU314" s="50"/>
      <c r="AV314" s="50"/>
      <c r="AW314" s="50"/>
      <c r="AX314" s="287"/>
      <c r="AY314" s="287"/>
      <c r="AZ314" s="287"/>
      <c r="BA314" s="287"/>
      <c r="BB314" s="287"/>
      <c r="BC314" s="287"/>
      <c r="BD314" s="66"/>
      <c r="BE314" s="66"/>
      <c r="BF314" s="288"/>
      <c r="BG314" s="66"/>
      <c r="BH314" s="66"/>
      <c r="BI314" s="66"/>
      <c r="BJ314" s="66"/>
      <c r="BK314" s="42"/>
      <c r="BL314" s="265"/>
      <c r="BM314" s="265"/>
      <c r="BN314" s="10"/>
      <c r="BO314" s="10"/>
      <c r="BP314" s="10"/>
      <c r="BR314" s="111"/>
      <c r="BS314" s="111"/>
      <c r="BT314" s="111"/>
      <c r="BU314" s="111"/>
      <c r="BV314" s="111"/>
      <c r="BW314" s="111"/>
      <c r="BX314" s="111"/>
      <c r="BY314" s="5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00"/>
      <c r="CM314" s="50"/>
      <c r="CN314" s="112"/>
      <c r="CO314" s="113"/>
      <c r="CP314" s="114"/>
      <c r="CQ314" s="116"/>
      <c r="CR314" s="114"/>
      <c r="CS314" s="204"/>
      <c r="CT314" s="204"/>
      <c r="CU314" s="107"/>
      <c r="CV314" s="62"/>
      <c r="CW314" s="62"/>
      <c r="CX314" s="62"/>
      <c r="CY314" s="107"/>
      <c r="CZ314" s="168"/>
      <c r="DA314" s="159"/>
      <c r="DB314" s="168"/>
      <c r="DC314" s="289"/>
      <c r="DD314" s="290"/>
      <c r="DE314" s="62"/>
      <c r="DF314" s="62"/>
      <c r="DG314" s="62"/>
      <c r="DH314" s="150"/>
      <c r="DI314" s="62"/>
      <c r="DJ314" s="47"/>
      <c r="DK314" s="48"/>
      <c r="DM314" s="107"/>
      <c r="DN314" s="141"/>
      <c r="DO314" s="107"/>
      <c r="DP314" s="133"/>
      <c r="DQ314" s="133"/>
      <c r="DR314" s="133"/>
      <c r="DS314" s="133"/>
      <c r="DT314" s="107"/>
      <c r="DU314" s="133"/>
      <c r="DW314" s="107"/>
      <c r="DX314" s="107"/>
      <c r="DZ314" s="107"/>
      <c r="EA314" s="122"/>
      <c r="EB314" s="107"/>
      <c r="EC314" s="122"/>
      <c r="ED314" s="107"/>
      <c r="EE314" s="107"/>
      <c r="EF314" s="107"/>
      <c r="EH314" s="107"/>
      <c r="EJ314" s="107"/>
      <c r="EK314" s="107"/>
      <c r="EL314" s="107"/>
      <c r="EM314" s="107"/>
      <c r="EO314" s="107"/>
      <c r="EP314" s="107"/>
      <c r="EQ314" s="107"/>
      <c r="ER314" s="107"/>
      <c r="ES314" s="107"/>
      <c r="EU314" s="107"/>
      <c r="EV314" s="107"/>
      <c r="EW314" s="107"/>
      <c r="EX314" s="107"/>
      <c r="EY314" s="107"/>
      <c r="FA314" s="107"/>
      <c r="FB314" s="107"/>
      <c r="FC314" s="107"/>
      <c r="FD314" s="107"/>
      <c r="FE314" s="107"/>
      <c r="FF314" s="141"/>
      <c r="FG314" s="107"/>
      <c r="FH314" s="133"/>
      <c r="FI314" s="133"/>
      <c r="FJ314" s="107"/>
      <c r="FK314" s="107"/>
      <c r="FL314" s="141"/>
      <c r="FM314" s="107"/>
      <c r="FN314" s="133"/>
      <c r="FO314" s="133"/>
      <c r="FP314" s="133"/>
      <c r="FQ314" s="107"/>
      <c r="FR314" s="107"/>
      <c r="FS314" s="141"/>
      <c r="FT314" s="107"/>
      <c r="FU314" s="133"/>
      <c r="FV314" s="133"/>
      <c r="FW314" s="107"/>
      <c r="FZ314" s="107"/>
      <c r="GA314" s="107"/>
      <c r="GB314" s="107"/>
    </row>
    <row r="315" spans="1:209" ht="15.6" x14ac:dyDescent="0.3">
      <c r="A315" s="60"/>
      <c r="B315" s="218"/>
      <c r="G315" s="39"/>
      <c r="H315" s="204"/>
      <c r="I315" s="109"/>
      <c r="J315" s="223"/>
      <c r="K315" s="116"/>
      <c r="L315" s="116"/>
      <c r="M315" s="92"/>
      <c r="N315" s="242"/>
      <c r="O315" s="110"/>
      <c r="P315" s="110"/>
      <c r="Q315" s="110"/>
      <c r="R315" s="110"/>
      <c r="S315" s="110"/>
      <c r="T315" s="110"/>
      <c r="U315" s="286"/>
      <c r="V315" s="286"/>
      <c r="W315" s="286"/>
      <c r="X315" s="110"/>
      <c r="Y315" s="110"/>
      <c r="Z315" s="110"/>
      <c r="AA315" s="110"/>
      <c r="AB315" s="110"/>
      <c r="AC315" s="110"/>
      <c r="AD315" s="110"/>
      <c r="AE315" s="286"/>
      <c r="AF315" s="110"/>
      <c r="AG315" s="110"/>
      <c r="AH315" s="10"/>
      <c r="AI315" s="10"/>
      <c r="AJ315" s="265"/>
      <c r="AK315" s="10"/>
      <c r="AL315" s="265"/>
      <c r="AM315" s="10"/>
      <c r="AN315" s="265"/>
      <c r="AO315" s="10"/>
      <c r="AP315" s="50"/>
      <c r="AQ315" s="50"/>
      <c r="AR315" s="50"/>
      <c r="AS315" s="50"/>
      <c r="AT315" s="50"/>
      <c r="AU315" s="50"/>
      <c r="AV315" s="50"/>
      <c r="AW315" s="50"/>
      <c r="AX315" s="287"/>
      <c r="AY315" s="287"/>
      <c r="AZ315" s="287"/>
      <c r="BA315" s="287"/>
      <c r="BB315" s="287"/>
      <c r="BC315" s="287"/>
      <c r="BD315" s="66"/>
      <c r="BE315" s="66"/>
      <c r="BF315" s="288"/>
      <c r="BG315" s="66"/>
      <c r="BH315" s="66"/>
      <c r="BI315" s="66"/>
      <c r="BJ315" s="66"/>
      <c r="BK315" s="42"/>
      <c r="BL315" s="265"/>
      <c r="BM315" s="265"/>
      <c r="BN315" s="10"/>
      <c r="BO315" s="10"/>
      <c r="BP315" s="10"/>
      <c r="BR315" s="111"/>
      <c r="BS315" s="111"/>
      <c r="BT315" s="111"/>
      <c r="BU315" s="111"/>
      <c r="BV315" s="111"/>
      <c r="BW315" s="111"/>
      <c r="BX315" s="111"/>
      <c r="BY315" s="5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00"/>
      <c r="CM315" s="50"/>
      <c r="CN315" s="112"/>
      <c r="CO315" s="113"/>
      <c r="CP315" s="114"/>
      <c r="CQ315" s="116"/>
      <c r="CR315" s="114"/>
      <c r="CS315" s="204"/>
      <c r="CT315" s="204"/>
      <c r="CU315" s="107"/>
      <c r="CV315" s="62"/>
      <c r="CW315" s="62"/>
      <c r="CX315" s="62"/>
      <c r="CY315" s="107"/>
      <c r="CZ315" s="168"/>
      <c r="DA315" s="159"/>
      <c r="DB315" s="168"/>
      <c r="DC315" s="289"/>
      <c r="DD315" s="290"/>
      <c r="DE315" s="62"/>
      <c r="DF315" s="62"/>
      <c r="DG315" s="62"/>
      <c r="DH315" s="150"/>
      <c r="DI315" s="62"/>
      <c r="DJ315" s="47"/>
      <c r="DK315" s="48"/>
      <c r="DM315" s="107"/>
      <c r="DN315" s="141"/>
      <c r="DO315" s="107"/>
      <c r="DP315" s="133"/>
      <c r="DQ315" s="133"/>
      <c r="DR315" s="133"/>
      <c r="DS315" s="133"/>
      <c r="DT315" s="107"/>
      <c r="DU315" s="133"/>
      <c r="DW315" s="107"/>
      <c r="DX315" s="107"/>
      <c r="DZ315" s="107"/>
      <c r="EA315" s="122"/>
      <c r="EB315" s="107"/>
      <c r="EC315" s="122"/>
      <c r="ED315" s="107"/>
      <c r="EE315" s="107"/>
      <c r="EF315" s="107"/>
      <c r="EH315" s="107"/>
      <c r="EJ315" s="107"/>
      <c r="EK315" s="107"/>
      <c r="EL315" s="107"/>
      <c r="EM315" s="107"/>
      <c r="EO315" s="107"/>
      <c r="EP315" s="107"/>
      <c r="EQ315" s="107"/>
      <c r="ER315" s="107"/>
      <c r="ES315" s="107"/>
      <c r="EU315" s="107"/>
      <c r="EV315" s="107"/>
      <c r="EW315" s="107"/>
      <c r="EX315" s="107"/>
      <c r="EY315" s="107"/>
      <c r="FA315" s="107"/>
      <c r="FB315" s="107"/>
      <c r="FC315" s="107"/>
      <c r="FD315" s="107"/>
      <c r="FE315" s="107"/>
      <c r="FF315" s="141"/>
      <c r="FG315" s="107"/>
      <c r="FH315" s="133"/>
      <c r="FI315" s="133"/>
      <c r="FJ315" s="107"/>
      <c r="FK315" s="107"/>
      <c r="FL315" s="141"/>
      <c r="FM315" s="107"/>
      <c r="FN315" s="133"/>
      <c r="FO315" s="133"/>
      <c r="FP315" s="133"/>
      <c r="FQ315" s="107"/>
      <c r="FR315" s="107"/>
      <c r="FS315" s="141"/>
      <c r="FT315" s="107"/>
      <c r="FU315" s="133"/>
      <c r="FV315" s="133"/>
      <c r="FW315" s="107"/>
      <c r="FZ315" s="107"/>
      <c r="GA315" s="107"/>
      <c r="GB315" s="107"/>
    </row>
    <row r="316" spans="1:209" ht="15.6" x14ac:dyDescent="0.3">
      <c r="A316" s="60"/>
      <c r="B316" s="218"/>
      <c r="G316" s="39"/>
      <c r="H316" s="204"/>
      <c r="I316" s="109"/>
      <c r="J316" s="223"/>
      <c r="K316" s="116"/>
      <c r="L316" s="116"/>
      <c r="M316" s="92"/>
      <c r="N316" s="242"/>
      <c r="O316" s="110"/>
      <c r="P316" s="110"/>
      <c r="Q316" s="110"/>
      <c r="R316" s="110"/>
      <c r="S316" s="110"/>
      <c r="T316" s="110"/>
      <c r="U316" s="286"/>
      <c r="V316" s="286"/>
      <c r="W316" s="286"/>
      <c r="X316" s="110"/>
      <c r="Y316" s="110"/>
      <c r="Z316" s="110"/>
      <c r="AA316" s="110"/>
      <c r="AB316" s="110"/>
      <c r="AC316" s="110"/>
      <c r="AD316" s="110"/>
      <c r="AE316" s="286"/>
      <c r="AF316" s="110"/>
      <c r="AG316" s="110"/>
      <c r="AH316" s="10"/>
      <c r="AI316" s="10"/>
      <c r="AJ316" s="265"/>
      <c r="AK316" s="10"/>
      <c r="AL316" s="265"/>
      <c r="AM316" s="10"/>
      <c r="AN316" s="265"/>
      <c r="AO316" s="10"/>
      <c r="AP316" s="50"/>
      <c r="AQ316" s="50"/>
      <c r="AR316" s="50"/>
      <c r="AS316" s="50"/>
      <c r="AT316" s="50"/>
      <c r="AU316" s="50"/>
      <c r="AV316" s="50"/>
      <c r="AW316" s="50"/>
      <c r="AX316" s="287"/>
      <c r="AY316" s="287"/>
      <c r="AZ316" s="287"/>
      <c r="BA316" s="287"/>
      <c r="BB316" s="287"/>
      <c r="BC316" s="287"/>
      <c r="BD316" s="66"/>
      <c r="BE316" s="66"/>
      <c r="BF316" s="288"/>
      <c r="BG316" s="66"/>
      <c r="BH316" s="66"/>
      <c r="BI316" s="66"/>
      <c r="BJ316" s="66"/>
      <c r="BK316" s="42"/>
      <c r="BL316" s="265"/>
      <c r="BM316" s="265"/>
      <c r="BN316" s="10"/>
      <c r="BO316" s="10"/>
      <c r="BP316" s="10"/>
      <c r="BR316" s="111"/>
      <c r="BS316" s="111"/>
      <c r="BT316" s="111"/>
      <c r="BU316" s="111"/>
      <c r="BV316" s="111"/>
      <c r="BW316" s="111"/>
      <c r="BX316" s="111"/>
      <c r="BY316" s="5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00"/>
      <c r="CM316" s="50"/>
      <c r="CN316" s="112"/>
      <c r="CO316" s="113"/>
      <c r="CP316" s="114"/>
      <c r="CQ316" s="116"/>
      <c r="CR316" s="114"/>
      <c r="CS316" s="204"/>
      <c r="CT316" s="204"/>
      <c r="CU316" s="107"/>
      <c r="CV316" s="62"/>
      <c r="CW316" s="62"/>
      <c r="CX316" s="62"/>
      <c r="CY316" s="107"/>
      <c r="CZ316" s="168"/>
      <c r="DA316" s="159"/>
      <c r="DB316" s="168"/>
      <c r="DC316" s="289"/>
      <c r="DD316" s="290"/>
      <c r="DE316" s="62"/>
      <c r="DF316" s="62"/>
      <c r="DG316" s="62"/>
      <c r="DH316" s="150"/>
      <c r="DI316" s="62"/>
      <c r="DJ316" s="47"/>
      <c r="DK316" s="48"/>
      <c r="DM316" s="107"/>
      <c r="DN316" s="141"/>
      <c r="DO316" s="107"/>
      <c r="DP316" s="133"/>
      <c r="DQ316" s="133"/>
      <c r="DR316" s="133"/>
      <c r="DS316" s="133"/>
      <c r="DT316" s="107"/>
      <c r="DU316" s="133"/>
      <c r="DW316" s="107"/>
      <c r="DX316" s="107"/>
      <c r="DZ316" s="107"/>
      <c r="EA316" s="122"/>
      <c r="EB316" s="107"/>
      <c r="EC316" s="122"/>
      <c r="ED316" s="107"/>
      <c r="EE316" s="107"/>
      <c r="EF316" s="107"/>
      <c r="EH316" s="107"/>
      <c r="EJ316" s="107"/>
      <c r="EK316" s="107"/>
      <c r="EL316" s="107"/>
      <c r="EM316" s="107"/>
      <c r="EO316" s="107"/>
      <c r="EP316" s="107"/>
      <c r="EQ316" s="107"/>
      <c r="ER316" s="107"/>
      <c r="ES316" s="107"/>
      <c r="EU316" s="107"/>
      <c r="EV316" s="107"/>
      <c r="EW316" s="107"/>
      <c r="EX316" s="107"/>
      <c r="EY316" s="107"/>
      <c r="FA316" s="107"/>
      <c r="FB316" s="107"/>
      <c r="FC316" s="107"/>
      <c r="FD316" s="107"/>
      <c r="FE316" s="107"/>
      <c r="FF316" s="141"/>
      <c r="FG316" s="107"/>
      <c r="FH316" s="133"/>
      <c r="FI316" s="133"/>
      <c r="FJ316" s="107"/>
      <c r="FK316" s="107"/>
      <c r="FL316" s="141"/>
      <c r="FM316" s="107"/>
      <c r="FN316" s="133"/>
      <c r="FO316" s="133"/>
      <c r="FP316" s="133"/>
      <c r="FQ316" s="107"/>
      <c r="FR316" s="107"/>
      <c r="FS316" s="141"/>
      <c r="FT316" s="107"/>
      <c r="FU316" s="133"/>
      <c r="FV316" s="133"/>
      <c r="FW316" s="107"/>
      <c r="FZ316" s="107"/>
      <c r="GA316" s="107"/>
      <c r="GB316" s="107"/>
    </row>
  </sheetData>
  <phoneticPr fontId="105" type="noConversion"/>
  <hyperlinks>
    <hyperlink ref="GF77" r:id="rId1" xr:uid="{7905DCC7-91BA-4B9C-86B2-ED031C381BD9}"/>
    <hyperlink ref="GF192" r:id="rId2" xr:uid="{456A6CE9-F060-455E-9A4D-AED7698DFD7B}"/>
    <hyperlink ref="GF71" r:id="rId3" xr:uid="{5B6A5A35-ACB5-4763-A5AD-19009F008C77}"/>
    <hyperlink ref="GF181" r:id="rId4" xr:uid="{BBF5EB10-6F3A-4800-90E8-2CD748631920}"/>
    <hyperlink ref="GF158" r:id="rId5" xr:uid="{745581A5-5BCA-41BF-BA71-DC5D26EFF602}"/>
    <hyperlink ref="GF44" r:id="rId6" xr:uid="{39A31EA7-AEE2-4289-A7C6-DBC37AB331DD}"/>
    <hyperlink ref="GF167" r:id="rId7" xr:uid="{4DE9B92D-64EF-427E-8A04-BFEDAA2F2210}"/>
    <hyperlink ref="GF91" r:id="rId8" xr:uid="{3F2789F8-5F83-49E4-BFFD-99D8718DE154}"/>
    <hyperlink ref="GF87" r:id="rId9" xr:uid="{060EA707-17DE-41DB-8477-56CF21497FD7}"/>
    <hyperlink ref="GF81" r:id="rId10" xr:uid="{27CD5E89-28AD-4E8A-A13E-4F259435BEEC}"/>
    <hyperlink ref="GF172" r:id="rId11" xr:uid="{6B351CCB-3717-4651-8F74-200E07CFC734}"/>
    <hyperlink ref="GF175" r:id="rId12" xr:uid="{27C9B6F0-0923-4F3B-83E1-EBBED83DD192}"/>
    <hyperlink ref="GF110" r:id="rId13" xr:uid="{01EF08BD-39A2-4235-A654-3FB8FD683567}"/>
    <hyperlink ref="GF101" r:id="rId14" xr:uid="{08C56214-3319-471B-91E5-8D181869E9EB}"/>
    <hyperlink ref="GF24" r:id="rId15" xr:uid="{2966FDFC-2BB8-42F7-A52B-549DE8CDA692}"/>
    <hyperlink ref="GF155" r:id="rId16" xr:uid="{FBA3F387-B18D-422D-A828-5EF7138E98C5}"/>
    <hyperlink ref="GF132" r:id="rId17" xr:uid="{FBFAA975-19F4-4615-AC53-3690918B497B}"/>
    <hyperlink ref="GF164" r:id="rId18" xr:uid="{8FD52047-A69E-4A75-B4BF-7B44553B3032}"/>
    <hyperlink ref="GF169" r:id="rId19" xr:uid="{73DDCB3F-FD1A-46EB-A09E-73820B16A867}"/>
    <hyperlink ref="GF31" r:id="rId20" xr:uid="{AAD57DF4-D5D3-48A7-A818-0574F5526C59}"/>
    <hyperlink ref="GF35" r:id="rId21" xr:uid="{402EC0A3-7776-4C30-A38E-73925676A585}"/>
    <hyperlink ref="GF12" r:id="rId22" xr:uid="{BE061992-9578-4547-B84C-E60D027D9673}"/>
    <hyperlink ref="GF32" r:id="rId23" xr:uid="{F80D5C28-A95A-4251-B022-6E6F575625F4}"/>
    <hyperlink ref="GF149" r:id="rId24" xr:uid="{C04C2E93-8125-469E-9DFE-60DDCFCA45AB}"/>
    <hyperlink ref="GF161" r:id="rId25" xr:uid="{DD388B6C-7BE0-45E2-9C0B-BCF4F9823C27}"/>
    <hyperlink ref="GF184" r:id="rId26" xr:uid="{2D25C411-9363-42D6-88CB-4D76CC530898}"/>
    <hyperlink ref="GF141" r:id="rId27" xr:uid="{A1B4D311-7B76-48C0-AA94-7078F8CA1F39}"/>
    <hyperlink ref="GF151" r:id="rId28" xr:uid="{3C88A67B-6493-45E4-858E-722F9125218E}"/>
  </hyperlinks>
  <printOptions horizontalCentered="1"/>
  <pageMargins left="0.19685039370078741" right="0.19685039370078741" top="0.31496062992125984" bottom="0.19685039370078741" header="0.15748031496062992" footer="0.15748031496062992"/>
  <pageSetup paperSize="9" scale="47" fitToHeight="0" orientation="landscape" r:id="rId29"/>
  <headerFooter>
    <oddHeader>&amp;C&amp;14&amp;F - &amp;D - &amp;T  -  Side &amp;P av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B657A-E23F-40C9-9CAA-236AE0F3946F}">
  <dimension ref="A1:AB540"/>
  <sheetViews>
    <sheetView workbookViewId="0">
      <selection sqref="A1:XFD1048576"/>
    </sheetView>
  </sheetViews>
  <sheetFormatPr baseColWidth="10" defaultColWidth="11.44140625" defaultRowHeight="13.2" x14ac:dyDescent="0.25"/>
  <cols>
    <col min="1" max="1" width="4.6640625" style="351" customWidth="1"/>
    <col min="2" max="3" width="4.6640625" style="352" customWidth="1"/>
    <col min="4" max="4" width="3" style="352" customWidth="1"/>
    <col min="5" max="5" width="8.6640625" style="352" customWidth="1"/>
    <col min="6" max="6" width="3.6640625" style="352" customWidth="1"/>
    <col min="7" max="7" width="6.6640625" style="379" customWidth="1"/>
    <col min="8" max="8" width="5.33203125" style="352" customWidth="1"/>
    <col min="9" max="9" width="6.44140625" style="352" customWidth="1"/>
    <col min="10" max="10" width="4.6640625" style="352" customWidth="1"/>
    <col min="11" max="11" width="5.6640625" style="352" customWidth="1"/>
    <col min="12" max="12" width="6.44140625" style="352" customWidth="1"/>
    <col min="13" max="13" width="4.44140625" style="352" customWidth="1"/>
    <col min="14" max="14" width="4.6640625" style="352" customWidth="1"/>
    <col min="15" max="15" width="2.6640625" style="352" customWidth="1"/>
    <col min="16" max="16" width="6.6640625" style="352" customWidth="1"/>
    <col min="17" max="17" width="7.6640625" style="352" customWidth="1"/>
    <col min="18" max="18" width="5.109375" style="352" customWidth="1"/>
    <col min="19" max="19" width="4.6640625" style="352" customWidth="1"/>
    <col min="20" max="16384" width="11.44140625" style="352"/>
  </cols>
  <sheetData>
    <row r="1" spans="1:19" x14ac:dyDescent="0.25">
      <c r="B1" s="351"/>
      <c r="C1" s="351"/>
      <c r="D1" s="351"/>
      <c r="E1" s="351" t="s">
        <v>597</v>
      </c>
      <c r="F1" s="351"/>
      <c r="G1" s="351" t="s">
        <v>598</v>
      </c>
      <c r="H1" s="351"/>
      <c r="I1" s="351"/>
      <c r="J1" s="351" t="s">
        <v>599</v>
      </c>
      <c r="K1" s="351"/>
      <c r="L1" s="354"/>
      <c r="N1" s="352" t="s">
        <v>600</v>
      </c>
    </row>
    <row r="2" spans="1:19" s="483" customFormat="1" ht="25.2" x14ac:dyDescent="0.45">
      <c r="A2" s="482"/>
      <c r="B2" s="482"/>
      <c r="C2" s="484"/>
      <c r="D2" s="485"/>
      <c r="E2" s="485"/>
      <c r="F2" s="484"/>
      <c r="G2" s="485"/>
      <c r="H2" s="486"/>
      <c r="I2" s="485"/>
      <c r="J2" s="485"/>
      <c r="K2" s="485"/>
      <c r="L2" s="486"/>
      <c r="M2" s="487"/>
      <c r="N2" s="488"/>
      <c r="O2" s="488"/>
      <c r="P2" s="488"/>
      <c r="Q2" s="489"/>
    </row>
    <row r="3" spans="1:19" s="356" customFormat="1" ht="30.75" customHeight="1" x14ac:dyDescent="0.6">
      <c r="A3" s="355"/>
      <c r="G3" s="357"/>
      <c r="I3" s="358" t="s">
        <v>964</v>
      </c>
      <c r="S3" s="359"/>
    </row>
    <row r="4" spans="1:19" s="483" customFormat="1" ht="25.2" x14ac:dyDescent="0.45">
      <c r="A4" s="482"/>
      <c r="G4" s="514"/>
      <c r="I4" s="515" t="s">
        <v>965</v>
      </c>
      <c r="S4" s="516"/>
    </row>
    <row r="5" spans="1:19" s="360" customFormat="1" ht="18" x14ac:dyDescent="0.35">
      <c r="C5" s="360" t="s">
        <v>962</v>
      </c>
      <c r="G5" s="477"/>
      <c r="I5" s="478"/>
      <c r="S5" s="479"/>
    </row>
    <row r="6" spans="1:19" s="364" customFormat="1" ht="15.6" x14ac:dyDescent="0.2">
      <c r="G6" s="353"/>
      <c r="I6" s="647" t="s">
        <v>913</v>
      </c>
      <c r="S6" s="359"/>
    </row>
    <row r="7" spans="1:19" s="364" customFormat="1" ht="15.6" x14ac:dyDescent="0.2">
      <c r="G7" s="353"/>
      <c r="I7" s="647" t="s">
        <v>914</v>
      </c>
      <c r="S7" s="359"/>
    </row>
    <row r="8" spans="1:19" s="360" customFormat="1" ht="18" x14ac:dyDescent="0.35">
      <c r="C8" s="360" t="s">
        <v>963</v>
      </c>
      <c r="G8" s="477"/>
      <c r="I8" s="478"/>
      <c r="S8" s="479"/>
    </row>
    <row r="9" spans="1:19" s="364" customFormat="1" ht="10.199999999999999" x14ac:dyDescent="0.2">
      <c r="G9" s="353"/>
      <c r="I9" s="410"/>
      <c r="S9" s="359"/>
    </row>
    <row r="10" spans="1:19" s="447" customFormat="1" ht="32.25" customHeight="1" x14ac:dyDescent="0.55000000000000004">
      <c r="A10" s="446" t="s">
        <v>825</v>
      </c>
      <c r="F10" s="448"/>
      <c r="J10" s="497"/>
      <c r="K10" s="498" t="s">
        <v>615</v>
      </c>
      <c r="L10" s="538" t="str">
        <f>IF(VLOOKUP($A$10,Database!$1:$1048576,Database!GZ$1,FALSE)=0,"-",VLOOKUP($A$10,Database!$1:$1048576,Database!GZ$1,FALSE))</f>
        <v>-</v>
      </c>
    </row>
    <row r="11" spans="1:19" s="356" customFormat="1" ht="25.5" customHeight="1" x14ac:dyDescent="0.6">
      <c r="B11" s="361" t="s">
        <v>349</v>
      </c>
      <c r="C11" s="454" t="str">
        <f>VLOOKUP($A$10,Database!$1:$1048576,Database!GC$1,FALSE)</f>
        <v>FÆRDER &amp; rød stripe</v>
      </c>
      <c r="F11" s="360"/>
    </row>
    <row r="12" spans="1:19" s="362" customFormat="1" ht="16.2" thickBot="1" x14ac:dyDescent="0.35">
      <c r="A12" s="369" t="s">
        <v>353</v>
      </c>
      <c r="E12" s="454" t="str">
        <f>VLOOKUP($A$10,Database!$1:$1048576,Database!C$1,FALSE)</f>
        <v>Gaffel</v>
      </c>
      <c r="F12" s="455"/>
    </row>
    <row r="13" spans="1:19" s="362" customFormat="1" ht="16.2" thickBot="1" x14ac:dyDescent="0.35">
      <c r="A13" s="369" t="s">
        <v>590</v>
      </c>
      <c r="E13" s="592">
        <f>G30/0.3048</f>
        <v>38.746719160104988</v>
      </c>
      <c r="F13" s="595" t="s">
        <v>7</v>
      </c>
      <c r="G13" s="424">
        <f>VLOOKUP($A$10,Database!$1:$1048576,Database!AP$1,FALSE)</f>
        <v>11.81</v>
      </c>
      <c r="H13" s="394" t="s">
        <v>375</v>
      </c>
      <c r="I13" s="589">
        <f>VLOOKUP($A$10,Database!$1:$1048576,Database!H$1,FALSE)</f>
        <v>114.50000000000001</v>
      </c>
      <c r="J13" s="590" t="s">
        <v>868</v>
      </c>
      <c r="K13" s="582"/>
      <c r="L13" s="591"/>
      <c r="O13" s="588"/>
      <c r="P13" s="592">
        <f>VLOOKUP($A$10,Database!$1:$1048576,Database!BC$1,FALSE)</f>
        <v>18.5</v>
      </c>
      <c r="Q13" s="593" t="s">
        <v>854</v>
      </c>
    </row>
    <row r="14" spans="1:19" s="362" customFormat="1" ht="16.2" thickBot="1" x14ac:dyDescent="0.35">
      <c r="A14" s="369" t="s">
        <v>558</v>
      </c>
      <c r="E14" s="454" t="str">
        <f>VLOOKUP($A$10,Database!$1:$1048576,Database!GS$1,FALSE)</f>
        <v>Skøyte</v>
      </c>
      <c r="F14" s="455"/>
      <c r="I14" s="602">
        <f>VLOOKUP($A$10,Database!$1:$1048576,Database!I$1,FALSE)</f>
        <v>1.19</v>
      </c>
      <c r="J14" s="600" t="s">
        <v>877</v>
      </c>
      <c r="K14" s="582"/>
      <c r="L14" s="591"/>
    </row>
    <row r="15" spans="1:19" s="362" customFormat="1" ht="15.6" x14ac:dyDescent="0.3">
      <c r="A15" s="369" t="s">
        <v>361</v>
      </c>
      <c r="E15" s="454" t="str">
        <f>VLOOKUP($A$10,Database!$1:$1048576,Database!GT$1,FALSE)</f>
        <v>Losskøyte</v>
      </c>
      <c r="F15" s="455"/>
    </row>
    <row r="16" spans="1:19" s="362" customFormat="1" ht="15.6" x14ac:dyDescent="0.3">
      <c r="A16" s="369" t="s">
        <v>360</v>
      </c>
      <c r="E16" s="454" t="str">
        <f>VLOOKUP($A$10,Database!$1:$1048576,Database!GU$1,FALSE)</f>
        <v>Porsgrund Baadbyggeri</v>
      </c>
      <c r="F16" s="455"/>
    </row>
    <row r="17" spans="1:28" s="362" customFormat="1" ht="15.6" x14ac:dyDescent="0.3">
      <c r="A17" s="369" t="s">
        <v>358</v>
      </c>
      <c r="E17" s="454" t="str">
        <f>VLOOKUP($A$10,Database!$1:$1048576,Database!GV$1,FALSE)</f>
        <v>Porsgrund Baadbyggeri, Thor Martin Jenssen fra Lindstøl</v>
      </c>
      <c r="F17" s="455"/>
    </row>
    <row r="18" spans="1:28" s="362" customFormat="1" ht="15.6" x14ac:dyDescent="0.3">
      <c r="A18" s="369" t="s">
        <v>366</v>
      </c>
      <c r="E18" s="454" t="str">
        <f>VLOOKUP($A$10,Database!$1:$1048576,Database!GW$1,FALSE)</f>
        <v>ca 1900</v>
      </c>
      <c r="F18" s="455"/>
    </row>
    <row r="19" spans="1:28" s="362" customFormat="1" ht="15.6" x14ac:dyDescent="0.3">
      <c r="A19" s="369" t="s">
        <v>422</v>
      </c>
      <c r="E19" s="454" t="str">
        <f>VLOOKUP($A$10,Database!$1:$1048576,Database!GY$1,FALSE)</f>
        <v>Hvit</v>
      </c>
      <c r="F19" s="455"/>
    </row>
    <row r="20" spans="1:28" s="362" customFormat="1" ht="15.6" x14ac:dyDescent="0.3">
      <c r="A20" s="369" t="s">
        <v>421</v>
      </c>
      <c r="E20" s="454" t="str">
        <f>VLOOKUP($A$10,Database!$1:$1048576,Database!GX$1,FALSE)</f>
        <v>Hvite</v>
      </c>
      <c r="F20" s="455"/>
    </row>
    <row r="21" spans="1:28" s="362" customFormat="1" ht="15.6" x14ac:dyDescent="0.3">
      <c r="A21" s="455" t="s">
        <v>2</v>
      </c>
      <c r="E21" s="457"/>
      <c r="F21" s="445"/>
      <c r="K21" s="456" t="s">
        <v>754</v>
      </c>
    </row>
    <row r="22" spans="1:28" s="362" customFormat="1" ht="15.6" x14ac:dyDescent="0.3">
      <c r="A22" s="454">
        <f>VLOOKUP($A$10,Database!$1:$1048576,Database!GD$1,FALSE)</f>
        <v>0</v>
      </c>
      <c r="K22" s="454" t="str">
        <f>IF(VLOOKUP($A$10,Database!$1:$1048576,Database!GL$1,FALSE)=0,"-",VLOOKUP($A$10,Database!$1:$1048576,Database!GL$1,FALSE))</f>
        <v>.-</v>
      </c>
      <c r="P22" s="361"/>
      <c r="Q22" s="369"/>
    </row>
    <row r="23" spans="1:28" s="362" customFormat="1" ht="15.6" x14ac:dyDescent="0.3">
      <c r="A23" s="369">
        <f>VLOOKUP($A$10,Database!$1:$1048576,Database!GG$1,FALSE)</f>
        <v>0</v>
      </c>
      <c r="K23" s="454" t="str">
        <f>IF(VLOOKUP($A$10,Database!$1:$1048576,Database!GO$1,FALSE)=0,"-",VLOOKUP($A$10,Database!$1:$1048576,Database!GO$1,FALSE))</f>
        <v>.-</v>
      </c>
      <c r="P23" s="361"/>
      <c r="Q23" s="369"/>
    </row>
    <row r="24" spans="1:28" s="362" customFormat="1" ht="15.6" x14ac:dyDescent="0.3">
      <c r="A24" s="454" t="str">
        <f>VLOOKUP($A$10,Database!$1:$1048576,Database!GH$1,FALSE)</f>
        <v>Porsgrunn</v>
      </c>
      <c r="G24" s="370"/>
      <c r="I24" s="370"/>
      <c r="J24" s="507"/>
      <c r="K24" s="369" t="str">
        <f>IF(VLOOKUP($A$10,Database!$1:$1048576,Database!GP$1,FALSE)=0,"-",VLOOKUP($A$10,Database!$1:$1048576,Database!GP$1,FALSE))</f>
        <v>.-</v>
      </c>
    </row>
    <row r="25" spans="1:28" s="362" customFormat="1" ht="15.6" x14ac:dyDescent="0.3">
      <c r="A25" s="454" t="str">
        <f>VLOOKUP($A$10,Database!$1:$1048576,Database!GI$1,FALSE)</f>
        <v>Norge</v>
      </c>
      <c r="C25" s="369"/>
      <c r="D25" s="369"/>
      <c r="H25" s="508"/>
      <c r="I25" s="509"/>
      <c r="J25" s="361"/>
      <c r="K25" s="454" t="str">
        <f>IF(VLOOKUP($A$10,Database!$1:$1048576,Database!GQ$1,FALSE)=0,"-",VLOOKUP($A$10,Database!$1:$1048576,Database!GQ$1,FALSE))</f>
        <v>.-</v>
      </c>
      <c r="M25" s="369"/>
    </row>
    <row r="26" spans="1:28" s="362" customFormat="1" ht="15.6" x14ac:dyDescent="0.3">
      <c r="A26" s="352"/>
      <c r="B26" s="379" t="s">
        <v>350</v>
      </c>
      <c r="C26" s="351">
        <f>VLOOKUP($A$10,Database!$1:$1048576,Database!GE$1,FALSE)</f>
        <v>0</v>
      </c>
      <c r="D26" s="352"/>
      <c r="E26" s="352"/>
      <c r="K26" s="369" t="str">
        <f>IF(VLOOKUP($A$10,Database!$1:$1048576,Database!GM$1,FALSE)=0,"-",VLOOKUP($A$10,Database!$1:$1048576,Database!GM$1,FALSE))</f>
        <v>.-</v>
      </c>
      <c r="L26" s="457"/>
      <c r="P26" s="457"/>
      <c r="Q26" s="445"/>
    </row>
    <row r="27" spans="1:28" s="362" customFormat="1" ht="15.6" x14ac:dyDescent="0.3">
      <c r="A27" s="352"/>
      <c r="B27" s="379" t="s">
        <v>351</v>
      </c>
      <c r="C27" s="351">
        <f>VLOOKUP($A$10,Database!$1:$1048576,Database!GF$1,FALSE)</f>
        <v>0</v>
      </c>
      <c r="D27" s="352"/>
      <c r="E27" s="352"/>
      <c r="K27" s="369" t="str">
        <f>IF(VLOOKUP($A$10,Database!$1:$1048576,Database!GN$1,FALSE)=0,"-",VLOOKUP($A$10,Database!$1:$1048576,Database!GN$1,FALSE))</f>
        <v>.-</v>
      </c>
      <c r="L27" s="457"/>
      <c r="P27" s="457"/>
      <c r="Q27" s="445"/>
    </row>
    <row r="28" spans="1:28" s="365" customFormat="1" ht="17.399999999999999" x14ac:dyDescent="0.3">
      <c r="A28" s="468"/>
      <c r="B28" s="467"/>
      <c r="C28" s="379" t="s">
        <v>419</v>
      </c>
      <c r="D28" s="351">
        <f>VLOOKUP($A$10,Database!$1:$1048576,Database!GJ$1,FALSE)</f>
        <v>0</v>
      </c>
      <c r="E28" s="352"/>
      <c r="H28" s="458"/>
      <c r="I28" s="459"/>
      <c r="J28" s="353"/>
      <c r="K28" s="402"/>
      <c r="L28" s="457"/>
      <c r="M28" s="460"/>
      <c r="N28" s="352"/>
      <c r="O28" s="352"/>
      <c r="P28" s="352"/>
      <c r="Q28" s="352"/>
      <c r="R28" s="352"/>
    </row>
    <row r="29" spans="1:28" s="450" customFormat="1" ht="17.399999999999999" x14ac:dyDescent="0.3">
      <c r="A29" s="382" t="s">
        <v>661</v>
      </c>
      <c r="G29" s="451"/>
      <c r="H29" s="452"/>
      <c r="K29" s="402"/>
      <c r="L29" s="457"/>
      <c r="M29" s="460"/>
      <c r="N29" s="352"/>
      <c r="O29" s="352"/>
      <c r="P29" s="352"/>
      <c r="Q29" s="352"/>
      <c r="R29" s="449"/>
      <c r="T29" s="453">
        <f>I1+1</f>
        <v>1</v>
      </c>
    </row>
    <row r="30" spans="1:28" s="425" customFormat="1" ht="15.6" x14ac:dyDescent="0.3">
      <c r="A30" s="369" t="s">
        <v>374</v>
      </c>
      <c r="B30" s="352"/>
      <c r="C30" s="352"/>
      <c r="D30" s="352"/>
      <c r="E30" s="352"/>
      <c r="F30" s="402" t="s">
        <v>354</v>
      </c>
      <c r="G30" s="424">
        <f>VLOOKUP($A$10,Database!$1:$1048576,Database!AP$1,FALSE)</f>
        <v>11.81</v>
      </c>
      <c r="H30" s="351" t="s">
        <v>375</v>
      </c>
      <c r="I30" s="450"/>
      <c r="J30" s="450"/>
      <c r="K30" s="402"/>
      <c r="L30" s="457"/>
      <c r="M30" s="460"/>
      <c r="N30" s="352"/>
      <c r="O30" s="352"/>
      <c r="P30" s="352"/>
      <c r="Q30" s="352"/>
      <c r="T30" s="352"/>
      <c r="U30" s="379" t="s">
        <v>376</v>
      </c>
      <c r="V30" s="426">
        <f>G31/G30</f>
        <v>0.94326841659610505</v>
      </c>
      <c r="W30" s="351" t="s">
        <v>377</v>
      </c>
      <c r="X30" s="352"/>
    </row>
    <row r="31" spans="1:28" s="425" customFormat="1" ht="15.6" x14ac:dyDescent="0.3">
      <c r="A31" s="369" t="s">
        <v>740</v>
      </c>
      <c r="B31" s="352"/>
      <c r="C31" s="352"/>
      <c r="D31" s="352"/>
      <c r="E31" s="352"/>
      <c r="F31" s="402" t="s">
        <v>354</v>
      </c>
      <c r="G31" s="428">
        <f>IF(VLOOKUP($A$10,Database!$1:$1048576,Database!AQ$1,FALSE)=0,"?",VLOOKUP($A$10,Database!$1:$1048576,Database!AQ$1,FALSE))</f>
        <v>11.14</v>
      </c>
      <c r="H31" s="351" t="s">
        <v>375</v>
      </c>
      <c r="I31" s="450"/>
      <c r="J31" s="450"/>
      <c r="K31" s="402"/>
      <c r="L31" s="457"/>
      <c r="M31" s="460"/>
      <c r="N31" s="352"/>
      <c r="O31" s="352"/>
      <c r="P31" s="352"/>
      <c r="Q31" s="352"/>
      <c r="T31" s="352"/>
      <c r="U31" s="379" t="s">
        <v>379</v>
      </c>
      <c r="V31" s="426">
        <f>G32/G30</f>
        <v>0.36833192209991528</v>
      </c>
      <c r="W31" s="351" t="s">
        <v>380</v>
      </c>
      <c r="X31" s="352"/>
      <c r="Y31" s="352"/>
      <c r="Z31" s="352"/>
      <c r="AA31" s="352"/>
      <c r="AB31" s="352"/>
    </row>
    <row r="32" spans="1:28" s="425" customFormat="1" ht="15.6" x14ac:dyDescent="0.3">
      <c r="A32" s="369" t="s">
        <v>378</v>
      </c>
      <c r="B32" s="352"/>
      <c r="C32" s="352"/>
      <c r="D32" s="352"/>
      <c r="E32" s="352"/>
      <c r="F32" s="402" t="s">
        <v>354</v>
      </c>
      <c r="G32" s="424">
        <f>VLOOKUP($A$10,Database!$1:$1048576,Database!AR$1,FALSE)</f>
        <v>4.3499999999999996</v>
      </c>
      <c r="H32" s="351" t="s">
        <v>375</v>
      </c>
      <c r="I32" s="351" t="s">
        <v>743</v>
      </c>
      <c r="J32" s="450"/>
      <c r="K32" s="402"/>
      <c r="L32" s="457"/>
      <c r="M32" s="460"/>
      <c r="N32" s="352"/>
      <c r="O32" s="352"/>
      <c r="P32" s="352"/>
      <c r="Q32" s="352"/>
      <c r="T32" s="352"/>
      <c r="Y32" s="352"/>
      <c r="Z32" s="352"/>
      <c r="AA32" s="387"/>
      <c r="AB32" s="352"/>
    </row>
    <row r="33" spans="1:28" s="425" customFormat="1" ht="15.6" x14ac:dyDescent="0.3">
      <c r="A33" s="369" t="s">
        <v>630</v>
      </c>
      <c r="B33" s="352"/>
      <c r="C33" s="352"/>
      <c r="D33" s="352"/>
      <c r="E33" s="352"/>
      <c r="F33" s="402" t="s">
        <v>354</v>
      </c>
      <c r="G33" s="471" t="str">
        <f>IF(VLOOKUP($A$10,Database!$1:$1048576,Database!AN$1,FALSE)=0,"-",VLOOKUP($A$10,Database!$1:$1048576,Database!AN$1,FALSE))</f>
        <v>Los</v>
      </c>
      <c r="H33" s="351"/>
      <c r="I33" s="394"/>
      <c r="J33" s="394"/>
      <c r="Q33" s="424" t="s">
        <v>753</v>
      </c>
      <c r="T33" s="352"/>
      <c r="W33" s="352"/>
      <c r="X33" s="379"/>
      <c r="Y33" s="411"/>
      <c r="Z33" s="352"/>
      <c r="AA33" s="352"/>
      <c r="AB33" s="352"/>
    </row>
    <row r="34" spans="1:28" s="425" customFormat="1" ht="15.6" x14ac:dyDescent="0.3">
      <c r="A34" s="369" t="s">
        <v>607</v>
      </c>
      <c r="B34" s="352"/>
      <c r="C34" s="352"/>
      <c r="D34" s="352"/>
      <c r="E34" s="352"/>
      <c r="F34" s="402" t="s">
        <v>354</v>
      </c>
      <c r="G34" s="424">
        <f>VLOOKUP($A$10,Database!$1:$1048576,Database!AS$1,FALSE)</f>
        <v>1.95</v>
      </c>
      <c r="H34" s="351" t="s">
        <v>608</v>
      </c>
      <c r="K34" s="490" t="s">
        <v>647</v>
      </c>
      <c r="L34" s="491"/>
      <c r="M34" s="491"/>
      <c r="N34" s="491"/>
      <c r="O34" s="491"/>
      <c r="P34" s="491"/>
      <c r="Q34" s="492"/>
      <c r="T34" s="352"/>
      <c r="U34" s="379" t="s">
        <v>381</v>
      </c>
      <c r="V34" s="427">
        <f>G34/G31</f>
        <v>0.17504488330341111</v>
      </c>
      <c r="W34" s="351" t="s">
        <v>382</v>
      </c>
      <c r="Y34" s="352"/>
      <c r="AA34" s="424"/>
      <c r="AB34" s="352"/>
    </row>
    <row r="35" spans="1:28" s="425" customFormat="1" ht="15.6" x14ac:dyDescent="0.3">
      <c r="A35" s="369" t="s">
        <v>601</v>
      </c>
      <c r="B35" s="352"/>
      <c r="C35" s="352"/>
      <c r="D35" s="352"/>
      <c r="E35" s="352"/>
      <c r="F35" s="402" t="s">
        <v>354</v>
      </c>
      <c r="G35" s="428">
        <f>IF(VLOOKUP($A$10,Database!$1:$1048576,Database!AV$1,FALSE)=0,"-",VLOOKUP($A$10,Database!$1:$1048576,Database!AV$1,FALSE))</f>
        <v>3</v>
      </c>
      <c r="H35" s="351" t="s">
        <v>611</v>
      </c>
      <c r="I35" s="394"/>
      <c r="J35" s="352"/>
      <c r="K35" s="505" t="s">
        <v>648</v>
      </c>
      <c r="Q35" s="506"/>
      <c r="T35" s="352"/>
      <c r="U35" s="379" t="s">
        <v>384</v>
      </c>
      <c r="V35" s="426">
        <f>(G36+G35)/G37</f>
        <v>0.27027027027027029</v>
      </c>
      <c r="W35" s="352" t="s">
        <v>385</v>
      </c>
      <c r="X35" s="352"/>
      <c r="Y35" s="352"/>
      <c r="Z35" s="352"/>
      <c r="AA35" s="429">
        <f>G37*0.36</f>
        <v>6.66</v>
      </c>
      <c r="AB35" s="352" t="s">
        <v>386</v>
      </c>
    </row>
    <row r="36" spans="1:28" s="425" customFormat="1" ht="15.6" x14ac:dyDescent="0.3">
      <c r="A36" s="369" t="s">
        <v>602</v>
      </c>
      <c r="B36" s="352"/>
      <c r="C36" s="352"/>
      <c r="D36" s="352"/>
      <c r="E36" s="352"/>
      <c r="F36" s="402" t="s">
        <v>354</v>
      </c>
      <c r="G36" s="428">
        <f>IF(VLOOKUP($A$10,Database!$1:$1048576,Database!AW$1,FALSE)=0,"-",VLOOKUP($A$10,Database!$1:$1048576,Database!AW$1,FALSE))</f>
        <v>2</v>
      </c>
      <c r="H36" s="351" t="s">
        <v>611</v>
      </c>
      <c r="I36" s="394"/>
      <c r="J36" s="379"/>
      <c r="K36" s="641" t="s">
        <v>649</v>
      </c>
      <c r="N36" s="494"/>
      <c r="O36" s="494"/>
      <c r="P36" s="494"/>
      <c r="Q36" s="495"/>
      <c r="T36" s="352"/>
      <c r="W36" s="352"/>
      <c r="X36" s="379" t="s">
        <v>387</v>
      </c>
      <c r="Y36" s="411"/>
      <c r="Z36" s="352" t="s">
        <v>388</v>
      </c>
      <c r="AA36" s="352"/>
      <c r="AB36" s="352"/>
    </row>
    <row r="37" spans="1:28" s="425" customFormat="1" ht="16.2" thickBot="1" x14ac:dyDescent="0.35">
      <c r="A37" s="369" t="s">
        <v>734</v>
      </c>
      <c r="B37" s="352"/>
      <c r="C37" s="352"/>
      <c r="D37" s="352"/>
      <c r="E37" s="352"/>
      <c r="F37" s="402" t="s">
        <v>354</v>
      </c>
      <c r="G37" s="424">
        <f>VLOOKUP($A$10,Database!$1:$1048576,Database!AU$1,FALSE)</f>
        <v>18.5</v>
      </c>
      <c r="H37" s="351" t="s">
        <v>383</v>
      </c>
      <c r="I37" s="643">
        <f>VLOOKUP($A$10,Database!$1:$1048576,Database!BF$1,FALSE)</f>
        <v>0.91927561056965568</v>
      </c>
      <c r="J37" s="644" t="s">
        <v>912</v>
      </c>
      <c r="K37" s="645"/>
      <c r="L37" s="644"/>
      <c r="M37" s="646"/>
      <c r="N37" s="352"/>
      <c r="O37" s="352"/>
      <c r="P37" s="352"/>
      <c r="Q37" s="351"/>
      <c r="R37" s="352"/>
      <c r="S37" s="352"/>
      <c r="T37" s="352"/>
    </row>
    <row r="38" spans="1:28" ht="15.6" x14ac:dyDescent="0.3">
      <c r="A38" s="565" t="s">
        <v>653</v>
      </c>
      <c r="B38" s="526"/>
      <c r="C38" s="526"/>
      <c r="D38" s="526"/>
      <c r="E38" s="566"/>
      <c r="F38" s="567"/>
      <c r="G38" s="596" t="str">
        <f>IF(VLOOKUP($A$10,Database!$1:$1048576,Database!BB$1,FALSE)=0,"?",VLOOKUP($A$10,Database!$1:$1048576,Database!BB$1,FALSE))</f>
        <v>?</v>
      </c>
      <c r="H38" s="568" t="s">
        <v>655</v>
      </c>
      <c r="I38" s="642" t="s">
        <v>738</v>
      </c>
      <c r="J38" s="354"/>
      <c r="K38" s="369"/>
      <c r="L38" s="362"/>
      <c r="M38" s="362"/>
      <c r="N38" s="526"/>
      <c r="O38" s="567"/>
      <c r="P38" s="576"/>
      <c r="Q38" s="351"/>
      <c r="R38" s="353"/>
      <c r="S38" s="499"/>
      <c r="T38" s="387"/>
    </row>
    <row r="39" spans="1:28" ht="16.2" thickBot="1" x14ac:dyDescent="0.35">
      <c r="A39" s="569" t="s">
        <v>654</v>
      </c>
      <c r="B39" s="570"/>
      <c r="C39" s="570"/>
      <c r="D39" s="570"/>
      <c r="E39" s="571"/>
      <c r="F39" s="572"/>
      <c r="G39" s="597" t="str">
        <f>IF(VLOOKUP($A$10,Database!$1:$1048576,Database!BA$1,FALSE)=0,"?",VLOOKUP($A$10,Database!$1:$1048576,Database!BA$1,FALSE))</f>
        <v>?</v>
      </c>
      <c r="H39" s="573" t="s">
        <v>655</v>
      </c>
      <c r="I39" s="580"/>
      <c r="J39" s="577"/>
      <c r="K39" s="578" t="s">
        <v>658</v>
      </c>
      <c r="L39" s="570"/>
      <c r="M39" s="570"/>
      <c r="N39" s="570"/>
      <c r="O39" s="572"/>
      <c r="P39" s="579"/>
      <c r="Q39" s="351"/>
      <c r="R39" s="353"/>
      <c r="S39" s="499"/>
      <c r="T39" s="387"/>
    </row>
    <row r="40" spans="1:28" ht="16.2" thickBot="1" x14ac:dyDescent="0.35">
      <c r="A40" s="581" t="s">
        <v>744</v>
      </c>
      <c r="B40" s="582"/>
      <c r="C40" s="582"/>
      <c r="D40" s="582"/>
      <c r="E40" s="583"/>
      <c r="F40" s="584"/>
      <c r="G40" s="585">
        <f>VLOOKUP($A$10,Database!$1:$1048576,Database!BC$1,FALSE)</f>
        <v>18.5</v>
      </c>
      <c r="H40" s="586" t="s">
        <v>383</v>
      </c>
      <c r="I40" s="386"/>
      <c r="J40" s="354"/>
      <c r="K40" s="369"/>
      <c r="L40" s="362"/>
      <c r="M40" s="362"/>
      <c r="N40" s="362"/>
      <c r="O40" s="370"/>
      <c r="P40" s="384"/>
      <c r="Q40" s="351"/>
      <c r="R40" s="353"/>
      <c r="S40" s="499"/>
      <c r="T40" s="387"/>
    </row>
    <row r="41" spans="1:28" ht="17.399999999999999" x14ac:dyDescent="0.3">
      <c r="A41" s="382" t="s">
        <v>559</v>
      </c>
      <c r="B41" s="362"/>
      <c r="C41" s="362"/>
      <c r="D41" s="362"/>
      <c r="E41" s="362"/>
      <c r="F41" s="402" t="s">
        <v>354</v>
      </c>
      <c r="G41" s="361"/>
      <c r="H41" s="369"/>
      <c r="I41" s="351"/>
      <c r="J41" s="362"/>
      <c r="K41" s="362"/>
      <c r="L41" s="362"/>
      <c r="M41" s="362"/>
      <c r="N41" s="362"/>
      <c r="O41" s="362"/>
      <c r="P41" s="362"/>
      <c r="Q41" s="369"/>
    </row>
    <row r="42" spans="1:28" ht="3.75" customHeight="1" x14ac:dyDescent="0.3">
      <c r="A42" s="362"/>
      <c r="B42" s="362"/>
      <c r="C42" s="362"/>
      <c r="D42" s="362"/>
      <c r="E42" s="362"/>
      <c r="F42" s="402" t="s">
        <v>354</v>
      </c>
      <c r="G42" s="361"/>
      <c r="H42" s="369"/>
      <c r="I42" s="362"/>
      <c r="J42" s="362"/>
      <c r="K42" s="362"/>
      <c r="L42" s="362"/>
      <c r="M42" s="362"/>
      <c r="N42" s="362"/>
      <c r="O42" s="362"/>
      <c r="P42" s="362"/>
      <c r="Q42" s="369"/>
    </row>
    <row r="43" spans="1:28" ht="15.6" x14ac:dyDescent="0.3">
      <c r="A43" s="454" t="s">
        <v>563</v>
      </c>
      <c r="B43" s="362"/>
      <c r="C43" s="362"/>
      <c r="D43" s="362"/>
      <c r="E43" s="362"/>
      <c r="F43" s="402" t="s">
        <v>354</v>
      </c>
      <c r="G43" s="587">
        <f>IF(VLOOKUP($A$10,Database!$1:$1048576,Database!X$1,FALSE)=0,"-",VLOOKUP($A$10,Database!$1:$1048576,Database!X$1,FALSE))</f>
        <v>54.6</v>
      </c>
      <c r="H43" s="354" t="s">
        <v>560</v>
      </c>
      <c r="I43" s="362"/>
      <c r="J43" s="362"/>
      <c r="K43" s="369"/>
      <c r="L43" s="362"/>
      <c r="M43" s="362"/>
      <c r="N43" s="362"/>
      <c r="O43" s="370"/>
      <c r="P43" s="469"/>
      <c r="Q43" s="354"/>
    </row>
    <row r="44" spans="1:28" ht="15.6" x14ac:dyDescent="0.3">
      <c r="A44" s="369" t="s">
        <v>745</v>
      </c>
      <c r="B44" s="362"/>
      <c r="C44" s="362"/>
      <c r="D44" s="362"/>
      <c r="E44" s="362"/>
      <c r="F44" s="402" t="s">
        <v>354</v>
      </c>
      <c r="G44" s="469">
        <f>IF(VLOOKUP($A$10,Database!$1:$1048576,Database!Y$1,FALSE)=0,"-",VLOOKUP($A$10,Database!$1:$1048576,Database!Y$1,FALSE))</f>
        <v>42.2</v>
      </c>
      <c r="H44" s="354" t="s">
        <v>560</v>
      </c>
      <c r="I44" s="362"/>
      <c r="J44" s="362"/>
      <c r="K44" s="369"/>
      <c r="L44" s="362"/>
      <c r="M44" s="362"/>
      <c r="N44" s="362"/>
      <c r="O44" s="370"/>
      <c r="P44" s="469"/>
      <c r="Q44" s="354"/>
    </row>
    <row r="45" spans="1:28" ht="15.6" x14ac:dyDescent="0.3">
      <c r="A45" s="369" t="s">
        <v>746</v>
      </c>
      <c r="B45" s="362"/>
      <c r="C45" s="362"/>
      <c r="D45" s="362"/>
      <c r="E45" s="362"/>
      <c r="F45" s="402" t="s">
        <v>354</v>
      </c>
      <c r="G45" s="469">
        <f>IF(VLOOKUP($A$10,Database!$1:$1048576,Database!Z$1,FALSE)=0,"-",VLOOKUP($A$10,Database!$1:$1048576,Database!Z$1,FALSE))</f>
        <v>32.299999999999997</v>
      </c>
      <c r="H45" s="354" t="s">
        <v>560</v>
      </c>
      <c r="I45" s="362"/>
      <c r="J45" s="362"/>
      <c r="K45" s="369"/>
      <c r="L45" s="362"/>
      <c r="M45" s="362"/>
      <c r="N45" s="362"/>
      <c r="O45" s="370"/>
      <c r="P45" s="384"/>
      <c r="Q45" s="351"/>
    </row>
    <row r="46" spans="1:28" ht="15.6" x14ac:dyDescent="0.3">
      <c r="A46" s="369" t="s">
        <v>942</v>
      </c>
      <c r="B46" s="362"/>
      <c r="C46" s="362"/>
      <c r="D46" s="362"/>
      <c r="E46" s="362"/>
      <c r="F46" s="402" t="s">
        <v>354</v>
      </c>
      <c r="G46" s="428" t="str">
        <f>IF(VLOOKUP($A$10,Database!$1:$1048576,Database!AH$1,FALSE)=0,"-",VLOOKUP($A$10,Database!$1:$1048576,Database!AH$1,FALSE))</f>
        <v>-</v>
      </c>
      <c r="H46" s="354" t="s">
        <v>375</v>
      </c>
      <c r="I46" s="362"/>
      <c r="J46" s="362"/>
      <c r="K46" s="369"/>
      <c r="L46" s="362"/>
      <c r="M46" s="362"/>
      <c r="N46" s="362"/>
      <c r="O46" s="370"/>
      <c r="P46" s="384"/>
      <c r="Q46" s="351"/>
    </row>
    <row r="47" spans="1:28" ht="15.6" x14ac:dyDescent="0.3">
      <c r="A47" s="369" t="s">
        <v>943</v>
      </c>
      <c r="B47" s="362"/>
      <c r="C47" s="362"/>
      <c r="D47" s="362"/>
      <c r="E47" s="362"/>
      <c r="F47" s="402"/>
      <c r="G47" s="469"/>
      <c r="H47" s="354" t="s">
        <v>375</v>
      </c>
      <c r="I47" s="362"/>
      <c r="J47" s="362"/>
      <c r="K47" s="369"/>
      <c r="L47" s="362"/>
      <c r="M47" s="362"/>
      <c r="N47" s="362"/>
      <c r="O47" s="370"/>
      <c r="P47" s="384"/>
      <c r="Q47" s="351"/>
    </row>
    <row r="48" spans="1:28" ht="15.6" x14ac:dyDescent="0.3">
      <c r="A48" s="369" t="s">
        <v>400</v>
      </c>
      <c r="B48" s="362"/>
      <c r="C48" s="362"/>
      <c r="D48" s="362"/>
      <c r="E48" s="362"/>
      <c r="F48" s="402" t="s">
        <v>354</v>
      </c>
      <c r="G48" s="428">
        <f>IF(VLOOKUP($A$10,Database!$1:$1048576,Database!AI$1,FALSE)=0,"-",VLOOKUP($A$10,Database!$1:$1048576,Database!AI$1,FALSE))</f>
        <v>11.2</v>
      </c>
      <c r="H48" s="354" t="s">
        <v>375</v>
      </c>
      <c r="I48" s="362" t="s">
        <v>736</v>
      </c>
      <c r="J48" s="362"/>
      <c r="K48" s="369"/>
      <c r="L48" s="362"/>
      <c r="M48" s="362"/>
      <c r="N48" s="362"/>
      <c r="O48" s="370"/>
      <c r="P48" s="384"/>
      <c r="Q48" s="351"/>
    </row>
    <row r="49" spans="1:20" ht="15.6" x14ac:dyDescent="0.3">
      <c r="A49" s="454" t="s">
        <v>10</v>
      </c>
      <c r="B49" s="362"/>
      <c r="C49" s="362"/>
      <c r="D49" s="362"/>
      <c r="E49" s="362"/>
      <c r="F49" s="402" t="s">
        <v>354</v>
      </c>
      <c r="G49" s="587">
        <f>IF(VLOOKUP($A$10,Database!$1:$1048576,Database!AA$1,FALSE)=0,"-",VLOOKUP($A$10,Database!$1:$1048576,Database!AA$1,FALSE))</f>
        <v>13.7</v>
      </c>
      <c r="H49" s="354" t="s">
        <v>560</v>
      </c>
      <c r="I49" s="362"/>
      <c r="J49" s="362"/>
    </row>
    <row r="50" spans="1:20" ht="15.6" x14ac:dyDescent="0.3">
      <c r="A50" s="369" t="s">
        <v>566</v>
      </c>
      <c r="B50" s="362"/>
      <c r="C50" s="362"/>
      <c r="D50" s="362"/>
      <c r="E50" s="362"/>
      <c r="F50" s="402" t="s">
        <v>354</v>
      </c>
      <c r="G50" s="469" t="str">
        <f>IF(VLOOKUP($A$10,Database!$1:$1048576,Database!AB$1,FALSE)=0,"-",VLOOKUP($A$10,Database!$1:$1048576,Database!AB$1,FALSE))</f>
        <v>-</v>
      </c>
      <c r="H50" s="354" t="s">
        <v>560</v>
      </c>
      <c r="I50" s="362"/>
      <c r="J50" s="362"/>
    </row>
    <row r="51" spans="1:20" ht="15.6" x14ac:dyDescent="0.3">
      <c r="A51" s="454" t="s">
        <v>397</v>
      </c>
      <c r="B51" s="362"/>
      <c r="C51" s="362"/>
      <c r="D51" s="362"/>
      <c r="F51" s="402" t="s">
        <v>354</v>
      </c>
      <c r="G51" s="587">
        <f>IF(VLOOKUP($A$10,Database!$1:$1048576,Database!U$1,FALSE)=0,"-",VLOOKUP($A$10,Database!$1:$1048576,Database!U$1,FALSE))</f>
        <v>19.7</v>
      </c>
      <c r="H51" s="354" t="s">
        <v>560</v>
      </c>
      <c r="I51" s="354"/>
      <c r="J51" s="354"/>
      <c r="K51" s="369" t="s">
        <v>726</v>
      </c>
      <c r="L51" s="362"/>
      <c r="M51" s="362"/>
      <c r="N51" s="362"/>
      <c r="O51" s="370" t="s">
        <v>354</v>
      </c>
      <c r="P51" s="469" t="str">
        <f>IF(VLOOKUP($A$10,Database!$1:$1048576,Database!V$1,FALSE)=0,"-",VLOOKUP($A$10,Database!$1:$1048576,Database!V$1,FALSE))</f>
        <v>-</v>
      </c>
      <c r="Q51" s="354" t="s">
        <v>560</v>
      </c>
    </row>
    <row r="52" spans="1:20" ht="15.6" x14ac:dyDescent="0.3">
      <c r="A52" s="454" t="s">
        <v>756</v>
      </c>
      <c r="B52" s="362"/>
      <c r="C52" s="362"/>
      <c r="D52" s="362"/>
      <c r="E52" s="362"/>
      <c r="F52" s="402" t="s">
        <v>354</v>
      </c>
      <c r="G52" s="587">
        <f>IF(VLOOKUP($A$10,Database!$1:$1048576,Database!R$1,FALSE)=0,"-",VLOOKUP($A$10,Database!$1:$1048576,Database!R$1,FALSE))</f>
        <v>26.5</v>
      </c>
      <c r="H52" s="354" t="s">
        <v>560</v>
      </c>
      <c r="J52" s="362"/>
      <c r="K52" s="369" t="s">
        <v>724</v>
      </c>
      <c r="L52" s="362"/>
      <c r="M52" s="362"/>
      <c r="N52" s="362"/>
      <c r="O52" s="370" t="s">
        <v>354</v>
      </c>
      <c r="P52" s="469"/>
      <c r="Q52" s="354" t="s">
        <v>560</v>
      </c>
    </row>
    <row r="53" spans="1:20" ht="15.6" x14ac:dyDescent="0.3">
      <c r="A53" s="369" t="s">
        <v>561</v>
      </c>
      <c r="B53" s="362"/>
      <c r="C53" s="362"/>
      <c r="D53" s="362"/>
      <c r="E53" s="364"/>
      <c r="F53" s="402" t="s">
        <v>354</v>
      </c>
      <c r="G53" s="469">
        <f>IF(VLOOKUP($A$10,Database!$1:$1048576,Database!S$1,FALSE)=0,"-",VLOOKUP($A$10,Database!$1:$1048576,Database!S$1,FALSE))</f>
        <v>15.9</v>
      </c>
      <c r="H53" s="354" t="s">
        <v>560</v>
      </c>
      <c r="J53" s="362"/>
      <c r="K53" s="369" t="s">
        <v>725</v>
      </c>
      <c r="L53" s="362"/>
      <c r="M53" s="362"/>
      <c r="N53" s="362"/>
      <c r="O53" s="370" t="s">
        <v>354</v>
      </c>
      <c r="P53" s="469" t="str">
        <f>IF(VLOOKUP($A$10,Database!$1:$1048576,Database!W$1,FALSE)=0,"-",VLOOKUP($A$10,Database!$1:$1048576,Database!W$1,FALSE))</f>
        <v>-</v>
      </c>
      <c r="Q53" s="354" t="s">
        <v>560</v>
      </c>
    </row>
    <row r="54" spans="1:20" ht="15.6" x14ac:dyDescent="0.3">
      <c r="A54" s="369" t="s">
        <v>562</v>
      </c>
      <c r="B54" s="362"/>
      <c r="C54" s="362"/>
      <c r="D54" s="362"/>
      <c r="E54" s="364"/>
      <c r="F54" s="402" t="s">
        <v>354</v>
      </c>
      <c r="G54" s="469" t="str">
        <f>IF(VLOOKUP($A$10,Database!$1:$1048576,Database!T$1,FALSE)=0,"-",VLOOKUP($A$10,Database!$1:$1048576,Database!T$1,FALSE))</f>
        <v>-</v>
      </c>
      <c r="H54" s="354" t="s">
        <v>560</v>
      </c>
      <c r="I54" s="386"/>
      <c r="J54" s="354"/>
      <c r="K54" s="369"/>
      <c r="L54" s="362"/>
      <c r="M54" s="362"/>
      <c r="N54" s="362"/>
      <c r="O54" s="370"/>
      <c r="P54" s="384"/>
      <c r="Q54" s="351"/>
      <c r="T54" s="387"/>
    </row>
    <row r="55" spans="1:20" ht="15.6" x14ac:dyDescent="0.3">
      <c r="A55" s="369" t="s">
        <v>567</v>
      </c>
      <c r="B55" s="362"/>
      <c r="C55" s="362"/>
      <c r="D55" s="362"/>
      <c r="F55" s="402" t="s">
        <v>354</v>
      </c>
      <c r="G55" s="469" t="str">
        <f>IF(VLOOKUP($A$10,Database!$1:$1048576,Database!Q$1,FALSE)=0,"-",VLOOKUP($A$10,Database!$1:$1048576,Database!Q$1,FALSE))</f>
        <v>-</v>
      </c>
      <c r="H55" s="354" t="s">
        <v>560</v>
      </c>
      <c r="I55" s="354"/>
      <c r="J55" s="354"/>
      <c r="K55" s="369"/>
      <c r="L55" s="362"/>
      <c r="M55" s="362"/>
      <c r="N55" s="362"/>
      <c r="O55" s="370"/>
      <c r="P55" s="384"/>
      <c r="Q55" s="351"/>
    </row>
    <row r="56" spans="1:20" ht="15.6" x14ac:dyDescent="0.3">
      <c r="A56" s="369" t="s">
        <v>733</v>
      </c>
      <c r="B56" s="362"/>
      <c r="C56" s="362"/>
      <c r="D56" s="362"/>
      <c r="E56" s="364"/>
      <c r="F56" s="402" t="s">
        <v>354</v>
      </c>
      <c r="G56" s="469" t="str">
        <f>IF(VLOOKUP($A$10,Database!$1:$1048576,Database!P$1,FALSE)=0,"-",VLOOKUP($A$10,Database!$1:$1048576,Database!P$1,FALSE))</f>
        <v>-</v>
      </c>
      <c r="H56" s="354" t="s">
        <v>560</v>
      </c>
      <c r="I56" s="386"/>
      <c r="J56" s="354"/>
      <c r="K56" s="369"/>
      <c r="L56" s="362"/>
      <c r="M56" s="362"/>
      <c r="N56" s="362"/>
      <c r="O56" s="370"/>
      <c r="P56" s="384"/>
      <c r="Q56" s="351"/>
      <c r="T56" s="387"/>
    </row>
    <row r="57" spans="1:20" ht="15.6" x14ac:dyDescent="0.3">
      <c r="A57" s="369" t="s">
        <v>568</v>
      </c>
      <c r="B57" s="362"/>
      <c r="C57" s="362"/>
      <c r="D57" s="362"/>
      <c r="E57" s="364"/>
      <c r="F57" s="402" t="s">
        <v>354</v>
      </c>
      <c r="G57" s="469" t="str">
        <f>IF(VLOOKUP($A$10,Database!$1:$1048576,Database!O$1,FALSE)=0,"-",VLOOKUP($A$10,Database!$1:$1048576,Database!O$1,FALSE))</f>
        <v>-</v>
      </c>
      <c r="H57" s="354" t="s">
        <v>560</v>
      </c>
      <c r="I57" s="386"/>
      <c r="J57" s="354"/>
      <c r="K57" s="369"/>
      <c r="L57" s="362"/>
      <c r="M57" s="362"/>
      <c r="N57" s="362"/>
      <c r="O57" s="370"/>
      <c r="P57" s="384"/>
      <c r="Q57" s="351"/>
      <c r="T57" s="387"/>
    </row>
    <row r="58" spans="1:20" ht="15.6" x14ac:dyDescent="0.3">
      <c r="A58" s="454" t="s">
        <v>747</v>
      </c>
      <c r="B58" s="362"/>
      <c r="C58" s="362"/>
      <c r="D58" s="362"/>
      <c r="E58" s="362"/>
      <c r="F58" s="402" t="s">
        <v>354</v>
      </c>
      <c r="G58" s="587" t="str">
        <f>IF(VLOOKUP($A$10,Database!$1:$1048576,Database!AC$1,FALSE)=0,"-",VLOOKUP($A$10,Database!$1:$1048576,Database!AC$1,FALSE))</f>
        <v>-</v>
      </c>
      <c r="H58" s="354" t="s">
        <v>560</v>
      </c>
      <c r="I58" s="362"/>
      <c r="J58" s="362"/>
      <c r="K58" s="369"/>
      <c r="L58" s="362"/>
      <c r="M58" s="362"/>
      <c r="N58" s="362"/>
      <c r="O58" s="370"/>
      <c r="P58" s="469"/>
      <c r="Q58" s="354"/>
    </row>
    <row r="59" spans="1:20" ht="15.6" x14ac:dyDescent="0.3">
      <c r="A59" s="369" t="s">
        <v>565</v>
      </c>
      <c r="B59" s="362"/>
      <c r="C59" s="362"/>
      <c r="D59" s="362"/>
      <c r="E59" s="362"/>
      <c r="F59" s="402" t="s">
        <v>354</v>
      </c>
      <c r="G59" s="587" t="str">
        <f>IF(VLOOKUP($A$10,Database!$1:$1048576,Database!AD$1,FALSE)=0,"-",VLOOKUP($A$10,Database!$1:$1048576,Database!AD$1,FALSE))</f>
        <v>-</v>
      </c>
      <c r="H59" s="354" t="s">
        <v>560</v>
      </c>
      <c r="I59" s="362"/>
      <c r="J59" s="362"/>
      <c r="K59" s="369"/>
      <c r="L59" s="362"/>
      <c r="M59" s="362"/>
      <c r="N59" s="362"/>
      <c r="O59" s="370"/>
      <c r="P59" s="384"/>
      <c r="Q59" s="351"/>
    </row>
    <row r="60" spans="1:20" ht="15.6" x14ac:dyDescent="0.3">
      <c r="A60" s="369" t="s">
        <v>728</v>
      </c>
      <c r="B60" s="362"/>
      <c r="C60" s="362"/>
      <c r="D60" s="362"/>
      <c r="E60" s="362"/>
      <c r="F60" s="402" t="s">
        <v>354</v>
      </c>
      <c r="G60" s="428"/>
      <c r="H60" s="354" t="s">
        <v>375</v>
      </c>
      <c r="I60" s="362"/>
      <c r="J60" s="362"/>
      <c r="K60" s="369"/>
      <c r="L60" s="362"/>
      <c r="M60" s="362"/>
      <c r="N60" s="362"/>
      <c r="O60" s="370"/>
      <c r="P60" s="384"/>
      <c r="Q60" s="351"/>
    </row>
    <row r="61" spans="1:20" ht="15.6" x14ac:dyDescent="0.3">
      <c r="A61" s="369" t="s">
        <v>944</v>
      </c>
      <c r="B61" s="362"/>
      <c r="C61" s="362"/>
      <c r="D61" s="362"/>
      <c r="E61" s="364"/>
      <c r="F61" s="402" t="s">
        <v>354</v>
      </c>
      <c r="G61" s="469" t="str">
        <f>IF(VLOOKUP($A$10,Database!$1:$1048576,Database!AJ$1,FALSE)=0,"Dacron",VLOOKUP($A$10,Database!$1:$1048576,Database!AJ$1,FALSE))</f>
        <v>Dacron</v>
      </c>
      <c r="H61" s="354"/>
      <c r="I61" s="386"/>
      <c r="J61" s="354"/>
      <c r="K61" s="369"/>
      <c r="L61" s="362"/>
      <c r="M61" s="362"/>
      <c r="N61" s="362"/>
      <c r="O61" s="370"/>
      <c r="P61" s="384"/>
      <c r="Q61" s="351"/>
      <c r="R61" s="353"/>
      <c r="S61" s="499"/>
      <c r="T61" s="387"/>
    </row>
    <row r="62" spans="1:20" s="364" customFormat="1" ht="17.399999999999999" x14ac:dyDescent="0.3">
      <c r="A62" s="382" t="s">
        <v>835</v>
      </c>
      <c r="F62" s="410"/>
      <c r="G62" s="473"/>
      <c r="H62" s="354"/>
      <c r="I62" s="386"/>
      <c r="J62" s="354"/>
      <c r="K62" s="354"/>
      <c r="O62" s="410"/>
      <c r="P62" s="474"/>
      <c r="Q62" s="354"/>
      <c r="R62" s="353"/>
      <c r="S62" s="499"/>
      <c r="T62" s="500"/>
    </row>
    <row r="63" spans="1:20" ht="15.6" x14ac:dyDescent="0.3">
      <c r="A63" s="369" t="s">
        <v>574</v>
      </c>
      <c r="B63" s="362"/>
      <c r="C63" s="362"/>
      <c r="D63" s="362"/>
      <c r="E63" s="364"/>
      <c r="F63" s="370"/>
      <c r="G63" s="470">
        <f>IF(VLOOKUP($A$10,Database!$1:$1048576,Database!BM$1,FALSE)=0,"-",VLOOKUP($A$10,Database!$1:$1048576,Database!BM$1,FALSE))</f>
        <v>75</v>
      </c>
      <c r="H63" s="354" t="s">
        <v>368</v>
      </c>
      <c r="I63" s="386"/>
      <c r="J63" s="354"/>
      <c r="K63" s="369"/>
      <c r="L63" s="362"/>
      <c r="M63" s="362"/>
      <c r="N63" s="362"/>
      <c r="O63" s="370"/>
      <c r="P63" s="384"/>
      <c r="Q63" s="351"/>
      <c r="R63" s="353"/>
      <c r="S63" s="499"/>
      <c r="T63" s="387"/>
    </row>
    <row r="64" spans="1:20" ht="15.6" x14ac:dyDescent="0.3">
      <c r="A64" s="369" t="s">
        <v>576</v>
      </c>
      <c r="B64" s="362"/>
      <c r="C64" s="362"/>
      <c r="D64" s="362"/>
      <c r="E64" s="364"/>
      <c r="F64" s="370"/>
      <c r="G64" s="470">
        <f>IF(VLOOKUP($A$10,Database!$1:$1048576,Database!BL$1,FALSE)=0,"-",VLOOKUP($A$10,Database!$1:$1048576,Database!BL$1,FALSE))</f>
        <v>3</v>
      </c>
      <c r="H64" s="354" t="s">
        <v>577</v>
      </c>
      <c r="I64" s="386"/>
      <c r="J64" s="354"/>
      <c r="K64" s="369"/>
      <c r="L64" s="362"/>
      <c r="M64" s="362"/>
      <c r="N64" s="362"/>
      <c r="O64" s="370"/>
      <c r="P64" s="384"/>
      <c r="Q64" s="351"/>
      <c r="R64" s="353"/>
      <c r="S64" s="499"/>
      <c r="T64" s="387"/>
    </row>
    <row r="65" spans="1:20" ht="15.6" x14ac:dyDescent="0.3">
      <c r="A65" s="369" t="s">
        <v>575</v>
      </c>
      <c r="B65" s="362"/>
      <c r="C65" s="362"/>
      <c r="D65" s="362"/>
      <c r="E65" s="364"/>
      <c r="F65" s="370"/>
      <c r="G65" s="470" t="str">
        <f>IF(VLOOKUP($A$10,Database!$1:$1048576,Database!BK$1,FALSE)=0,"-",VLOOKUP($A$10,Database!$1:$1048576,Database!BK$1,FALSE))</f>
        <v>Seilrett</v>
      </c>
      <c r="H65" s="354"/>
      <c r="I65" s="541" t="s">
        <v>752</v>
      </c>
      <c r="J65" s="354"/>
      <c r="K65" s="369"/>
      <c r="L65" s="362"/>
      <c r="M65" s="362"/>
      <c r="N65" s="362"/>
      <c r="O65" s="370"/>
      <c r="P65" s="384"/>
      <c r="Q65" s="351"/>
      <c r="R65" s="353"/>
      <c r="S65" s="499"/>
      <c r="T65" s="387"/>
    </row>
    <row r="66" spans="1:20" ht="15.6" x14ac:dyDescent="0.3">
      <c r="A66" s="369" t="s">
        <v>603</v>
      </c>
      <c r="B66" s="362"/>
      <c r="C66" s="362"/>
      <c r="D66" s="362"/>
      <c r="E66" s="364"/>
      <c r="F66" s="370"/>
      <c r="G66" s="470">
        <f>IF(VLOOKUP($A$10,Database!$1:$1048576,Database!AY$1,FALSE)=0,"-",VLOOKUP($A$10,Database!$1:$1048576,Database!AY$1,FALSE))</f>
        <v>70</v>
      </c>
      <c r="H66" s="354" t="s">
        <v>609</v>
      </c>
      <c r="I66" s="386"/>
      <c r="J66" s="354"/>
      <c r="K66" s="490" t="s">
        <v>647</v>
      </c>
      <c r="L66" s="491"/>
      <c r="M66" s="491"/>
      <c r="N66" s="491"/>
      <c r="O66" s="491"/>
      <c r="P66" s="491"/>
      <c r="Q66" s="492"/>
      <c r="R66" s="353"/>
      <c r="S66" s="499"/>
      <c r="T66" s="387"/>
    </row>
    <row r="67" spans="1:20" ht="15.6" x14ac:dyDescent="0.3">
      <c r="A67" s="369" t="s">
        <v>604</v>
      </c>
      <c r="B67" s="362"/>
      <c r="C67" s="362"/>
      <c r="D67" s="362"/>
      <c r="E67" s="364"/>
      <c r="F67" s="370"/>
      <c r="G67" s="470">
        <f>IF(VLOOKUP($A$10,Database!$1:$1048576,Database!AZ$1,FALSE)=0,"-",VLOOKUP($A$10,Database!$1:$1048576,Database!AZ$1,FALSE))</f>
        <v>350</v>
      </c>
      <c r="H67" s="354" t="s">
        <v>610</v>
      </c>
      <c r="I67" s="386"/>
      <c r="J67" s="354"/>
      <c r="K67" s="505" t="s">
        <v>648</v>
      </c>
      <c r="L67" s="425"/>
      <c r="M67" s="425"/>
      <c r="N67" s="425"/>
      <c r="O67" s="425"/>
      <c r="P67" s="425"/>
      <c r="Q67" s="506"/>
      <c r="R67" s="353"/>
      <c r="S67" s="499"/>
      <c r="T67" s="387"/>
    </row>
    <row r="68" spans="1:20" ht="15.6" x14ac:dyDescent="0.3">
      <c r="A68" s="369" t="s">
        <v>605</v>
      </c>
      <c r="B68" s="362"/>
      <c r="C68" s="362"/>
      <c r="D68" s="362"/>
      <c r="E68" s="364"/>
      <c r="F68" s="370"/>
      <c r="G68" s="470" t="str">
        <f>IF(VLOOKUP($A$10,Database!$1:$1048576,Database!AX$1,FALSE)=0,"-",VLOOKUP($A$10,Database!$1:$1048576,Database!AX$1,FALSE))</f>
        <v>-</v>
      </c>
      <c r="H68" s="354" t="s">
        <v>610</v>
      </c>
      <c r="I68" s="386"/>
      <c r="J68" s="354"/>
      <c r="K68" s="493" t="s">
        <v>649</v>
      </c>
      <c r="L68" s="494"/>
      <c r="M68" s="494"/>
      <c r="N68" s="494"/>
      <c r="O68" s="494"/>
      <c r="P68" s="494"/>
      <c r="Q68" s="495"/>
      <c r="R68" s="353"/>
      <c r="S68" s="499"/>
      <c r="T68" s="387"/>
    </row>
    <row r="69" spans="1:20" s="362" customFormat="1" ht="15.6" x14ac:dyDescent="0.3">
      <c r="A69" s="369"/>
      <c r="E69" s="361"/>
      <c r="F69" s="361"/>
      <c r="G69" s="512"/>
      <c r="O69" s="370"/>
      <c r="P69" s="513"/>
    </row>
    <row r="70" spans="1:20" ht="15.6" x14ac:dyDescent="0.3">
      <c r="A70" s="391" t="s">
        <v>644</v>
      </c>
      <c r="B70" s="362"/>
      <c r="C70" s="362"/>
      <c r="D70" s="362"/>
      <c r="E70" s="362"/>
      <c r="F70" s="362"/>
      <c r="G70" s="361"/>
      <c r="H70" s="362"/>
      <c r="I70" s="362"/>
      <c r="J70" s="362"/>
      <c r="K70" s="362"/>
      <c r="L70" s="362"/>
      <c r="M70" s="362"/>
      <c r="N70" s="362"/>
      <c r="O70" s="362"/>
      <c r="P70" s="362"/>
      <c r="Q70" s="362"/>
    </row>
    <row r="71" spans="1:20" ht="13.5" customHeight="1" x14ac:dyDescent="0.3">
      <c r="A71" s="345" t="s">
        <v>581</v>
      </c>
      <c r="B71" s="362"/>
      <c r="C71" s="362"/>
      <c r="D71" s="362"/>
      <c r="E71" s="362"/>
      <c r="F71" s="362"/>
      <c r="G71" s="361"/>
      <c r="H71" s="362"/>
      <c r="I71" s="362"/>
      <c r="J71" s="362"/>
      <c r="K71" s="362"/>
      <c r="L71" s="362"/>
      <c r="M71" s="362"/>
      <c r="N71" s="362"/>
      <c r="O71" s="362"/>
      <c r="P71" s="362"/>
      <c r="Q71" s="362"/>
    </row>
    <row r="72" spans="1:20" ht="13.5" customHeight="1" x14ac:dyDescent="0.3">
      <c r="A72" s="345"/>
      <c r="B72" s="362"/>
      <c r="C72" s="362"/>
      <c r="D72" s="362"/>
      <c r="E72" s="362"/>
      <c r="F72" s="362"/>
      <c r="G72" s="361"/>
      <c r="H72" s="362"/>
      <c r="I72" s="362"/>
      <c r="J72" s="362"/>
      <c r="K72" s="362"/>
      <c r="L72" s="362"/>
      <c r="M72" s="362"/>
      <c r="N72" s="362"/>
      <c r="O72" s="362"/>
      <c r="P72" s="362"/>
      <c r="Q72" s="362"/>
    </row>
    <row r="73" spans="1:20" ht="13.5" customHeight="1" x14ac:dyDescent="0.3">
      <c r="A73" s="344" t="s">
        <v>337</v>
      </c>
      <c r="B73"/>
      <c r="C73"/>
      <c r="D73" s="362"/>
      <c r="E73" s="362"/>
      <c r="F73" s="362"/>
      <c r="G73" s="361"/>
      <c r="H73" s="362"/>
      <c r="I73" s="362"/>
      <c r="J73" s="362"/>
      <c r="K73" s="362"/>
      <c r="L73" s="362"/>
      <c r="M73" s="362"/>
      <c r="N73" s="362"/>
      <c r="O73" s="362"/>
      <c r="P73" s="362"/>
      <c r="Q73" s="362"/>
    </row>
    <row r="74" spans="1:20" ht="49.95" customHeight="1" x14ac:dyDescent="0.25">
      <c r="A74" s="661" t="s">
        <v>583</v>
      </c>
      <c r="B74" s="661"/>
      <c r="C74" s="661"/>
      <c r="D74" s="661"/>
      <c r="E74" s="661"/>
      <c r="F74" s="661"/>
      <c r="G74" s="661"/>
      <c r="H74" s="661"/>
      <c r="I74" s="661"/>
      <c r="J74" s="661"/>
      <c r="K74" s="661"/>
      <c r="L74" s="661"/>
      <c r="M74" s="661"/>
      <c r="N74" s="661"/>
      <c r="O74" s="661"/>
      <c r="P74" s="661"/>
      <c r="Q74" s="661"/>
    </row>
    <row r="75" spans="1:20" ht="13.5" customHeight="1" x14ac:dyDescent="0.3">
      <c r="A75" s="343"/>
      <c r="B75"/>
      <c r="C75"/>
      <c r="D75" s="362"/>
      <c r="E75" s="362"/>
      <c r="F75" s="362"/>
      <c r="G75" s="361"/>
      <c r="H75" s="362"/>
      <c r="I75" s="362"/>
      <c r="J75" s="362"/>
      <c r="K75" s="362"/>
      <c r="L75" s="362"/>
      <c r="M75" s="362"/>
      <c r="N75" s="362"/>
      <c r="O75" s="362"/>
      <c r="P75" s="362"/>
      <c r="Q75" s="362"/>
    </row>
    <row r="76" spans="1:20" ht="16.8" x14ac:dyDescent="0.3">
      <c r="A76" s="348" t="s">
        <v>343</v>
      </c>
      <c r="B76"/>
      <c r="C76"/>
      <c r="D76" s="362"/>
      <c r="E76" s="362"/>
      <c r="F76" s="362"/>
      <c r="G76" s="361"/>
      <c r="H76" s="362"/>
      <c r="I76" s="362"/>
      <c r="J76" s="362"/>
      <c r="K76" s="362"/>
      <c r="L76" s="362"/>
      <c r="M76" s="362"/>
      <c r="N76" s="362"/>
      <c r="O76" s="362"/>
      <c r="P76" s="362"/>
      <c r="Q76" s="362"/>
    </row>
    <row r="77" spans="1:20" ht="31.95" customHeight="1" x14ac:dyDescent="0.25">
      <c r="A77" s="662" t="s">
        <v>570</v>
      </c>
      <c r="B77" s="662"/>
      <c r="C77" s="662"/>
      <c r="D77" s="662"/>
      <c r="E77" s="662"/>
      <c r="F77" s="662"/>
      <c r="G77" s="662"/>
      <c r="H77" s="662"/>
      <c r="I77" s="662"/>
      <c r="J77" s="662"/>
      <c r="K77" s="662"/>
      <c r="L77" s="662"/>
      <c r="M77" s="662"/>
      <c r="N77" s="662"/>
      <c r="O77" s="662"/>
      <c r="P77" s="662"/>
      <c r="Q77" s="662"/>
    </row>
    <row r="78" spans="1:20" ht="15.6" x14ac:dyDescent="0.3">
      <c r="A78" s="344"/>
      <c r="B78"/>
      <c r="C78"/>
      <c r="D78" s="362"/>
      <c r="E78" s="362"/>
      <c r="F78" s="362"/>
      <c r="G78" s="361"/>
      <c r="H78" s="362"/>
      <c r="I78" s="362"/>
      <c r="J78" s="362"/>
      <c r="K78" s="362"/>
      <c r="L78" s="362"/>
      <c r="M78" s="362"/>
      <c r="N78" s="362"/>
      <c r="O78" s="362"/>
      <c r="P78" s="362"/>
      <c r="Q78" s="362"/>
    </row>
    <row r="79" spans="1:20" ht="16.8" x14ac:dyDescent="0.3">
      <c r="A79" s="348" t="s">
        <v>571</v>
      </c>
      <c r="B79"/>
      <c r="C79"/>
      <c r="D79" s="362"/>
      <c r="E79" s="362"/>
      <c r="F79" s="362"/>
      <c r="G79" s="361"/>
      <c r="H79" s="362"/>
      <c r="I79" s="362"/>
      <c r="J79" s="362"/>
      <c r="K79" s="362"/>
      <c r="L79" s="362"/>
      <c r="M79" s="362"/>
      <c r="N79" s="362"/>
      <c r="O79" s="362"/>
      <c r="P79" s="362"/>
      <c r="Q79" s="362"/>
    </row>
    <row r="80" spans="1:20" ht="31.95" customHeight="1" x14ac:dyDescent="0.25">
      <c r="A80" s="662" t="s">
        <v>572</v>
      </c>
      <c r="B80" s="662"/>
      <c r="C80" s="662"/>
      <c r="D80" s="662"/>
      <c r="E80" s="662"/>
      <c r="F80" s="662"/>
      <c r="G80" s="662"/>
      <c r="H80" s="662"/>
      <c r="I80" s="662"/>
      <c r="J80" s="662"/>
      <c r="K80" s="662"/>
      <c r="L80" s="662"/>
      <c r="M80" s="662"/>
      <c r="N80" s="662"/>
      <c r="O80" s="662"/>
      <c r="P80" s="662"/>
      <c r="Q80" s="662"/>
    </row>
    <row r="81" spans="1:17" s="364" customFormat="1" ht="13.5" customHeight="1" thickBot="1" x14ac:dyDescent="0.25">
      <c r="A81" s="518"/>
      <c r="B81" s="519"/>
      <c r="C81" s="519"/>
      <c r="G81" s="353"/>
    </row>
    <row r="82" spans="1:17" ht="19.95" customHeight="1" x14ac:dyDescent="0.3">
      <c r="A82" s="524" t="s">
        <v>645</v>
      </c>
      <c r="B82" s="525"/>
      <c r="C82" s="525"/>
      <c r="D82" s="526"/>
      <c r="E82" s="526"/>
      <c r="F82" s="526"/>
      <c r="G82" s="527"/>
      <c r="H82" s="526"/>
      <c r="I82" s="526"/>
      <c r="J82" s="528"/>
      <c r="K82" s="362"/>
      <c r="L82" s="362"/>
      <c r="M82" s="362"/>
      <c r="N82" s="362"/>
      <c r="O82" s="362"/>
      <c r="P82" s="362"/>
      <c r="Q82" s="362"/>
    </row>
    <row r="83" spans="1:17" s="502" customFormat="1" ht="25.2" x14ac:dyDescent="0.3">
      <c r="A83" s="529" t="str">
        <f>A10</f>
        <v>Los Færder</v>
      </c>
      <c r="F83" s="530"/>
      <c r="J83" s="531"/>
      <c r="K83" s="503"/>
      <c r="L83" s="504"/>
    </row>
    <row r="84" spans="1:17" ht="19.95" customHeight="1" thickBot="1" x14ac:dyDescent="0.3">
      <c r="A84" s="532" t="s">
        <v>646</v>
      </c>
      <c r="B84" s="533"/>
      <c r="C84" s="533"/>
      <c r="D84" s="533"/>
      <c r="E84" s="533"/>
      <c r="F84" s="533"/>
      <c r="G84" s="533"/>
      <c r="H84" s="533"/>
      <c r="I84" s="533"/>
      <c r="J84" s="534"/>
      <c r="K84" s="501"/>
      <c r="L84" s="501"/>
      <c r="M84" s="501"/>
      <c r="N84" s="501"/>
      <c r="O84" s="501"/>
      <c r="P84" s="501"/>
      <c r="Q84" s="501"/>
    </row>
    <row r="85" spans="1:17" ht="13.5" customHeight="1" x14ac:dyDescent="0.3">
      <c r="A85" s="343"/>
      <c r="B85"/>
      <c r="C85"/>
      <c r="D85" s="362"/>
      <c r="E85" s="362"/>
      <c r="F85" s="362"/>
      <c r="G85" s="361"/>
      <c r="H85" s="362"/>
      <c r="I85" s="362"/>
      <c r="J85" s="362"/>
      <c r="K85" s="362"/>
      <c r="L85" s="362"/>
      <c r="M85" s="362"/>
      <c r="N85" s="362"/>
      <c r="O85" s="362"/>
      <c r="P85" s="362"/>
      <c r="Q85" s="362"/>
    </row>
    <row r="86" spans="1:17" ht="13.5" customHeight="1" x14ac:dyDescent="0.3">
      <c r="A86" s="343" t="s">
        <v>582</v>
      </c>
      <c r="B86"/>
      <c r="C86"/>
      <c r="D86" s="388"/>
      <c r="E86" s="388"/>
      <c r="F86" s="388"/>
      <c r="G86" s="475"/>
      <c r="H86" s="388"/>
      <c r="I86" s="362"/>
      <c r="J86" s="362"/>
      <c r="K86" s="362"/>
      <c r="L86" s="362"/>
      <c r="M86" s="362"/>
      <c r="N86" s="362"/>
      <c r="O86" s="362"/>
      <c r="P86" s="362"/>
      <c r="Q86" s="362"/>
    </row>
    <row r="87" spans="1:17" ht="13.5" customHeight="1" x14ac:dyDescent="0.3">
      <c r="A87" s="343"/>
      <c r="B87"/>
      <c r="C87"/>
      <c r="D87" s="362"/>
      <c r="E87" s="362"/>
      <c r="F87" s="362"/>
      <c r="G87" s="361"/>
      <c r="H87" s="362"/>
      <c r="I87" s="362"/>
      <c r="J87" s="362"/>
      <c r="K87" s="362"/>
      <c r="L87" s="362"/>
      <c r="M87" s="362"/>
      <c r="N87" s="362"/>
      <c r="O87" s="362"/>
      <c r="P87" s="362"/>
      <c r="Q87" s="362"/>
    </row>
    <row r="88" spans="1:17" ht="13.5" customHeight="1" x14ac:dyDescent="0.3">
      <c r="A88" s="343"/>
      <c r="B88"/>
      <c r="C88"/>
      <c r="D88" s="362"/>
      <c r="E88" s="362"/>
      <c r="F88" s="362"/>
      <c r="G88" s="361"/>
      <c r="H88" s="362"/>
      <c r="I88" s="362"/>
      <c r="J88" s="362"/>
      <c r="K88" s="362"/>
      <c r="L88" s="362"/>
      <c r="M88" s="362"/>
      <c r="N88" s="362"/>
      <c r="O88" s="362"/>
      <c r="P88" s="362"/>
      <c r="Q88" s="362"/>
    </row>
    <row r="89" spans="1:17" ht="13.5" customHeight="1" x14ac:dyDescent="0.3">
      <c r="A89" s="343" t="s">
        <v>573</v>
      </c>
      <c r="B89"/>
      <c r="C89"/>
      <c r="D89" s="388"/>
      <c r="E89" s="388"/>
      <c r="F89" s="388"/>
      <c r="G89" s="475"/>
      <c r="H89" s="388"/>
      <c r="I89" s="388"/>
      <c r="J89" s="388"/>
      <c r="K89" s="388"/>
      <c r="L89" s="388"/>
      <c r="M89" s="388"/>
      <c r="N89" s="388"/>
      <c r="O89" s="388"/>
      <c r="P89" s="388"/>
      <c r="Q89" s="362"/>
    </row>
    <row r="90" spans="1:17" ht="16.2" x14ac:dyDescent="0.35">
      <c r="A90" s="343"/>
      <c r="B90"/>
      <c r="C90"/>
      <c r="D90" s="362"/>
      <c r="E90" s="391"/>
      <c r="F90" s="476" t="s">
        <v>551</v>
      </c>
      <c r="G90" s="408">
        <f ca="1">TODAY()</f>
        <v>45544</v>
      </c>
      <c r="I90" s="354"/>
      <c r="J90" s="353" t="s">
        <v>552</v>
      </c>
      <c r="K90" s="409" t="s">
        <v>126</v>
      </c>
      <c r="L90" s="362"/>
      <c r="M90" s="362"/>
      <c r="O90" s="380" t="s">
        <v>569</v>
      </c>
      <c r="P90" s="362"/>
      <c r="Q90" s="362"/>
    </row>
    <row r="91" spans="1:17" ht="13.5" customHeight="1" x14ac:dyDescent="0.3">
      <c r="A91" s="343"/>
      <c r="B91"/>
      <c r="C91"/>
      <c r="D91" s="391"/>
      <c r="E91" s="391"/>
      <c r="F91" s="371"/>
      <c r="G91" s="408"/>
      <c r="H91" s="362"/>
      <c r="I91" s="362"/>
      <c r="J91" s="362"/>
      <c r="K91" s="380"/>
      <c r="L91" s="362"/>
      <c r="M91" s="362"/>
      <c r="O91" s="380"/>
      <c r="Q91" s="362"/>
    </row>
    <row r="92" spans="1:17" ht="13.5" customHeight="1" x14ac:dyDescent="0.3">
      <c r="A92" s="343"/>
      <c r="B92"/>
      <c r="C92"/>
      <c r="D92" s="391"/>
      <c r="E92" s="391"/>
      <c r="F92" s="371"/>
      <c r="G92" s="408"/>
      <c r="H92" s="362"/>
      <c r="I92" s="362"/>
      <c r="J92" s="362"/>
      <c r="K92" s="380"/>
      <c r="L92" s="362"/>
      <c r="M92" s="362"/>
      <c r="O92" s="380"/>
      <c r="Q92" s="362"/>
    </row>
    <row r="93" spans="1:17" ht="13.5" customHeight="1" x14ac:dyDescent="0.3">
      <c r="A93" s="343"/>
      <c r="B93"/>
      <c r="C93" s="343"/>
      <c r="D93" s="391"/>
      <c r="E93" s="391"/>
      <c r="F93" s="371"/>
      <c r="G93" s="408"/>
      <c r="H93" s="362"/>
      <c r="I93" s="362"/>
      <c r="J93" s="362"/>
      <c r="K93" s="362"/>
      <c r="L93" s="362"/>
      <c r="M93" s="362"/>
      <c r="O93" s="380"/>
      <c r="P93" s="362"/>
      <c r="Q93" s="362"/>
    </row>
    <row r="94" spans="1:17" ht="13.5" customHeight="1" x14ac:dyDescent="0.3">
      <c r="A94" s="343"/>
      <c r="B94"/>
      <c r="C94" s="343"/>
      <c r="D94" s="391"/>
      <c r="E94" s="391"/>
      <c r="F94" s="371"/>
      <c r="G94" s="408"/>
      <c r="H94" s="362"/>
      <c r="I94" s="362"/>
      <c r="J94" s="362"/>
      <c r="K94" s="362"/>
      <c r="L94" s="362"/>
      <c r="M94" s="362"/>
      <c r="O94" s="380"/>
      <c r="P94" s="362"/>
      <c r="Q94" s="362"/>
    </row>
    <row r="95" spans="1:17" ht="13.5" customHeight="1" x14ac:dyDescent="0.3">
      <c r="A95" s="343"/>
      <c r="B95"/>
      <c r="C95" s="343"/>
      <c r="D95" s="391"/>
      <c r="E95" s="391"/>
      <c r="F95" s="371"/>
      <c r="G95" s="408"/>
      <c r="H95" s="362"/>
      <c r="I95" s="362"/>
      <c r="J95" s="362"/>
      <c r="K95" s="362"/>
      <c r="L95" s="362"/>
      <c r="M95" s="362"/>
      <c r="O95" s="380"/>
      <c r="P95" s="362"/>
      <c r="Q95" s="362"/>
    </row>
    <row r="96" spans="1:17" ht="13.5" customHeight="1" x14ac:dyDescent="0.3">
      <c r="A96" s="343"/>
      <c r="B96"/>
      <c r="C96" s="343"/>
      <c r="D96" s="391"/>
      <c r="E96" s="391"/>
      <c r="F96" s="371"/>
      <c r="G96" s="408"/>
      <c r="H96" s="362"/>
      <c r="I96" s="362"/>
      <c r="J96" s="362"/>
      <c r="K96" s="362"/>
      <c r="L96" s="362"/>
      <c r="M96" s="362"/>
      <c r="O96" s="380"/>
      <c r="P96" s="362"/>
      <c r="Q96" s="362"/>
    </row>
    <row r="97" spans="1:20" ht="13.5" customHeight="1" x14ac:dyDescent="0.3">
      <c r="A97" s="343"/>
      <c r="B97"/>
      <c r="C97" s="343"/>
      <c r="D97" s="391"/>
      <c r="E97" s="391"/>
      <c r="F97" s="371"/>
      <c r="G97" s="408"/>
      <c r="H97" s="362"/>
      <c r="I97" s="362"/>
      <c r="J97" s="362"/>
      <c r="K97" s="362"/>
      <c r="L97" s="362"/>
      <c r="M97" s="362"/>
      <c r="O97" s="380"/>
      <c r="P97" s="362"/>
      <c r="Q97" s="362"/>
    </row>
    <row r="98" spans="1:20" s="425" customFormat="1" ht="13.5" customHeight="1" x14ac:dyDescent="0.25">
      <c r="A98" s="351" t="s">
        <v>389</v>
      </c>
      <c r="B98" s="352"/>
      <c r="C98" s="352"/>
      <c r="D98" s="352"/>
      <c r="E98" s="352"/>
      <c r="F98" s="402" t="s">
        <v>354</v>
      </c>
      <c r="G98" s="430"/>
      <c r="H98" s="352" t="s">
        <v>390</v>
      </c>
      <c r="I98" s="352" t="s">
        <v>391</v>
      </c>
      <c r="J98" s="352"/>
      <c r="K98" s="352"/>
      <c r="L98" s="352"/>
      <c r="M98" s="352"/>
      <c r="N98" s="352"/>
      <c r="O98" s="352"/>
      <c r="P98" s="352"/>
      <c r="Q98" s="351"/>
      <c r="R98" s="352"/>
      <c r="S98" s="352"/>
      <c r="T98" s="352"/>
    </row>
    <row r="99" spans="1:20" s="425" customFormat="1" ht="13.5" customHeight="1" x14ac:dyDescent="0.25">
      <c r="A99" s="351" t="s">
        <v>392</v>
      </c>
      <c r="B99" s="352"/>
      <c r="C99" s="352"/>
      <c r="D99" s="352"/>
      <c r="E99" s="352"/>
      <c r="F99" s="402" t="s">
        <v>354</v>
      </c>
      <c r="G99" s="430"/>
      <c r="H99" s="352" t="s">
        <v>390</v>
      </c>
      <c r="I99" s="352" t="s">
        <v>393</v>
      </c>
      <c r="J99" s="352"/>
      <c r="K99" s="352"/>
      <c r="L99" s="352"/>
      <c r="M99" s="352"/>
      <c r="N99" s="352"/>
      <c r="O99" s="352"/>
      <c r="P99" s="352"/>
      <c r="Q99" s="351"/>
      <c r="R99" s="352"/>
      <c r="S99" s="352"/>
      <c r="T99" s="352"/>
    </row>
    <row r="100" spans="1:20" s="425" customFormat="1" ht="13.5" customHeight="1" x14ac:dyDescent="0.25">
      <c r="A100" s="351" t="s">
        <v>394</v>
      </c>
      <c r="B100" s="352"/>
      <c r="C100" s="352"/>
      <c r="D100" s="352"/>
      <c r="E100" s="352"/>
      <c r="F100" s="402" t="s">
        <v>354</v>
      </c>
      <c r="G100" s="430"/>
      <c r="H100" s="351" t="s">
        <v>390</v>
      </c>
      <c r="I100" s="352" t="s">
        <v>393</v>
      </c>
      <c r="J100" s="352"/>
      <c r="K100" s="352"/>
      <c r="L100" s="352"/>
      <c r="M100" s="352"/>
      <c r="N100" s="352"/>
      <c r="O100" s="352"/>
      <c r="P100" s="352"/>
      <c r="Q100" s="351"/>
      <c r="R100" s="352"/>
      <c r="S100" s="352"/>
      <c r="T100" s="352"/>
    </row>
    <row r="101" spans="1:20" x14ac:dyDescent="0.25">
      <c r="A101" s="351" t="s">
        <v>395</v>
      </c>
      <c r="F101" s="402" t="s">
        <v>354</v>
      </c>
      <c r="G101" s="430"/>
      <c r="H101" s="352" t="s">
        <v>390</v>
      </c>
      <c r="I101" s="352" t="s">
        <v>393</v>
      </c>
      <c r="Q101" s="351"/>
    </row>
    <row r="102" spans="1:20" ht="15.6" x14ac:dyDescent="0.3">
      <c r="A102" s="352"/>
      <c r="K102" s="363"/>
    </row>
    <row r="103" spans="1:20" ht="15.6" x14ac:dyDescent="0.3">
      <c r="A103" s="352"/>
      <c r="K103" s="363"/>
    </row>
    <row r="104" spans="1:20" ht="15.6" x14ac:dyDescent="0.3">
      <c r="A104" s="352"/>
      <c r="K104" s="363"/>
    </row>
    <row r="105" spans="1:20" x14ac:dyDescent="0.25">
      <c r="A105" s="352"/>
    </row>
    <row r="106" spans="1:20" ht="15.6" x14ac:dyDescent="0.3">
      <c r="A106" s="352"/>
      <c r="K106" s="390" t="s">
        <v>399</v>
      </c>
      <c r="L106" s="391"/>
      <c r="M106" s="391"/>
      <c r="N106" s="391"/>
      <c r="O106" s="370" t="s">
        <v>354</v>
      </c>
      <c r="P106" s="392"/>
      <c r="Q106" s="393" t="s">
        <v>396</v>
      </c>
      <c r="S106" s="394"/>
    </row>
    <row r="107" spans="1:20" ht="15.6" x14ac:dyDescent="0.3">
      <c r="B107" s="351"/>
      <c r="C107" s="351"/>
      <c r="D107" s="351"/>
      <c r="E107" s="351"/>
      <c r="F107" s="351"/>
      <c r="G107" s="351"/>
      <c r="H107" s="351"/>
      <c r="I107" s="351"/>
      <c r="J107" s="351"/>
      <c r="K107" s="385" t="s">
        <v>401</v>
      </c>
      <c r="L107" s="395"/>
      <c r="M107" s="395"/>
      <c r="N107" s="395"/>
      <c r="O107" s="396" t="s">
        <v>354</v>
      </c>
      <c r="P107" s="397"/>
      <c r="Q107" s="366" t="s">
        <v>402</v>
      </c>
      <c r="R107" s="398"/>
      <c r="S107" s="399"/>
    </row>
    <row r="108" spans="1:20" ht="15.6" x14ac:dyDescent="0.3">
      <c r="K108" s="400" t="s">
        <v>404</v>
      </c>
      <c r="L108" s="362"/>
      <c r="M108" s="362"/>
      <c r="N108" s="362"/>
      <c r="O108" s="370" t="s">
        <v>354</v>
      </c>
      <c r="P108" s="401"/>
      <c r="Q108" s="380" t="s">
        <v>390</v>
      </c>
      <c r="R108" s="402" t="s">
        <v>369</v>
      </c>
      <c r="S108" s="403"/>
    </row>
    <row r="109" spans="1:20" ht="15.6" x14ac:dyDescent="0.3">
      <c r="K109" s="352" t="s">
        <v>405</v>
      </c>
      <c r="L109" s="362"/>
      <c r="M109" s="362"/>
      <c r="N109" s="362"/>
      <c r="O109" s="370" t="s">
        <v>354</v>
      </c>
      <c r="P109" s="401"/>
      <c r="Q109" s="380" t="s">
        <v>390</v>
      </c>
      <c r="R109" s="402" t="s">
        <v>369</v>
      </c>
      <c r="S109" s="403"/>
    </row>
    <row r="110" spans="1:20" ht="15.6" x14ac:dyDescent="0.3">
      <c r="K110" s="383" t="s">
        <v>406</v>
      </c>
      <c r="L110" s="388"/>
      <c r="M110" s="388"/>
      <c r="N110" s="388"/>
      <c r="O110" s="389" t="s">
        <v>354</v>
      </c>
      <c r="P110" s="406"/>
      <c r="Q110" s="407" t="s">
        <v>390</v>
      </c>
      <c r="R110" s="404" t="s">
        <v>369</v>
      </c>
      <c r="S110" s="405"/>
    </row>
    <row r="111" spans="1:20" x14ac:dyDescent="0.25">
      <c r="A111" s="412"/>
      <c r="B111" s="411"/>
      <c r="C111" s="411"/>
      <c r="D111" s="411"/>
      <c r="E111" s="411"/>
      <c r="F111" s="411"/>
      <c r="G111" s="413"/>
      <c r="H111" s="411"/>
      <c r="I111" s="411"/>
      <c r="J111" s="411"/>
      <c r="K111" s="411"/>
      <c r="L111" s="411"/>
      <c r="M111" s="411"/>
      <c r="N111" s="381"/>
      <c r="O111" s="381"/>
      <c r="P111" s="381"/>
      <c r="Q111" s="381"/>
      <c r="R111" s="381"/>
      <c r="S111" s="381"/>
    </row>
    <row r="117" spans="1:19" x14ac:dyDescent="0.25">
      <c r="K117" s="414"/>
      <c r="L117" s="415" t="s">
        <v>355</v>
      </c>
      <c r="M117" s="402" t="s">
        <v>354</v>
      </c>
      <c r="N117" s="394" t="s">
        <v>356</v>
      </c>
      <c r="P117" s="394"/>
    </row>
    <row r="118" spans="1:19" x14ac:dyDescent="0.25">
      <c r="A118" s="412"/>
      <c r="B118" s="411"/>
      <c r="C118" s="411"/>
      <c r="D118" s="411"/>
      <c r="E118" s="411"/>
      <c r="F118" s="411"/>
      <c r="G118" s="413"/>
      <c r="H118" s="411"/>
      <c r="I118" s="411"/>
      <c r="M118" s="402" t="s">
        <v>354</v>
      </c>
      <c r="N118" s="351" t="s">
        <v>357</v>
      </c>
      <c r="P118" s="394"/>
      <c r="S118" s="381"/>
    </row>
    <row r="119" spans="1:19" x14ac:dyDescent="0.25">
      <c r="M119" s="402" t="s">
        <v>354</v>
      </c>
      <c r="N119" s="351" t="s">
        <v>359</v>
      </c>
      <c r="P119" s="394"/>
    </row>
    <row r="120" spans="1:19" x14ac:dyDescent="0.25">
      <c r="J120" s="351"/>
    </row>
    <row r="121" spans="1:19" x14ac:dyDescent="0.25">
      <c r="J121" s="373" t="s">
        <v>362</v>
      </c>
      <c r="K121" s="418"/>
      <c r="L121" s="419" t="s">
        <v>363</v>
      </c>
      <c r="M121" s="367"/>
      <c r="N121" s="367"/>
      <c r="O121" s="416" t="s">
        <v>364</v>
      </c>
      <c r="P121" s="418"/>
      <c r="Q121" s="419" t="s">
        <v>365</v>
      </c>
      <c r="R121" s="367"/>
    </row>
    <row r="122" spans="1:19" x14ac:dyDescent="0.25">
      <c r="J122" s="373" t="s">
        <v>367</v>
      </c>
      <c r="K122" s="418"/>
      <c r="L122" s="419" t="s">
        <v>368</v>
      </c>
      <c r="M122" s="372">
        <f>K122/2.54</f>
        <v>0</v>
      </c>
      <c r="N122" s="367" t="s">
        <v>369</v>
      </c>
      <c r="O122" s="416" t="s">
        <v>364</v>
      </c>
      <c r="P122" s="417"/>
      <c r="Q122" s="367"/>
      <c r="R122" s="367"/>
    </row>
    <row r="123" spans="1:19" x14ac:dyDescent="0.25">
      <c r="J123" s="367"/>
      <c r="K123" s="374"/>
      <c r="L123" s="420"/>
      <c r="M123" s="420"/>
      <c r="N123" s="420"/>
      <c r="O123" s="375" t="s">
        <v>371</v>
      </c>
      <c r="P123" s="421"/>
      <c r="Q123" s="420" t="s">
        <v>352</v>
      </c>
      <c r="R123" s="376"/>
    </row>
    <row r="124" spans="1:19" x14ac:dyDescent="0.25">
      <c r="J124" s="367"/>
      <c r="K124" s="377"/>
      <c r="L124" s="422"/>
      <c r="M124" s="422"/>
      <c r="N124" s="422"/>
      <c r="O124" s="368" t="s">
        <v>373</v>
      </c>
      <c r="P124" s="423"/>
      <c r="Q124" s="422" t="s">
        <v>352</v>
      </c>
      <c r="R124" s="378"/>
    </row>
    <row r="138" spans="1:19" x14ac:dyDescent="0.25">
      <c r="A138" s="410"/>
      <c r="B138" s="410"/>
      <c r="C138" s="410"/>
      <c r="D138" s="410"/>
      <c r="E138" s="410"/>
      <c r="F138" s="410"/>
      <c r="G138" s="410"/>
      <c r="H138" s="410"/>
      <c r="I138" s="410"/>
      <c r="J138" s="410"/>
      <c r="K138" s="410"/>
      <c r="L138" s="410"/>
      <c r="M138" s="410"/>
      <c r="N138" s="410"/>
      <c r="O138" s="410"/>
      <c r="P138" s="410"/>
      <c r="Q138" s="410"/>
      <c r="R138" s="410"/>
      <c r="S138" s="410"/>
    </row>
    <row r="141" spans="1:19" x14ac:dyDescent="0.25">
      <c r="A141" s="412"/>
      <c r="B141" s="411"/>
      <c r="C141" s="411"/>
      <c r="D141" s="411"/>
      <c r="E141" s="411"/>
      <c r="F141" s="411"/>
      <c r="G141" s="413"/>
      <c r="H141" s="411"/>
      <c r="I141" s="411"/>
      <c r="J141" s="411"/>
      <c r="K141" s="411"/>
      <c r="L141" s="411"/>
      <c r="M141" s="411"/>
      <c r="N141" s="381"/>
      <c r="O141" s="381"/>
      <c r="P141" s="381"/>
      <c r="Q141" s="381"/>
      <c r="R141" s="381"/>
      <c r="S141" s="381"/>
    </row>
    <row r="142" spans="1:19" x14ac:dyDescent="0.25">
      <c r="A142" s="410"/>
      <c r="B142" s="410"/>
      <c r="C142" s="410"/>
      <c r="D142" s="410"/>
      <c r="E142" s="410"/>
      <c r="F142" s="410"/>
      <c r="G142" s="410"/>
      <c r="H142" s="410"/>
      <c r="I142" s="410"/>
      <c r="J142" s="410"/>
      <c r="K142" s="410"/>
      <c r="L142" s="410"/>
      <c r="M142" s="410"/>
      <c r="N142" s="410"/>
      <c r="O142" s="410"/>
      <c r="P142" s="410"/>
      <c r="Q142" s="410"/>
      <c r="R142" s="410"/>
      <c r="S142" s="410"/>
    </row>
    <row r="156" spans="1:19" x14ac:dyDescent="0.25">
      <c r="A156" s="412"/>
      <c r="B156" s="411"/>
      <c r="C156" s="411"/>
      <c r="D156" s="411"/>
      <c r="E156" s="411"/>
      <c r="F156" s="411"/>
      <c r="G156" s="413"/>
      <c r="H156" s="411"/>
      <c r="I156" s="411"/>
      <c r="J156" s="411"/>
      <c r="K156" s="411"/>
      <c r="L156" s="411"/>
      <c r="M156" s="411"/>
      <c r="N156" s="381"/>
      <c r="O156" s="381"/>
      <c r="P156" s="381"/>
      <c r="Q156" s="381"/>
      <c r="R156" s="381"/>
      <c r="S156" s="381"/>
    </row>
    <row r="160" spans="1:19" x14ac:dyDescent="0.25">
      <c r="A160" s="410"/>
      <c r="B160" s="410"/>
      <c r="C160" s="410"/>
      <c r="D160" s="410"/>
      <c r="E160" s="410"/>
      <c r="F160" s="410"/>
      <c r="G160" s="410"/>
      <c r="H160" s="410"/>
      <c r="I160" s="410"/>
      <c r="J160" s="410"/>
      <c r="K160" s="410"/>
      <c r="L160" s="410"/>
      <c r="M160" s="410"/>
      <c r="N160" s="410"/>
      <c r="O160" s="410"/>
      <c r="P160" s="410"/>
      <c r="Q160" s="410"/>
      <c r="R160" s="410"/>
      <c r="S160" s="410"/>
    </row>
    <row r="170" spans="1:19" x14ac:dyDescent="0.25">
      <c r="A170" s="412"/>
      <c r="B170" s="411"/>
      <c r="C170" s="411"/>
      <c r="D170" s="411"/>
      <c r="E170" s="411"/>
      <c r="F170" s="411"/>
      <c r="G170" s="413"/>
      <c r="H170" s="411"/>
      <c r="I170" s="411"/>
      <c r="J170" s="411"/>
      <c r="K170" s="411"/>
      <c r="L170" s="411"/>
      <c r="M170" s="411"/>
      <c r="N170" s="381"/>
      <c r="O170" s="381"/>
      <c r="P170" s="381"/>
      <c r="Q170" s="381"/>
      <c r="R170" s="381"/>
      <c r="S170" s="381"/>
    </row>
    <row r="173" spans="1:19" x14ac:dyDescent="0.25">
      <c r="A173" s="412"/>
      <c r="B173" s="411"/>
      <c r="C173" s="411"/>
      <c r="D173" s="411"/>
      <c r="E173" s="411"/>
      <c r="F173" s="411"/>
      <c r="G173" s="413"/>
      <c r="H173" s="411"/>
      <c r="I173" s="411"/>
      <c r="J173" s="411"/>
      <c r="K173" s="411"/>
      <c r="L173" s="411"/>
      <c r="M173" s="411"/>
      <c r="N173" s="381"/>
      <c r="O173" s="381"/>
      <c r="P173" s="381"/>
      <c r="Q173" s="381"/>
      <c r="R173" s="381"/>
      <c r="S173" s="381"/>
    </row>
    <row r="187" spans="1:19" x14ac:dyDescent="0.25">
      <c r="A187" s="412"/>
      <c r="B187" s="411"/>
      <c r="C187" s="411"/>
      <c r="D187" s="411"/>
      <c r="E187" s="411"/>
      <c r="F187" s="411"/>
      <c r="G187" s="413"/>
      <c r="H187" s="411"/>
      <c r="I187" s="411"/>
      <c r="J187" s="411"/>
      <c r="K187" s="411"/>
      <c r="L187" s="411"/>
      <c r="M187" s="411"/>
      <c r="N187" s="381"/>
      <c r="O187" s="381"/>
      <c r="P187" s="381"/>
      <c r="Q187" s="381"/>
      <c r="R187" s="381"/>
      <c r="S187" s="381"/>
    </row>
    <row r="228" spans="1:19" x14ac:dyDescent="0.25">
      <c r="A228" s="410"/>
      <c r="B228" s="410"/>
      <c r="C228" s="410"/>
      <c r="D228" s="410"/>
      <c r="E228" s="410"/>
      <c r="F228" s="410"/>
      <c r="G228" s="410"/>
      <c r="H228" s="410"/>
      <c r="I228" s="410"/>
      <c r="J228" s="410"/>
      <c r="K228" s="410"/>
      <c r="L228" s="410"/>
      <c r="M228" s="410"/>
      <c r="N228" s="410"/>
      <c r="O228" s="410"/>
      <c r="P228" s="410"/>
      <c r="Q228" s="410"/>
      <c r="R228" s="410"/>
      <c r="S228" s="410"/>
    </row>
    <row r="229" spans="1:19" x14ac:dyDescent="0.25">
      <c r="A229" s="412"/>
      <c r="B229" s="411"/>
      <c r="C229" s="411"/>
      <c r="D229" s="411"/>
      <c r="E229" s="411"/>
      <c r="F229" s="411"/>
      <c r="G229" s="413"/>
      <c r="H229" s="411"/>
      <c r="I229" s="411"/>
      <c r="J229" s="411"/>
      <c r="K229" s="411"/>
      <c r="L229" s="411"/>
      <c r="M229" s="411"/>
      <c r="N229" s="381"/>
      <c r="O229" s="381"/>
      <c r="P229" s="381"/>
      <c r="Q229" s="381"/>
      <c r="R229" s="381"/>
      <c r="S229" s="381"/>
    </row>
    <row r="266" spans="1:19" x14ac:dyDescent="0.25">
      <c r="A266" s="410"/>
      <c r="B266" s="410"/>
      <c r="C266" s="410"/>
      <c r="D266" s="410"/>
      <c r="E266" s="410"/>
      <c r="F266" s="410"/>
      <c r="G266" s="410"/>
      <c r="H266" s="410"/>
      <c r="I266" s="410"/>
      <c r="J266" s="410"/>
      <c r="K266" s="410"/>
      <c r="L266" s="410"/>
      <c r="M266" s="410"/>
      <c r="N266" s="410"/>
      <c r="O266" s="410"/>
      <c r="P266" s="410"/>
      <c r="Q266" s="410"/>
      <c r="R266" s="410"/>
      <c r="S266" s="410"/>
    </row>
    <row r="283" spans="1:19" x14ac:dyDescent="0.25">
      <c r="A283" s="410"/>
      <c r="B283" s="410"/>
      <c r="C283" s="410"/>
      <c r="D283" s="410"/>
      <c r="E283" s="410"/>
      <c r="F283" s="410"/>
      <c r="G283" s="410"/>
      <c r="H283" s="410"/>
      <c r="I283" s="410"/>
      <c r="J283" s="410"/>
      <c r="K283" s="410"/>
      <c r="L283" s="410"/>
      <c r="M283" s="410"/>
      <c r="N283" s="410"/>
      <c r="O283" s="410"/>
      <c r="P283" s="410"/>
      <c r="Q283" s="410"/>
      <c r="R283" s="410"/>
      <c r="S283" s="410"/>
    </row>
    <row r="285" spans="1:19" x14ac:dyDescent="0.25">
      <c r="A285" s="410"/>
      <c r="B285" s="410"/>
      <c r="C285" s="410"/>
      <c r="D285" s="410"/>
      <c r="E285" s="410"/>
      <c r="F285" s="410"/>
      <c r="G285" s="410"/>
      <c r="H285" s="410"/>
      <c r="I285" s="410"/>
      <c r="J285" s="410"/>
      <c r="K285" s="410"/>
      <c r="L285" s="410"/>
      <c r="M285" s="410"/>
      <c r="N285" s="410"/>
      <c r="O285" s="410"/>
      <c r="P285" s="410"/>
      <c r="Q285" s="410"/>
      <c r="R285" s="410"/>
      <c r="S285" s="410"/>
    </row>
    <row r="286" spans="1:19" x14ac:dyDescent="0.25">
      <c r="A286" s="410"/>
      <c r="B286" s="410"/>
      <c r="C286" s="410"/>
      <c r="D286" s="410"/>
      <c r="E286" s="410"/>
      <c r="F286" s="410"/>
      <c r="G286" s="410"/>
      <c r="H286" s="410"/>
      <c r="I286" s="410"/>
      <c r="J286" s="410"/>
      <c r="K286" s="410"/>
      <c r="L286" s="410"/>
      <c r="M286" s="410"/>
      <c r="N286" s="410"/>
      <c r="O286" s="410"/>
      <c r="P286" s="410"/>
      <c r="Q286" s="410"/>
      <c r="R286" s="410"/>
      <c r="S286" s="410"/>
    </row>
    <row r="289" spans="1:19" x14ac:dyDescent="0.25">
      <c r="A289" s="412"/>
      <c r="B289" s="411"/>
      <c r="C289" s="411"/>
      <c r="D289" s="411"/>
      <c r="E289" s="411"/>
      <c r="F289" s="411"/>
      <c r="G289" s="413"/>
      <c r="H289" s="411"/>
      <c r="I289" s="411"/>
      <c r="J289" s="411"/>
      <c r="K289" s="411"/>
      <c r="L289" s="411"/>
      <c r="M289" s="411"/>
      <c r="N289" s="381"/>
      <c r="O289" s="381"/>
      <c r="P289" s="381"/>
      <c r="Q289" s="381"/>
      <c r="R289" s="381"/>
      <c r="S289" s="381"/>
    </row>
    <row r="297" spans="1:19" x14ac:dyDescent="0.25">
      <c r="A297" s="410"/>
      <c r="B297" s="410"/>
      <c r="C297" s="410"/>
      <c r="D297" s="410"/>
      <c r="E297" s="410"/>
      <c r="F297" s="410"/>
      <c r="G297" s="410"/>
      <c r="H297" s="410"/>
      <c r="I297" s="410"/>
      <c r="J297" s="410"/>
      <c r="K297" s="410"/>
      <c r="L297" s="410"/>
      <c r="M297" s="410"/>
      <c r="N297" s="410"/>
      <c r="O297" s="410"/>
      <c r="P297" s="410"/>
      <c r="Q297" s="410"/>
      <c r="R297" s="410"/>
      <c r="S297" s="410"/>
    </row>
    <row r="301" spans="1:19" x14ac:dyDescent="0.25">
      <c r="A301" s="412"/>
      <c r="B301" s="411"/>
      <c r="C301" s="411"/>
      <c r="D301" s="411"/>
      <c r="E301" s="411"/>
      <c r="F301" s="411"/>
      <c r="G301" s="413"/>
      <c r="H301" s="411"/>
      <c r="I301" s="411"/>
      <c r="J301" s="411"/>
      <c r="K301" s="411"/>
      <c r="L301" s="411"/>
      <c r="M301" s="411"/>
      <c r="N301" s="381"/>
      <c r="O301" s="381"/>
      <c r="P301" s="381"/>
      <c r="Q301" s="381"/>
      <c r="R301" s="381"/>
      <c r="S301" s="381"/>
    </row>
    <row r="309" spans="1:19" x14ac:dyDescent="0.25">
      <c r="A309" s="410"/>
      <c r="B309" s="410"/>
      <c r="C309" s="410"/>
      <c r="D309" s="410"/>
      <c r="E309" s="410"/>
      <c r="F309" s="410"/>
      <c r="G309" s="410"/>
      <c r="H309" s="410"/>
      <c r="I309" s="410"/>
      <c r="J309" s="410"/>
      <c r="K309" s="410"/>
      <c r="L309" s="410"/>
      <c r="M309" s="410"/>
      <c r="N309" s="410"/>
      <c r="O309" s="410"/>
      <c r="P309" s="410"/>
      <c r="Q309" s="410"/>
      <c r="R309" s="410"/>
      <c r="S309" s="410"/>
    </row>
    <row r="313" spans="1:19" x14ac:dyDescent="0.25">
      <c r="A313" s="410"/>
      <c r="B313" s="410"/>
      <c r="C313" s="410"/>
      <c r="D313" s="410"/>
      <c r="E313" s="410"/>
      <c r="F313" s="410"/>
      <c r="G313" s="410"/>
      <c r="H313" s="410"/>
      <c r="I313" s="410"/>
      <c r="J313" s="410"/>
      <c r="K313" s="410"/>
      <c r="L313" s="410"/>
      <c r="M313" s="410"/>
      <c r="N313" s="410"/>
      <c r="O313" s="410"/>
      <c r="P313" s="410"/>
      <c r="Q313" s="410"/>
      <c r="R313" s="410"/>
      <c r="S313" s="410"/>
    </row>
    <row r="315" spans="1:19" x14ac:dyDescent="0.25">
      <c r="A315" s="412"/>
      <c r="B315" s="411"/>
      <c r="C315" s="411"/>
      <c r="D315" s="411"/>
      <c r="E315" s="411"/>
      <c r="F315" s="411"/>
      <c r="G315" s="413"/>
      <c r="H315" s="411"/>
      <c r="I315" s="411"/>
      <c r="J315" s="411"/>
      <c r="K315" s="411"/>
      <c r="L315" s="411"/>
      <c r="M315" s="411"/>
      <c r="N315" s="381"/>
      <c r="O315" s="381"/>
      <c r="P315" s="381"/>
      <c r="Q315" s="381"/>
      <c r="R315" s="381"/>
      <c r="S315" s="381"/>
    </row>
    <row r="317" spans="1:19" x14ac:dyDescent="0.25">
      <c r="A317" s="410"/>
      <c r="B317" s="410"/>
      <c r="C317" s="410"/>
      <c r="D317" s="410"/>
      <c r="E317" s="410"/>
      <c r="F317" s="410"/>
      <c r="G317" s="410"/>
      <c r="H317" s="410"/>
      <c r="I317" s="410"/>
      <c r="J317" s="410"/>
      <c r="K317" s="410"/>
      <c r="L317" s="410"/>
      <c r="M317" s="410"/>
      <c r="N317" s="410"/>
      <c r="O317" s="410"/>
      <c r="P317" s="410"/>
      <c r="Q317" s="410"/>
      <c r="R317" s="410"/>
      <c r="S317" s="410"/>
    </row>
    <row r="326" spans="1:19" x14ac:dyDescent="0.25">
      <c r="A326" s="410"/>
      <c r="B326" s="410"/>
      <c r="C326" s="410"/>
      <c r="D326" s="410"/>
      <c r="E326" s="410"/>
      <c r="F326" s="410"/>
      <c r="G326" s="410"/>
      <c r="H326" s="410"/>
      <c r="I326" s="410"/>
      <c r="J326" s="410"/>
      <c r="K326" s="410"/>
      <c r="L326" s="410"/>
      <c r="M326" s="410"/>
      <c r="N326" s="410"/>
      <c r="O326" s="410"/>
      <c r="P326" s="410"/>
      <c r="Q326" s="410"/>
      <c r="R326" s="410"/>
      <c r="S326" s="410"/>
    </row>
    <row r="330" spans="1:19" x14ac:dyDescent="0.25">
      <c r="A330" s="412"/>
      <c r="B330" s="411"/>
      <c r="C330" s="411"/>
      <c r="D330" s="411"/>
      <c r="E330" s="411"/>
      <c r="F330" s="411"/>
      <c r="G330" s="413"/>
      <c r="H330" s="411"/>
      <c r="I330" s="411"/>
      <c r="J330" s="411"/>
      <c r="K330" s="411"/>
      <c r="L330" s="411"/>
      <c r="M330" s="411"/>
      <c r="N330" s="381"/>
      <c r="O330" s="381"/>
      <c r="P330" s="381"/>
      <c r="Q330" s="381"/>
      <c r="R330" s="381"/>
      <c r="S330" s="381"/>
    </row>
    <row r="357" spans="1:19" x14ac:dyDescent="0.25">
      <c r="A357" s="410"/>
      <c r="B357" s="410"/>
      <c r="C357" s="410"/>
      <c r="D357" s="410"/>
      <c r="E357" s="410"/>
      <c r="F357" s="410"/>
      <c r="G357" s="410"/>
      <c r="H357" s="410"/>
      <c r="I357" s="410"/>
      <c r="J357" s="410"/>
      <c r="K357" s="410"/>
      <c r="L357" s="410"/>
      <c r="M357" s="410"/>
      <c r="N357" s="410"/>
      <c r="O357" s="410"/>
      <c r="P357" s="410"/>
      <c r="Q357" s="410"/>
      <c r="R357" s="410"/>
      <c r="S357" s="410"/>
    </row>
    <row r="359" spans="1:19" x14ac:dyDescent="0.25">
      <c r="A359" s="410"/>
      <c r="B359" s="410"/>
      <c r="C359" s="410"/>
      <c r="D359" s="410"/>
      <c r="E359" s="410"/>
      <c r="F359" s="410"/>
      <c r="G359" s="410"/>
      <c r="H359" s="410"/>
      <c r="I359" s="410"/>
      <c r="J359" s="410"/>
      <c r="K359" s="410"/>
      <c r="L359" s="410"/>
      <c r="M359" s="410"/>
      <c r="N359" s="410"/>
      <c r="O359" s="410"/>
      <c r="P359" s="410"/>
      <c r="Q359" s="410"/>
      <c r="R359" s="410"/>
      <c r="S359" s="410"/>
    </row>
    <row r="402" spans="1:19" x14ac:dyDescent="0.25">
      <c r="A402" s="410"/>
      <c r="B402" s="410"/>
      <c r="C402" s="410"/>
      <c r="D402" s="410"/>
      <c r="E402" s="410"/>
      <c r="F402" s="410"/>
      <c r="G402" s="410"/>
      <c r="H402" s="410"/>
      <c r="I402" s="410"/>
      <c r="J402" s="410"/>
      <c r="K402" s="410"/>
      <c r="L402" s="410"/>
      <c r="M402" s="410"/>
      <c r="N402" s="410"/>
      <c r="O402" s="410"/>
      <c r="P402" s="410"/>
      <c r="Q402" s="410"/>
      <c r="R402" s="410"/>
      <c r="S402" s="410"/>
    </row>
    <row r="403" spans="1:19" x14ac:dyDescent="0.25">
      <c r="A403" s="410"/>
      <c r="B403" s="410"/>
      <c r="C403" s="410"/>
      <c r="D403" s="410"/>
      <c r="E403" s="410"/>
      <c r="F403" s="410"/>
      <c r="G403" s="410"/>
      <c r="H403" s="410"/>
      <c r="I403" s="410"/>
      <c r="J403" s="410"/>
      <c r="K403" s="410"/>
      <c r="L403" s="410"/>
      <c r="M403" s="410"/>
      <c r="N403" s="410"/>
      <c r="O403" s="410"/>
      <c r="P403" s="410"/>
      <c r="Q403" s="410"/>
      <c r="R403" s="410"/>
      <c r="S403" s="410"/>
    </row>
    <row r="404" spans="1:19" x14ac:dyDescent="0.25">
      <c r="A404" s="410"/>
      <c r="B404" s="410"/>
      <c r="C404" s="410"/>
      <c r="D404" s="410"/>
      <c r="E404" s="410"/>
      <c r="F404" s="410"/>
      <c r="G404" s="410"/>
      <c r="H404" s="410"/>
      <c r="I404" s="410"/>
      <c r="J404" s="410"/>
      <c r="K404" s="410"/>
      <c r="L404" s="410"/>
      <c r="M404" s="410"/>
      <c r="N404" s="410"/>
      <c r="O404" s="410"/>
      <c r="P404" s="410"/>
      <c r="Q404" s="410"/>
      <c r="R404" s="410"/>
      <c r="S404" s="410"/>
    </row>
    <row r="412" spans="1:19" x14ac:dyDescent="0.25">
      <c r="A412" s="410"/>
      <c r="B412" s="410"/>
      <c r="C412" s="410"/>
      <c r="D412" s="410"/>
      <c r="E412" s="410"/>
      <c r="F412" s="410"/>
      <c r="G412" s="410"/>
      <c r="H412" s="410"/>
      <c r="I412" s="410"/>
      <c r="J412" s="410"/>
      <c r="K412" s="410"/>
      <c r="L412" s="410"/>
      <c r="M412" s="410"/>
      <c r="N412" s="410"/>
      <c r="O412" s="410"/>
      <c r="P412" s="410"/>
      <c r="Q412" s="410"/>
      <c r="R412" s="410"/>
      <c r="S412" s="410"/>
    </row>
    <row r="433" spans="1:19" x14ac:dyDescent="0.25">
      <c r="A433" s="410"/>
      <c r="B433" s="410"/>
      <c r="C433" s="410"/>
      <c r="D433" s="410"/>
      <c r="E433" s="410"/>
      <c r="F433" s="410"/>
      <c r="G433" s="410"/>
      <c r="H433" s="410"/>
      <c r="I433" s="410"/>
      <c r="J433" s="410"/>
      <c r="K433" s="410"/>
      <c r="L433" s="410"/>
      <c r="M433" s="410"/>
      <c r="N433" s="410"/>
      <c r="O433" s="410"/>
      <c r="P433" s="410"/>
      <c r="Q433" s="410"/>
      <c r="R433" s="410"/>
      <c r="S433" s="410"/>
    </row>
    <row r="443" spans="1:19" x14ac:dyDescent="0.25">
      <c r="A443" s="410"/>
      <c r="B443" s="410"/>
      <c r="C443" s="410"/>
      <c r="D443" s="410"/>
      <c r="E443" s="410"/>
      <c r="F443" s="410"/>
      <c r="G443" s="410"/>
      <c r="H443" s="410"/>
      <c r="I443" s="410"/>
      <c r="J443" s="410"/>
      <c r="K443" s="410"/>
      <c r="L443" s="410"/>
      <c r="M443" s="410"/>
      <c r="N443" s="410"/>
      <c r="O443" s="410"/>
      <c r="P443" s="410"/>
      <c r="Q443" s="410"/>
      <c r="R443" s="410"/>
      <c r="S443" s="410"/>
    </row>
    <row r="445" spans="1:19" x14ac:dyDescent="0.25">
      <c r="A445" s="410"/>
      <c r="B445" s="410"/>
      <c r="C445" s="410"/>
      <c r="D445" s="410"/>
      <c r="E445" s="410"/>
      <c r="F445" s="410"/>
      <c r="G445" s="410"/>
      <c r="H445" s="410"/>
      <c r="I445" s="410"/>
      <c r="J445" s="410"/>
      <c r="K445" s="410"/>
      <c r="L445" s="410"/>
      <c r="M445" s="410"/>
      <c r="N445" s="410"/>
      <c r="O445" s="410"/>
      <c r="P445" s="410"/>
      <c r="Q445" s="410"/>
      <c r="R445" s="410"/>
      <c r="S445" s="410"/>
    </row>
    <row r="446" spans="1:19" x14ac:dyDescent="0.25">
      <c r="A446" s="410"/>
      <c r="B446" s="410"/>
      <c r="C446" s="410"/>
      <c r="D446" s="410"/>
      <c r="E446" s="410"/>
      <c r="F446" s="410"/>
      <c r="G446" s="410"/>
      <c r="H446" s="410"/>
      <c r="I446" s="410"/>
      <c r="J446" s="410"/>
      <c r="K446" s="410"/>
      <c r="L446" s="410"/>
      <c r="M446" s="410"/>
      <c r="N446" s="410"/>
      <c r="O446" s="410"/>
      <c r="P446" s="410"/>
      <c r="Q446" s="410"/>
      <c r="R446" s="410"/>
      <c r="S446" s="410"/>
    </row>
    <row r="447" spans="1:19" x14ac:dyDescent="0.25">
      <c r="A447" s="410"/>
      <c r="B447" s="410"/>
      <c r="C447" s="410"/>
      <c r="D447" s="410"/>
      <c r="E447" s="410"/>
      <c r="F447" s="410"/>
      <c r="G447" s="410"/>
      <c r="H447" s="410"/>
      <c r="I447" s="410"/>
      <c r="J447" s="410"/>
      <c r="K447" s="410"/>
      <c r="L447" s="410"/>
      <c r="M447" s="410"/>
      <c r="N447" s="410"/>
      <c r="O447" s="410"/>
      <c r="P447" s="410"/>
      <c r="Q447" s="410"/>
      <c r="R447" s="410"/>
      <c r="S447" s="410"/>
    </row>
    <row r="448" spans="1:19" x14ac:dyDescent="0.25">
      <c r="A448" s="410"/>
      <c r="B448" s="410"/>
      <c r="C448" s="410"/>
      <c r="D448" s="410"/>
      <c r="E448" s="410"/>
      <c r="F448" s="410"/>
      <c r="G448" s="410"/>
      <c r="H448" s="410"/>
      <c r="I448" s="410"/>
      <c r="J448" s="410"/>
      <c r="K448" s="410"/>
      <c r="L448" s="410"/>
      <c r="M448" s="410"/>
      <c r="N448" s="410"/>
      <c r="O448" s="410"/>
      <c r="P448" s="410"/>
      <c r="Q448" s="410"/>
      <c r="R448" s="410"/>
      <c r="S448" s="410"/>
    </row>
    <row r="449" spans="1:19" x14ac:dyDescent="0.25">
      <c r="A449" s="410"/>
      <c r="B449" s="410"/>
      <c r="C449" s="410"/>
      <c r="D449" s="410"/>
      <c r="E449" s="410"/>
      <c r="F449" s="410"/>
      <c r="G449" s="410"/>
      <c r="H449" s="410"/>
      <c r="I449" s="410"/>
      <c r="J449" s="410"/>
      <c r="K449" s="410"/>
      <c r="L449" s="410"/>
      <c r="M449" s="410"/>
      <c r="N449" s="410"/>
      <c r="O449" s="410"/>
      <c r="P449" s="410"/>
      <c r="Q449" s="410"/>
      <c r="R449" s="410"/>
      <c r="S449" s="410"/>
    </row>
    <row r="450" spans="1:19" x14ac:dyDescent="0.25">
      <c r="A450" s="410"/>
      <c r="B450" s="410"/>
      <c r="C450" s="410"/>
      <c r="D450" s="410"/>
      <c r="E450" s="410"/>
      <c r="F450" s="410"/>
      <c r="G450" s="410"/>
      <c r="H450" s="410"/>
      <c r="I450" s="410"/>
      <c r="J450" s="410"/>
      <c r="K450" s="410"/>
      <c r="L450" s="410"/>
      <c r="M450" s="410"/>
      <c r="N450" s="410"/>
      <c r="O450" s="410"/>
      <c r="P450" s="410"/>
      <c r="Q450" s="410"/>
      <c r="R450" s="410"/>
      <c r="S450" s="410"/>
    </row>
    <row r="451" spans="1:19" x14ac:dyDescent="0.25">
      <c r="A451" s="410"/>
      <c r="B451" s="410"/>
      <c r="C451" s="410"/>
      <c r="D451" s="410"/>
      <c r="E451" s="410"/>
      <c r="F451" s="410"/>
      <c r="G451" s="410"/>
      <c r="H451" s="410"/>
      <c r="I451" s="410"/>
      <c r="J451" s="410"/>
      <c r="K451" s="410"/>
      <c r="L451" s="410"/>
      <c r="M451" s="410"/>
      <c r="N451" s="410"/>
      <c r="O451" s="410"/>
      <c r="P451" s="410"/>
      <c r="Q451" s="410"/>
      <c r="R451" s="410"/>
      <c r="S451" s="410"/>
    </row>
    <row r="453" spans="1:19" ht="15.6" x14ac:dyDescent="0.3">
      <c r="A453" s="352"/>
      <c r="K453" s="363"/>
    </row>
    <row r="454" spans="1:19" x14ac:dyDescent="0.25">
      <c r="A454" s="352"/>
    </row>
    <row r="455" spans="1:19" x14ac:dyDescent="0.25">
      <c r="A455" s="352"/>
    </row>
    <row r="456" spans="1:19" x14ac:dyDescent="0.25">
      <c r="A456" s="410"/>
      <c r="B456" s="410"/>
      <c r="C456" s="410"/>
      <c r="D456" s="410"/>
      <c r="E456" s="410"/>
      <c r="F456" s="410"/>
      <c r="G456" s="410"/>
      <c r="H456" s="410"/>
      <c r="I456" s="410"/>
      <c r="J456" s="410"/>
      <c r="K456" s="410"/>
      <c r="L456" s="410"/>
      <c r="M456" s="410"/>
      <c r="N456" s="410"/>
      <c r="O456" s="410"/>
      <c r="P456" s="410"/>
      <c r="Q456" s="410"/>
      <c r="R456" s="410"/>
      <c r="S456" s="410"/>
    </row>
    <row r="463" spans="1:19" x14ac:dyDescent="0.25">
      <c r="A463" s="410"/>
      <c r="B463" s="410"/>
      <c r="C463" s="410"/>
      <c r="D463" s="410"/>
      <c r="E463" s="410"/>
      <c r="F463" s="410"/>
      <c r="G463" s="410"/>
      <c r="H463" s="410"/>
      <c r="I463" s="410"/>
      <c r="J463" s="410"/>
      <c r="K463" s="410"/>
      <c r="L463" s="410"/>
      <c r="M463" s="410"/>
      <c r="N463" s="410"/>
      <c r="O463" s="410"/>
      <c r="P463" s="410"/>
      <c r="Q463" s="410"/>
      <c r="R463" s="410"/>
      <c r="S463" s="410"/>
    </row>
    <row r="467" spans="1:19" x14ac:dyDescent="0.25">
      <c r="A467" s="410"/>
      <c r="B467" s="410"/>
      <c r="C467" s="410"/>
      <c r="D467" s="410"/>
      <c r="E467" s="410"/>
      <c r="F467" s="410"/>
      <c r="G467" s="410"/>
      <c r="H467" s="410"/>
      <c r="I467" s="410"/>
      <c r="J467" s="410"/>
      <c r="K467" s="410"/>
      <c r="L467" s="410"/>
      <c r="M467" s="410"/>
      <c r="N467" s="410"/>
      <c r="O467" s="410"/>
      <c r="P467" s="410"/>
      <c r="Q467" s="410"/>
      <c r="R467" s="410"/>
      <c r="S467" s="410"/>
    </row>
    <row r="468" spans="1:19" x14ac:dyDescent="0.25">
      <c r="A468" s="410"/>
      <c r="B468" s="410"/>
      <c r="C468" s="410"/>
      <c r="D468" s="410"/>
      <c r="E468" s="410"/>
      <c r="F468" s="410"/>
      <c r="G468" s="410"/>
      <c r="H468" s="410"/>
      <c r="I468" s="410"/>
      <c r="J468" s="410"/>
      <c r="K468" s="410"/>
      <c r="L468" s="410"/>
      <c r="M468" s="410"/>
      <c r="N468" s="410"/>
      <c r="O468" s="410"/>
      <c r="P468" s="410"/>
      <c r="Q468" s="410"/>
      <c r="R468" s="410"/>
      <c r="S468" s="410"/>
    </row>
    <row r="471" spans="1:19" x14ac:dyDescent="0.25">
      <c r="A471" s="410"/>
      <c r="B471" s="410"/>
      <c r="C471" s="410"/>
      <c r="D471" s="410"/>
      <c r="E471" s="410"/>
      <c r="F471" s="410"/>
      <c r="G471" s="410"/>
      <c r="H471" s="410"/>
      <c r="I471" s="410"/>
      <c r="J471" s="410"/>
      <c r="K471" s="410"/>
      <c r="L471" s="410"/>
      <c r="M471" s="410"/>
      <c r="N471" s="410"/>
      <c r="O471" s="410"/>
      <c r="P471" s="410"/>
      <c r="Q471" s="410"/>
      <c r="R471" s="410"/>
      <c r="S471" s="410"/>
    </row>
    <row r="472" spans="1:19" x14ac:dyDescent="0.25">
      <c r="A472" s="410"/>
      <c r="B472" s="410"/>
      <c r="C472" s="410"/>
      <c r="D472" s="410"/>
      <c r="E472" s="410"/>
      <c r="F472" s="410"/>
      <c r="G472" s="410"/>
      <c r="H472" s="410"/>
      <c r="I472" s="410"/>
      <c r="J472" s="410"/>
      <c r="K472" s="410"/>
      <c r="L472" s="410"/>
      <c r="M472" s="410"/>
      <c r="N472" s="410"/>
      <c r="O472" s="410"/>
      <c r="P472" s="410"/>
      <c r="Q472" s="410"/>
      <c r="R472" s="410"/>
      <c r="S472" s="410"/>
    </row>
    <row r="473" spans="1:19" x14ac:dyDescent="0.25">
      <c r="A473" s="410"/>
      <c r="B473" s="410"/>
      <c r="C473" s="410"/>
      <c r="D473" s="410"/>
      <c r="E473" s="410"/>
      <c r="F473" s="410"/>
      <c r="G473" s="410"/>
      <c r="H473" s="410"/>
      <c r="I473" s="410"/>
      <c r="J473" s="410"/>
      <c r="K473" s="410"/>
      <c r="L473" s="410"/>
      <c r="M473" s="410"/>
      <c r="N473" s="410"/>
      <c r="O473" s="410"/>
      <c r="P473" s="410"/>
      <c r="Q473" s="410"/>
      <c r="R473" s="410"/>
      <c r="S473" s="410"/>
    </row>
    <row r="474" spans="1:19" x14ac:dyDescent="0.25">
      <c r="A474" s="412"/>
      <c r="B474" s="411"/>
      <c r="C474" s="411"/>
      <c r="D474" s="411"/>
      <c r="E474" s="411"/>
      <c r="F474" s="411"/>
      <c r="G474" s="413"/>
      <c r="H474" s="411"/>
      <c r="I474" s="411"/>
      <c r="J474" s="411"/>
      <c r="K474" s="411"/>
      <c r="L474" s="411"/>
      <c r="M474" s="411"/>
      <c r="N474" s="381"/>
      <c r="O474" s="381"/>
      <c r="P474" s="381"/>
      <c r="Q474" s="381"/>
      <c r="R474" s="381"/>
      <c r="S474" s="381"/>
    </row>
    <row r="475" spans="1:19" x14ac:dyDescent="0.25">
      <c r="A475" s="410"/>
      <c r="B475" s="410"/>
      <c r="C475" s="410"/>
      <c r="D475" s="410"/>
      <c r="E475" s="410"/>
      <c r="F475" s="410"/>
      <c r="G475" s="410"/>
      <c r="H475" s="410"/>
      <c r="I475" s="410"/>
      <c r="J475" s="410"/>
      <c r="K475" s="410"/>
      <c r="L475" s="410"/>
      <c r="M475" s="410"/>
      <c r="N475" s="410"/>
      <c r="O475" s="410"/>
      <c r="P475" s="410"/>
      <c r="Q475" s="410"/>
      <c r="R475" s="410"/>
      <c r="S475" s="410"/>
    </row>
    <row r="477" spans="1:19" x14ac:dyDescent="0.25">
      <c r="A477" s="412"/>
      <c r="B477" s="411"/>
      <c r="C477" s="411"/>
      <c r="D477" s="411"/>
      <c r="E477" s="411"/>
      <c r="F477" s="411"/>
      <c r="G477" s="413"/>
      <c r="H477" s="411"/>
      <c r="I477" s="411"/>
      <c r="J477" s="411"/>
      <c r="K477" s="411"/>
      <c r="L477" s="411"/>
      <c r="M477" s="411"/>
      <c r="N477" s="381"/>
      <c r="O477" s="381"/>
      <c r="P477" s="381"/>
      <c r="Q477" s="381"/>
      <c r="R477" s="381"/>
      <c r="S477" s="381"/>
    </row>
    <row r="487" spans="1:19" x14ac:dyDescent="0.25">
      <c r="A487" s="410"/>
      <c r="B487" s="410"/>
      <c r="C487" s="410"/>
      <c r="D487" s="410"/>
      <c r="E487" s="410"/>
      <c r="F487" s="410"/>
      <c r="G487" s="410"/>
      <c r="H487" s="410"/>
      <c r="I487" s="410"/>
      <c r="J487" s="410"/>
      <c r="K487" s="410"/>
      <c r="L487" s="410"/>
      <c r="M487" s="410"/>
      <c r="N487" s="410"/>
      <c r="O487" s="410"/>
      <c r="P487" s="410"/>
      <c r="Q487" s="410"/>
      <c r="R487" s="410"/>
      <c r="S487" s="410"/>
    </row>
    <row r="497" spans="1:19" x14ac:dyDescent="0.25">
      <c r="A497" s="410"/>
      <c r="B497" s="410"/>
      <c r="C497" s="410"/>
      <c r="D497" s="410"/>
      <c r="E497" s="410"/>
      <c r="F497" s="410"/>
      <c r="G497" s="410"/>
      <c r="H497" s="410"/>
      <c r="I497" s="410"/>
      <c r="J497" s="410"/>
      <c r="K497" s="410"/>
      <c r="L497" s="410"/>
      <c r="M497" s="410"/>
      <c r="N497" s="410"/>
      <c r="O497" s="410"/>
      <c r="P497" s="410"/>
      <c r="Q497" s="410"/>
      <c r="R497" s="410"/>
      <c r="S497" s="410"/>
    </row>
    <row r="507" spans="1:19" x14ac:dyDescent="0.25">
      <c r="A507" s="352"/>
      <c r="G507" s="352"/>
    </row>
    <row r="508" spans="1:19" x14ac:dyDescent="0.25">
      <c r="A508" s="352"/>
      <c r="G508" s="352"/>
    </row>
    <row r="509" spans="1:19" x14ac:dyDescent="0.25">
      <c r="A509" s="352"/>
      <c r="G509" s="352"/>
    </row>
    <row r="510" spans="1:19" x14ac:dyDescent="0.25">
      <c r="A510" s="352"/>
      <c r="G510" s="352"/>
    </row>
    <row r="511" spans="1:19" x14ac:dyDescent="0.25">
      <c r="A511" s="352"/>
      <c r="G511" s="352"/>
    </row>
    <row r="512" spans="1:19" x14ac:dyDescent="0.25">
      <c r="A512" s="352"/>
      <c r="G512" s="352"/>
    </row>
    <row r="513" spans="1:19" x14ac:dyDescent="0.25">
      <c r="A513" s="352"/>
      <c r="G513" s="352"/>
    </row>
    <row r="514" spans="1:19" x14ac:dyDescent="0.25">
      <c r="A514" s="352"/>
      <c r="G514" s="352"/>
    </row>
    <row r="516" spans="1:19" x14ac:dyDescent="0.25">
      <c r="A516" s="410"/>
      <c r="B516" s="410"/>
      <c r="C516" s="410"/>
      <c r="D516" s="410"/>
      <c r="E516" s="410"/>
      <c r="F516" s="410"/>
      <c r="G516" s="410"/>
      <c r="H516" s="410"/>
      <c r="I516" s="410"/>
      <c r="J516" s="410"/>
      <c r="K516" s="410"/>
      <c r="L516" s="410"/>
      <c r="M516" s="410"/>
      <c r="N516" s="410"/>
      <c r="O516" s="410"/>
      <c r="P516" s="410"/>
      <c r="Q516" s="410"/>
      <c r="R516" s="410"/>
      <c r="S516" s="410"/>
    </row>
    <row r="517" spans="1:19" x14ac:dyDescent="0.25">
      <c r="A517" s="410"/>
      <c r="B517" s="410"/>
      <c r="C517" s="410"/>
      <c r="D517" s="410"/>
      <c r="E517" s="410"/>
      <c r="F517" s="410"/>
      <c r="G517" s="410"/>
      <c r="H517" s="410"/>
      <c r="I517" s="410"/>
      <c r="J517" s="410"/>
      <c r="K517" s="410"/>
      <c r="L517" s="410"/>
      <c r="M517" s="410"/>
      <c r="N517" s="410"/>
      <c r="O517" s="410"/>
      <c r="P517" s="410"/>
      <c r="Q517" s="410"/>
      <c r="R517" s="410"/>
      <c r="S517" s="410"/>
    </row>
    <row r="518" spans="1:19" x14ac:dyDescent="0.25">
      <c r="A518" s="410"/>
      <c r="B518" s="410"/>
      <c r="C518" s="410"/>
      <c r="D518" s="410"/>
      <c r="E518" s="410"/>
      <c r="F518" s="410"/>
      <c r="G518" s="410"/>
      <c r="H518" s="410"/>
      <c r="I518" s="410"/>
      <c r="J518" s="410"/>
      <c r="K518" s="410"/>
      <c r="L518" s="410"/>
      <c r="M518" s="410"/>
      <c r="N518" s="410"/>
      <c r="O518" s="410"/>
      <c r="P518" s="410"/>
      <c r="Q518" s="410"/>
      <c r="R518" s="410"/>
      <c r="S518" s="410"/>
    </row>
    <row r="519" spans="1:19" x14ac:dyDescent="0.25">
      <c r="A519" s="410"/>
      <c r="B519" s="410"/>
      <c r="C519" s="410"/>
      <c r="D519" s="410"/>
      <c r="E519" s="410"/>
      <c r="F519" s="410"/>
      <c r="G519" s="410"/>
      <c r="H519" s="410"/>
      <c r="I519" s="410"/>
      <c r="J519" s="410"/>
      <c r="K519" s="410"/>
      <c r="L519" s="410"/>
      <c r="M519" s="410"/>
      <c r="N519" s="410"/>
      <c r="O519" s="410"/>
      <c r="P519" s="410"/>
      <c r="Q519" s="410"/>
      <c r="R519" s="410"/>
      <c r="S519" s="410"/>
    </row>
    <row r="520" spans="1:19" x14ac:dyDescent="0.25">
      <c r="A520" s="410"/>
      <c r="B520" s="410"/>
      <c r="C520" s="410"/>
      <c r="D520" s="410"/>
      <c r="E520" s="410"/>
      <c r="F520" s="410"/>
      <c r="G520" s="410"/>
      <c r="H520" s="410"/>
      <c r="I520" s="410"/>
      <c r="J520" s="410"/>
      <c r="K520" s="410"/>
      <c r="L520" s="410"/>
      <c r="M520" s="410"/>
      <c r="N520" s="410"/>
      <c r="O520" s="410"/>
      <c r="P520" s="410"/>
      <c r="Q520" s="410"/>
      <c r="R520" s="410"/>
      <c r="S520" s="410"/>
    </row>
    <row r="521" spans="1:19" x14ac:dyDescent="0.25">
      <c r="A521" s="410"/>
      <c r="B521" s="410"/>
      <c r="C521" s="410"/>
      <c r="D521" s="410"/>
      <c r="E521" s="410"/>
      <c r="F521" s="410"/>
      <c r="G521" s="410"/>
      <c r="H521" s="410"/>
      <c r="I521" s="410"/>
      <c r="J521" s="410"/>
      <c r="K521" s="410"/>
      <c r="L521" s="410"/>
      <c r="M521" s="410"/>
      <c r="N521" s="410"/>
      <c r="O521" s="410"/>
      <c r="P521" s="410"/>
      <c r="Q521" s="410"/>
      <c r="R521" s="410"/>
      <c r="S521" s="410"/>
    </row>
    <row r="522" spans="1:19" x14ac:dyDescent="0.25">
      <c r="A522" s="410"/>
      <c r="B522" s="410"/>
      <c r="C522" s="410"/>
      <c r="D522" s="410"/>
      <c r="E522" s="410"/>
      <c r="F522" s="410"/>
      <c r="G522" s="410"/>
      <c r="H522" s="410"/>
      <c r="I522" s="410"/>
      <c r="J522" s="410"/>
      <c r="K522" s="410"/>
      <c r="L522" s="410"/>
      <c r="M522" s="410"/>
      <c r="N522" s="410"/>
      <c r="O522" s="410"/>
      <c r="P522" s="410"/>
      <c r="Q522" s="410"/>
      <c r="R522" s="410"/>
      <c r="S522" s="410"/>
    </row>
    <row r="523" spans="1:19" x14ac:dyDescent="0.25">
      <c r="A523" s="410"/>
      <c r="B523" s="410"/>
      <c r="C523" s="410"/>
      <c r="D523" s="410"/>
      <c r="E523" s="410"/>
      <c r="F523" s="410"/>
      <c r="G523" s="410"/>
      <c r="H523" s="410"/>
      <c r="I523" s="410"/>
      <c r="J523" s="410"/>
      <c r="K523" s="410"/>
      <c r="L523" s="410"/>
      <c r="M523" s="410"/>
      <c r="N523" s="410"/>
      <c r="O523" s="410"/>
      <c r="P523" s="410"/>
      <c r="Q523" s="410"/>
      <c r="R523" s="410"/>
      <c r="S523" s="410"/>
    </row>
    <row r="524" spans="1:19" x14ac:dyDescent="0.25">
      <c r="A524" s="410"/>
      <c r="B524" s="410"/>
      <c r="C524" s="410"/>
      <c r="D524" s="410"/>
      <c r="E524" s="410"/>
      <c r="F524" s="410"/>
      <c r="G524" s="410"/>
      <c r="H524" s="410"/>
      <c r="I524" s="410"/>
      <c r="J524" s="410"/>
      <c r="K524" s="410"/>
      <c r="L524" s="410"/>
      <c r="M524" s="410"/>
      <c r="N524" s="410"/>
      <c r="O524" s="410"/>
      <c r="P524" s="410"/>
      <c r="Q524" s="410"/>
      <c r="R524" s="410"/>
      <c r="S524" s="410"/>
    </row>
    <row r="525" spans="1:19" x14ac:dyDescent="0.25">
      <c r="A525" s="410"/>
      <c r="B525" s="410"/>
      <c r="C525" s="410"/>
      <c r="D525" s="410"/>
      <c r="E525" s="410"/>
      <c r="F525" s="410"/>
      <c r="G525" s="410"/>
      <c r="H525" s="410"/>
      <c r="I525" s="410"/>
      <c r="J525" s="410"/>
      <c r="K525" s="410"/>
      <c r="L525" s="410"/>
      <c r="M525" s="410"/>
      <c r="N525" s="410"/>
      <c r="O525" s="410"/>
      <c r="P525" s="410"/>
      <c r="Q525" s="410"/>
      <c r="R525" s="410"/>
      <c r="S525" s="410"/>
    </row>
    <row r="526" spans="1:19" x14ac:dyDescent="0.25">
      <c r="A526" s="410"/>
      <c r="B526" s="410"/>
      <c r="C526" s="410"/>
      <c r="D526" s="410"/>
      <c r="E526" s="410"/>
      <c r="F526" s="410"/>
      <c r="G526" s="410"/>
      <c r="H526" s="410"/>
      <c r="I526" s="410"/>
      <c r="J526" s="410"/>
      <c r="K526" s="410"/>
      <c r="L526" s="410"/>
      <c r="M526" s="410"/>
      <c r="N526" s="410"/>
      <c r="O526" s="410"/>
      <c r="P526" s="410"/>
      <c r="Q526" s="410"/>
      <c r="R526" s="410"/>
      <c r="S526" s="410"/>
    </row>
    <row r="527" spans="1:19" x14ac:dyDescent="0.25">
      <c r="A527" s="410"/>
      <c r="B527" s="410"/>
      <c r="C527" s="410"/>
      <c r="D527" s="410"/>
      <c r="E527" s="410"/>
      <c r="F527" s="410"/>
      <c r="G527" s="410"/>
      <c r="H527" s="410"/>
      <c r="I527" s="410"/>
      <c r="J527" s="410"/>
      <c r="K527" s="410"/>
      <c r="L527" s="410"/>
      <c r="M527" s="410"/>
      <c r="N527" s="410"/>
      <c r="O527" s="410"/>
      <c r="P527" s="410"/>
      <c r="Q527" s="410"/>
      <c r="R527" s="410"/>
      <c r="S527" s="410"/>
    </row>
    <row r="528" spans="1:19" x14ac:dyDescent="0.25">
      <c r="A528" s="410"/>
      <c r="B528" s="410"/>
      <c r="C528" s="410"/>
      <c r="D528" s="410"/>
      <c r="E528" s="410"/>
      <c r="F528" s="410"/>
      <c r="G528" s="410"/>
      <c r="H528" s="410"/>
      <c r="I528" s="410"/>
      <c r="J528" s="410"/>
      <c r="K528" s="410"/>
      <c r="L528" s="410"/>
      <c r="M528" s="410"/>
      <c r="N528" s="410"/>
      <c r="O528" s="410"/>
      <c r="P528" s="410"/>
      <c r="Q528" s="410"/>
      <c r="R528" s="410"/>
      <c r="S528" s="410"/>
    </row>
    <row r="529" spans="1:19" x14ac:dyDescent="0.25">
      <c r="A529" s="410"/>
      <c r="B529" s="410"/>
      <c r="C529" s="410"/>
      <c r="D529" s="410"/>
      <c r="E529" s="410"/>
      <c r="F529" s="410"/>
      <c r="G529" s="410"/>
      <c r="H529" s="410"/>
      <c r="I529" s="410"/>
      <c r="J529" s="410"/>
      <c r="K529" s="410"/>
      <c r="L529" s="410"/>
      <c r="M529" s="410"/>
      <c r="N529" s="410"/>
      <c r="O529" s="410"/>
      <c r="P529" s="410"/>
      <c r="Q529" s="410"/>
      <c r="R529" s="410"/>
      <c r="S529" s="410"/>
    </row>
    <row r="530" spans="1:19" x14ac:dyDescent="0.25">
      <c r="A530" s="410"/>
      <c r="B530" s="410"/>
      <c r="C530" s="410"/>
      <c r="D530" s="410"/>
      <c r="E530" s="410"/>
      <c r="F530" s="410"/>
      <c r="G530" s="410"/>
      <c r="H530" s="410"/>
      <c r="I530" s="410"/>
      <c r="J530" s="410"/>
      <c r="K530" s="410"/>
      <c r="L530" s="410"/>
      <c r="M530" s="410"/>
      <c r="N530" s="410"/>
      <c r="O530" s="410"/>
      <c r="P530" s="410"/>
      <c r="Q530" s="410"/>
      <c r="R530" s="410"/>
      <c r="S530" s="410"/>
    </row>
    <row r="531" spans="1:19" x14ac:dyDescent="0.25">
      <c r="A531" s="410"/>
      <c r="B531" s="410"/>
      <c r="C531" s="410"/>
      <c r="D531" s="410"/>
      <c r="E531" s="410"/>
      <c r="F531" s="410"/>
      <c r="G531" s="410"/>
      <c r="H531" s="410"/>
      <c r="I531" s="410"/>
      <c r="J531" s="410"/>
      <c r="K531" s="410"/>
      <c r="L531" s="410"/>
      <c r="M531" s="410"/>
      <c r="N531" s="410"/>
      <c r="O531" s="410"/>
      <c r="P531" s="410"/>
      <c r="Q531" s="410"/>
      <c r="R531" s="410"/>
      <c r="S531" s="410"/>
    </row>
    <row r="537" spans="1:19" x14ac:dyDescent="0.25">
      <c r="A537" s="410"/>
      <c r="B537" s="410"/>
      <c r="C537" s="410"/>
      <c r="D537" s="410"/>
      <c r="E537" s="410"/>
      <c r="F537" s="410"/>
      <c r="G537" s="410"/>
      <c r="H537" s="410"/>
      <c r="I537" s="410"/>
      <c r="J537" s="410"/>
      <c r="K537" s="410"/>
      <c r="L537" s="410"/>
      <c r="M537" s="410"/>
      <c r="N537" s="410"/>
      <c r="O537" s="410"/>
      <c r="P537" s="410"/>
      <c r="Q537" s="410"/>
      <c r="R537" s="410"/>
      <c r="S537" s="410"/>
    </row>
    <row r="540" spans="1:19" x14ac:dyDescent="0.25">
      <c r="A540" s="410"/>
      <c r="B540" s="410"/>
      <c r="C540" s="410"/>
      <c r="D540" s="410"/>
      <c r="E540" s="410"/>
      <c r="F540" s="410"/>
      <c r="G540" s="410"/>
      <c r="H540" s="410"/>
      <c r="I540" s="410"/>
      <c r="J540" s="410"/>
      <c r="K540" s="410"/>
      <c r="L540" s="410"/>
      <c r="M540" s="410"/>
      <c r="N540" s="410"/>
      <c r="O540" s="410"/>
      <c r="P540" s="410"/>
      <c r="Q540" s="410"/>
      <c r="R540" s="410"/>
      <c r="S540" s="410"/>
    </row>
  </sheetData>
  <mergeCells count="3">
    <mergeCell ref="A74:Q74"/>
    <mergeCell ref="A77:Q77"/>
    <mergeCell ref="A80:Q80"/>
  </mergeCells>
  <pageMargins left="0.59055118110236227" right="0.39370078740157483" top="0.39370078740157483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B5F97-4C9F-48FD-B369-B0269A5CB94C}">
  <dimension ref="A1:Q453"/>
  <sheetViews>
    <sheetView workbookViewId="0"/>
  </sheetViews>
  <sheetFormatPr baseColWidth="10" defaultColWidth="11.44140625" defaultRowHeight="13.2" x14ac:dyDescent="0.25"/>
  <cols>
    <col min="1" max="1" width="4.6640625" style="351" customWidth="1"/>
    <col min="2" max="3" width="4.6640625" style="352" customWidth="1"/>
    <col min="4" max="4" width="3" style="352" customWidth="1"/>
    <col min="5" max="5" width="8.6640625" style="352" customWidth="1"/>
    <col min="6" max="6" width="3.6640625" style="352" customWidth="1"/>
    <col min="7" max="7" width="6.6640625" style="379" customWidth="1"/>
    <col min="8" max="8" width="5.33203125" style="352" customWidth="1"/>
    <col min="9" max="9" width="6.44140625" style="352" customWidth="1"/>
    <col min="10" max="10" width="4.6640625" style="352" customWidth="1"/>
    <col min="11" max="11" width="5.6640625" style="352" customWidth="1"/>
    <col min="12" max="12" width="6.44140625" style="352" customWidth="1"/>
    <col min="13" max="13" width="4.44140625" style="352" customWidth="1"/>
    <col min="14" max="14" width="4.6640625" style="352" customWidth="1"/>
    <col min="15" max="15" width="2.6640625" style="352" customWidth="1"/>
    <col min="16" max="16" width="6.6640625" style="352" customWidth="1"/>
    <col min="17" max="17" width="7.6640625" style="352" customWidth="1"/>
    <col min="18" max="16384" width="11.44140625" style="352"/>
  </cols>
  <sheetData>
    <row r="1" spans="1:17" s="447" customFormat="1" ht="32.25" customHeight="1" x14ac:dyDescent="0.55000000000000004">
      <c r="A1" s="446" t="s">
        <v>202</v>
      </c>
      <c r="F1" s="448"/>
      <c r="J1" s="497"/>
      <c r="K1" s="498" t="s">
        <v>615</v>
      </c>
      <c r="L1" s="538" t="str">
        <f>IF(VLOOKUP($A$1,Database!$1:$1048576,Database!GZ$1,FALSE)=0,"-",VLOOKUP($A$1,Database!$1:$1048576,Database!GZ$1,FALSE))</f>
        <v>Dagny</v>
      </c>
    </row>
    <row r="2" spans="1:17" s="356" customFormat="1" ht="25.5" customHeight="1" x14ac:dyDescent="0.6">
      <c r="B2" s="361" t="s">
        <v>349</v>
      </c>
      <c r="C2" s="454">
        <f>VLOOKUP($A$1,Database!$1:$1048576,Database!GC$1,FALSE)</f>
        <v>0</v>
      </c>
      <c r="F2" s="360"/>
    </row>
    <row r="3" spans="1:17" s="362" customFormat="1" ht="16.2" thickBot="1" x14ac:dyDescent="0.35">
      <c r="A3" s="369" t="s">
        <v>353</v>
      </c>
      <c r="E3" s="454" t="str">
        <f>VLOOKUP($A$1,Database!$1:$1048576,Database!C$1,FALSE)</f>
        <v>Gaffel</v>
      </c>
      <c r="F3" s="455"/>
    </row>
    <row r="4" spans="1:17" s="362" customFormat="1" ht="16.2" thickBot="1" x14ac:dyDescent="0.35">
      <c r="A4" s="369" t="s">
        <v>590</v>
      </c>
      <c r="E4" s="592">
        <f>G21/0.3048</f>
        <v>37.99212598425197</v>
      </c>
      <c r="F4" s="595" t="s">
        <v>7</v>
      </c>
      <c r="G4" s="424">
        <f>VLOOKUP($A$1,Database!$1:$1048576,Database!AP$1,FALSE)</f>
        <v>11.58</v>
      </c>
      <c r="H4" s="394" t="s">
        <v>375</v>
      </c>
      <c r="I4" s="589">
        <f>VLOOKUP($A$1,Database!$1:$1048576,Database!H$1,FALSE)</f>
        <v>80.3</v>
      </c>
      <c r="J4" s="590" t="s">
        <v>868</v>
      </c>
      <c r="K4" s="582"/>
      <c r="L4" s="591"/>
      <c r="O4" s="588"/>
      <c r="P4" s="592">
        <f>VLOOKUP($A$1,Database!$1:$1048576,Database!BC$1,FALSE)</f>
        <v>13</v>
      </c>
      <c r="Q4" s="593" t="s">
        <v>854</v>
      </c>
    </row>
    <row r="5" spans="1:17" s="362" customFormat="1" ht="16.2" thickBot="1" x14ac:dyDescent="0.35">
      <c r="A5" s="369" t="s">
        <v>558</v>
      </c>
      <c r="E5" s="454" t="str">
        <f>VLOOKUP($A$1,Database!$1:$1048576,Database!GS$1,FALSE)</f>
        <v>Skøyte</v>
      </c>
      <c r="F5" s="455"/>
      <c r="I5" s="602">
        <f>VLOOKUP($A$1,Database!$1:$1048576,Database!I$1,FALSE)</f>
        <v>1.135</v>
      </c>
      <c r="J5" s="600" t="s">
        <v>877</v>
      </c>
      <c r="K5" s="582"/>
      <c r="L5" s="591"/>
    </row>
    <row r="6" spans="1:17" s="362" customFormat="1" ht="15.6" x14ac:dyDescent="0.3">
      <c r="A6" s="369" t="s">
        <v>361</v>
      </c>
      <c r="E6" s="454" t="str">
        <f>VLOOKUP($A$1,Database!$1:$1048576,Database!GT$1,FALSE)</f>
        <v>Losskøyte</v>
      </c>
      <c r="F6" s="455"/>
    </row>
    <row r="7" spans="1:17" s="362" customFormat="1" ht="15.6" x14ac:dyDescent="0.3">
      <c r="A7" s="369" t="s">
        <v>360</v>
      </c>
      <c r="E7" s="454" t="str">
        <f>VLOOKUP($A$1,Database!$1:$1048576,Database!GU$1,FALSE)</f>
        <v>Colin Archer</v>
      </c>
      <c r="F7" s="455"/>
    </row>
    <row r="8" spans="1:17" s="362" customFormat="1" ht="15.6" x14ac:dyDescent="0.3">
      <c r="A8" s="369" t="s">
        <v>358</v>
      </c>
      <c r="E8" s="454" t="str">
        <f>VLOOKUP($A$1,Database!$1:$1048576,Database!GV$1,FALSE)</f>
        <v>Colin Archer</v>
      </c>
      <c r="F8" s="455"/>
    </row>
    <row r="9" spans="1:17" s="362" customFormat="1" ht="15.6" x14ac:dyDescent="0.3">
      <c r="A9" s="369" t="s">
        <v>366</v>
      </c>
      <c r="E9" s="454">
        <f>VLOOKUP($A$1,Database!$1:$1048576,Database!GW$1,FALSE)</f>
        <v>1889</v>
      </c>
      <c r="F9" s="455"/>
    </row>
    <row r="10" spans="1:17" s="362" customFormat="1" ht="15.6" x14ac:dyDescent="0.3">
      <c r="A10" s="369" t="s">
        <v>422</v>
      </c>
      <c r="E10" s="454" t="str">
        <f>VLOOKUP($A$1,Database!$1:$1048576,Database!GY$1,FALSE)</f>
        <v>Hvit</v>
      </c>
      <c r="F10" s="455"/>
    </row>
    <row r="11" spans="1:17" s="362" customFormat="1" ht="15.6" x14ac:dyDescent="0.3">
      <c r="A11" s="369" t="s">
        <v>421</v>
      </c>
      <c r="E11" s="454" t="str">
        <f>VLOOKUP($A$1,Database!$1:$1048576,Database!GX$1,FALSE)</f>
        <v>Hvite</v>
      </c>
      <c r="F11" s="455"/>
    </row>
    <row r="12" spans="1:17" s="362" customFormat="1" ht="15.6" x14ac:dyDescent="0.3">
      <c r="A12" s="455" t="s">
        <v>2</v>
      </c>
      <c r="E12" s="457"/>
      <c r="F12" s="445"/>
      <c r="K12" s="456" t="s">
        <v>754</v>
      </c>
    </row>
    <row r="13" spans="1:17" s="362" customFormat="1" ht="15.6" x14ac:dyDescent="0.3">
      <c r="A13" s="454" t="str">
        <f>VLOOKUP($A$1,Database!$1:$1048576,Database!GD$1,FALSE)</f>
        <v>Truls Antonsen</v>
      </c>
      <c r="K13" s="454" t="str">
        <f>IF(VLOOKUP($A$1,Database!$1:$1048576,Database!GL$1,FALSE)=0,"-",VLOOKUP($A$1,Database!$1:$1048576,Database!GL$1,FALSE))</f>
        <v>.-</v>
      </c>
      <c r="P13" s="361"/>
      <c r="Q13" s="369"/>
    </row>
    <row r="14" spans="1:17" s="362" customFormat="1" ht="15.6" x14ac:dyDescent="0.3">
      <c r="A14" s="369">
        <f>VLOOKUP($A$1,Database!$1:$1048576,Database!GG$1,FALSE)</f>
        <v>0</v>
      </c>
      <c r="K14" s="454" t="str">
        <f>IF(VLOOKUP($A$1,Database!$1:$1048576,Database!GO$1,FALSE)=0,"-",VLOOKUP($A$1,Database!$1:$1048576,Database!GO$1,FALSE))</f>
        <v>.-</v>
      </c>
      <c r="P14" s="361"/>
      <c r="Q14" s="369"/>
    </row>
    <row r="15" spans="1:17" s="362" customFormat="1" ht="15.6" x14ac:dyDescent="0.3">
      <c r="A15" s="454" t="str">
        <f>VLOOKUP($A$1,Database!$1:$1048576,Database!GH$1,FALSE)</f>
        <v>Oslo</v>
      </c>
      <c r="G15" s="370"/>
      <c r="I15" s="370"/>
      <c r="J15" s="507"/>
      <c r="K15" s="369" t="str">
        <f>IF(VLOOKUP($A$1,Database!$1:$1048576,Database!GP$1,FALSE)=0,"-",VLOOKUP($A$1,Database!$1:$1048576,Database!GP$1,FALSE))</f>
        <v>.-</v>
      </c>
    </row>
    <row r="16" spans="1:17" s="362" customFormat="1" ht="15.6" x14ac:dyDescent="0.3">
      <c r="A16" s="454" t="str">
        <f>VLOOKUP($A$1,Database!$1:$1048576,Database!GI$1,FALSE)</f>
        <v>Norge</v>
      </c>
      <c r="C16" s="369"/>
      <c r="D16" s="369"/>
      <c r="H16" s="508"/>
      <c r="I16" s="509"/>
      <c r="J16" s="361"/>
      <c r="K16" s="454" t="str">
        <f>IF(VLOOKUP($A$1,Database!$1:$1048576,Database!GQ$1,FALSE)=0,"-",VLOOKUP($A$1,Database!$1:$1048576,Database!GQ$1,FALSE))</f>
        <v>.-</v>
      </c>
      <c r="M16" s="369"/>
    </row>
    <row r="17" spans="1:17" s="362" customFormat="1" ht="15.6" x14ac:dyDescent="0.3">
      <c r="A17" s="352"/>
      <c r="B17" s="379" t="s">
        <v>350</v>
      </c>
      <c r="C17" s="351">
        <f>VLOOKUP($A$1,Database!$1:$1048576,Database!GE$1,FALSE)</f>
        <v>0</v>
      </c>
      <c r="D17" s="352"/>
      <c r="E17" s="352"/>
      <c r="K17" s="369" t="str">
        <f>IF(VLOOKUP($A$1,Database!$1:$1048576,Database!GM$1,FALSE)=0,"-",VLOOKUP($A$1,Database!$1:$1048576,Database!GM$1,FALSE))</f>
        <v>.-</v>
      </c>
      <c r="L17" s="457"/>
      <c r="P17" s="457"/>
      <c r="Q17" s="445"/>
    </row>
    <row r="18" spans="1:17" s="362" customFormat="1" ht="15.6" x14ac:dyDescent="0.3">
      <c r="A18" s="352"/>
      <c r="B18" s="379" t="s">
        <v>351</v>
      </c>
      <c r="C18" s="351">
        <f>VLOOKUP($A$1,Database!$1:$1048576,Database!GF$1,FALSE)</f>
        <v>0</v>
      </c>
      <c r="D18" s="352"/>
      <c r="E18" s="352"/>
      <c r="K18" s="369" t="str">
        <f>IF(VLOOKUP($A$1,Database!$1:$1048576,Database!GN$1,FALSE)=0,"-",VLOOKUP($A$1,Database!$1:$1048576,Database!GN$1,FALSE))</f>
        <v>.-</v>
      </c>
      <c r="L18" s="457"/>
      <c r="P18" s="457"/>
      <c r="Q18" s="445"/>
    </row>
    <row r="19" spans="1:17" s="365" customFormat="1" ht="17.399999999999999" x14ac:dyDescent="0.3">
      <c r="A19" s="468"/>
      <c r="B19" s="467"/>
      <c r="C19" s="379" t="s">
        <v>419</v>
      </c>
      <c r="D19" s="351">
        <f>VLOOKUP($A$1,Database!$1:$1048576,Database!GJ$1,FALSE)</f>
        <v>0</v>
      </c>
      <c r="E19" s="352"/>
      <c r="H19" s="458"/>
      <c r="I19" s="459"/>
      <c r="J19" s="353"/>
      <c r="K19" s="402"/>
      <c r="L19" s="457"/>
      <c r="M19" s="460"/>
      <c r="N19" s="352"/>
      <c r="O19" s="352"/>
      <c r="P19" s="352"/>
      <c r="Q19" s="352"/>
    </row>
    <row r="20" spans="1:17" s="450" customFormat="1" ht="17.399999999999999" x14ac:dyDescent="0.3">
      <c r="A20" s="382" t="s">
        <v>661</v>
      </c>
      <c r="G20" s="451"/>
      <c r="H20" s="452"/>
      <c r="K20" s="402"/>
      <c r="L20" s="457"/>
      <c r="M20" s="460"/>
      <c r="N20" s="352"/>
      <c r="O20" s="352"/>
      <c r="P20" s="352"/>
      <c r="Q20" s="352"/>
    </row>
    <row r="21" spans="1:17" s="425" customFormat="1" ht="15.6" x14ac:dyDescent="0.3">
      <c r="A21" s="369" t="s">
        <v>374</v>
      </c>
      <c r="B21" s="352"/>
      <c r="C21" s="352"/>
      <c r="D21" s="352"/>
      <c r="E21" s="352"/>
      <c r="F21" s="402" t="s">
        <v>354</v>
      </c>
      <c r="G21" s="424">
        <f>VLOOKUP($A$1,Database!$1:$1048576,Database!AP$1,FALSE)</f>
        <v>11.58</v>
      </c>
      <c r="H21" s="351" t="s">
        <v>375</v>
      </c>
      <c r="I21" s="450"/>
      <c r="J21" s="450"/>
      <c r="K21" s="402"/>
      <c r="L21" s="457"/>
      <c r="M21" s="460"/>
      <c r="N21" s="352"/>
      <c r="O21" s="352"/>
      <c r="P21" s="352"/>
      <c r="Q21" s="352"/>
    </row>
    <row r="22" spans="1:17" s="425" customFormat="1" ht="15.6" x14ac:dyDescent="0.3">
      <c r="A22" s="369" t="s">
        <v>740</v>
      </c>
      <c r="B22" s="352"/>
      <c r="C22" s="352"/>
      <c r="D22" s="352"/>
      <c r="E22" s="352"/>
      <c r="F22" s="402" t="s">
        <v>354</v>
      </c>
      <c r="G22" s="428">
        <f>IF(VLOOKUP($A$1,Database!$1:$1048576,Database!AQ$1,FALSE)=0,"?",VLOOKUP($A$1,Database!$1:$1048576,Database!AQ$1,FALSE))</f>
        <v>10.5</v>
      </c>
      <c r="H22" s="351" t="s">
        <v>375</v>
      </c>
      <c r="I22" s="450"/>
      <c r="J22" s="450"/>
      <c r="K22" s="402"/>
      <c r="L22" s="457"/>
      <c r="M22" s="460"/>
      <c r="N22" s="352"/>
      <c r="O22" s="352"/>
      <c r="P22" s="352"/>
      <c r="Q22" s="352"/>
    </row>
    <row r="23" spans="1:17" s="425" customFormat="1" ht="15.6" x14ac:dyDescent="0.3">
      <c r="A23" s="369" t="s">
        <v>378</v>
      </c>
      <c r="B23" s="352"/>
      <c r="C23" s="352"/>
      <c r="D23" s="352"/>
      <c r="E23" s="352"/>
      <c r="F23" s="402" t="s">
        <v>354</v>
      </c>
      <c r="G23" s="424">
        <f>VLOOKUP($A$1,Database!$1:$1048576,Database!AR$1,FALSE)</f>
        <v>3.95</v>
      </c>
      <c r="H23" s="351" t="s">
        <v>375</v>
      </c>
      <c r="I23" s="351"/>
      <c r="J23" s="450"/>
      <c r="K23" s="402"/>
      <c r="L23" s="457"/>
      <c r="M23" s="460"/>
      <c r="N23" s="352"/>
      <c r="O23" s="352"/>
      <c r="P23" s="352"/>
      <c r="Q23" s="352"/>
    </row>
    <row r="24" spans="1:17" s="425" customFormat="1" ht="15.6" x14ac:dyDescent="0.3">
      <c r="A24" s="369" t="s">
        <v>630</v>
      </c>
      <c r="B24" s="352"/>
      <c r="C24" s="352"/>
      <c r="D24" s="352"/>
      <c r="E24" s="352"/>
      <c r="F24" s="402" t="s">
        <v>354</v>
      </c>
      <c r="G24" s="471" t="str">
        <f>IF(VLOOKUP($A$1,Database!$1:$1048576,Database!AN$1,FALSE)=0,"-",VLOOKUP($A$1,Database!$1:$1048576,Database!AN$1,FALSE))</f>
        <v>Los</v>
      </c>
      <c r="H24" s="351"/>
      <c r="I24" s="394"/>
      <c r="J24" s="394"/>
      <c r="Q24" s="424" t="s">
        <v>753</v>
      </c>
    </row>
    <row r="25" spans="1:17" s="425" customFormat="1" ht="15.6" x14ac:dyDescent="0.3">
      <c r="A25" s="369" t="s">
        <v>607</v>
      </c>
      <c r="B25" s="352"/>
      <c r="C25" s="352"/>
      <c r="D25" s="352"/>
      <c r="E25" s="352"/>
      <c r="F25" s="402" t="s">
        <v>354</v>
      </c>
      <c r="G25" s="424">
        <f>VLOOKUP($A$1,Database!$1:$1048576,Database!AS$1,FALSE)</f>
        <v>1.7</v>
      </c>
      <c r="H25" s="351" t="s">
        <v>608</v>
      </c>
    </row>
    <row r="26" spans="1:17" s="425" customFormat="1" ht="15.6" x14ac:dyDescent="0.3">
      <c r="A26" s="369" t="s">
        <v>601</v>
      </c>
      <c r="B26" s="352"/>
      <c r="C26" s="352"/>
      <c r="D26" s="352"/>
      <c r="E26" s="352"/>
      <c r="F26" s="402" t="s">
        <v>354</v>
      </c>
      <c r="G26" s="428">
        <f>IF(VLOOKUP($A$1,Database!$1:$1048576,Database!AV$1,FALSE)=0,"-",VLOOKUP($A$1,Database!$1:$1048576,Database!AV$1,FALSE))</f>
        <v>2</v>
      </c>
      <c r="H26" s="351" t="s">
        <v>611</v>
      </c>
      <c r="I26" s="394"/>
      <c r="J26" s="352"/>
      <c r="K26" s="352"/>
      <c r="L26" s="352"/>
      <c r="M26" s="352"/>
      <c r="N26" s="352"/>
      <c r="O26" s="352"/>
      <c r="P26" s="352"/>
      <c r="Q26" s="352"/>
    </row>
    <row r="27" spans="1:17" s="425" customFormat="1" ht="15.6" x14ac:dyDescent="0.3">
      <c r="A27" s="369" t="s">
        <v>602</v>
      </c>
      <c r="B27" s="352"/>
      <c r="C27" s="352"/>
      <c r="D27" s="352"/>
      <c r="E27" s="352"/>
      <c r="F27" s="402" t="s">
        <v>354</v>
      </c>
      <c r="G27" s="428">
        <f>IF(VLOOKUP($A$1,Database!$1:$1048576,Database!AW$1,FALSE)=0,"-",VLOOKUP($A$1,Database!$1:$1048576,Database!AW$1,FALSE))</f>
        <v>2</v>
      </c>
      <c r="H27" s="351" t="s">
        <v>611</v>
      </c>
      <c r="I27" s="394"/>
      <c r="J27" s="379"/>
      <c r="K27" s="379"/>
      <c r="L27" s="379"/>
      <c r="M27" s="379"/>
      <c r="N27" s="379"/>
      <c r="O27" s="379"/>
      <c r="P27" s="379"/>
      <c r="Q27" s="379"/>
    </row>
    <row r="28" spans="1:17" s="425" customFormat="1" ht="16.2" thickBot="1" x14ac:dyDescent="0.35">
      <c r="A28" s="369" t="s">
        <v>734</v>
      </c>
      <c r="B28" s="352"/>
      <c r="C28" s="352"/>
      <c r="D28" s="352"/>
      <c r="E28" s="352"/>
      <c r="F28" s="402" t="s">
        <v>354</v>
      </c>
      <c r="G28" s="424">
        <f>VLOOKUP($A$1,Database!$1:$1048576,Database!AU$1,FALSE)</f>
        <v>13</v>
      </c>
      <c r="H28" s="351" t="s">
        <v>383</v>
      </c>
      <c r="I28" s="643">
        <f>VLOOKUP($A$1,Database!$1:$1048576,Database!BF$1,FALSE)</f>
        <v>0.74958353321984428</v>
      </c>
      <c r="J28" s="644" t="s">
        <v>912</v>
      </c>
      <c r="K28" s="645"/>
      <c r="L28" s="644"/>
      <c r="M28" s="646"/>
      <c r="N28" s="352"/>
      <c r="O28" s="352"/>
      <c r="P28" s="352"/>
      <c r="Q28" s="351"/>
    </row>
    <row r="29" spans="1:17" ht="15.6" x14ac:dyDescent="0.3">
      <c r="A29" s="565" t="s">
        <v>653</v>
      </c>
      <c r="B29" s="526"/>
      <c r="C29" s="526"/>
      <c r="D29" s="526"/>
      <c r="E29" s="566"/>
      <c r="F29" s="567"/>
      <c r="G29" s="596" t="str">
        <f>IF(VLOOKUP($A$1,Database!$1:$1048576,Database!BB$1,FALSE)=0,"?",VLOOKUP($A$1,Database!$1:$1048576,Database!BB$1,FALSE))</f>
        <v>?</v>
      </c>
      <c r="H29" s="568" t="s">
        <v>655</v>
      </c>
      <c r="I29" s="642" t="s">
        <v>738</v>
      </c>
      <c r="J29" s="354"/>
      <c r="K29" s="369"/>
      <c r="L29" s="362"/>
      <c r="M29" s="362"/>
      <c r="N29" s="526"/>
      <c r="O29" s="567"/>
      <c r="P29" s="576"/>
      <c r="Q29" s="351"/>
    </row>
    <row r="30" spans="1:17" ht="16.2" thickBot="1" x14ac:dyDescent="0.35">
      <c r="A30" s="569" t="s">
        <v>654</v>
      </c>
      <c r="B30" s="570"/>
      <c r="C30" s="570"/>
      <c r="D30" s="570"/>
      <c r="E30" s="571"/>
      <c r="F30" s="572"/>
      <c r="G30" s="597" t="str">
        <f>IF(VLOOKUP($A$1,Database!$1:$1048576,Database!BA$1,FALSE)=0,"?",VLOOKUP($A$1,Database!$1:$1048576,Database!BA$1,FALSE))</f>
        <v>?</v>
      </c>
      <c r="H30" s="573" t="s">
        <v>655</v>
      </c>
      <c r="I30" s="580"/>
      <c r="J30" s="577"/>
      <c r="K30" s="578" t="s">
        <v>658</v>
      </c>
      <c r="L30" s="570"/>
      <c r="M30" s="570"/>
      <c r="N30" s="570"/>
      <c r="O30" s="572"/>
      <c r="P30" s="579"/>
      <c r="Q30" s="351"/>
    </row>
    <row r="31" spans="1:17" ht="16.2" thickBot="1" x14ac:dyDescent="0.35">
      <c r="A31" s="581" t="s">
        <v>744</v>
      </c>
      <c r="B31" s="582"/>
      <c r="C31" s="582"/>
      <c r="D31" s="582"/>
      <c r="E31" s="583"/>
      <c r="F31" s="584"/>
      <c r="G31" s="585">
        <f>VLOOKUP($A$1,Database!$1:$1048576,Database!BC$1,FALSE)</f>
        <v>13</v>
      </c>
      <c r="H31" s="586" t="s">
        <v>383</v>
      </c>
      <c r="I31" s="386"/>
      <c r="J31" s="354"/>
      <c r="K31" s="369"/>
      <c r="L31" s="362"/>
      <c r="M31" s="362"/>
      <c r="N31" s="362"/>
      <c r="O31" s="370"/>
      <c r="P31" s="384"/>
      <c r="Q31" s="351"/>
    </row>
    <row r="32" spans="1:17" ht="17.399999999999999" x14ac:dyDescent="0.3">
      <c r="A32" s="382" t="s">
        <v>559</v>
      </c>
      <c r="B32" s="362"/>
      <c r="C32" s="362"/>
      <c r="D32" s="362"/>
      <c r="E32" s="362"/>
      <c r="F32" s="402" t="s">
        <v>354</v>
      </c>
      <c r="G32" s="361"/>
      <c r="H32" s="369"/>
      <c r="I32" s="351"/>
      <c r="J32" s="362"/>
      <c r="K32" s="362"/>
      <c r="L32" s="362"/>
      <c r="M32" s="362"/>
      <c r="N32" s="362"/>
      <c r="O32" s="362"/>
      <c r="P32" s="362"/>
      <c r="Q32" s="369"/>
    </row>
    <row r="33" spans="1:17" ht="3.75" customHeight="1" x14ac:dyDescent="0.3">
      <c r="A33" s="362"/>
      <c r="B33" s="362"/>
      <c r="C33" s="362"/>
      <c r="D33" s="362"/>
      <c r="E33" s="362"/>
      <c r="F33" s="402" t="s">
        <v>354</v>
      </c>
      <c r="G33" s="361"/>
      <c r="H33" s="369"/>
      <c r="I33" s="362"/>
      <c r="J33" s="362"/>
      <c r="K33" s="362"/>
      <c r="L33" s="362"/>
      <c r="M33" s="362"/>
      <c r="N33" s="362"/>
      <c r="O33" s="362"/>
      <c r="P33" s="362"/>
      <c r="Q33" s="369"/>
    </row>
    <row r="34" spans="1:17" ht="15.6" x14ac:dyDescent="0.3">
      <c r="A34" s="454" t="s">
        <v>563</v>
      </c>
      <c r="B34" s="362"/>
      <c r="C34" s="362"/>
      <c r="D34" s="362"/>
      <c r="E34" s="362"/>
      <c r="F34" s="402" t="s">
        <v>354</v>
      </c>
      <c r="G34" s="587">
        <f>IF(VLOOKUP($A$1,Database!$1:$1048576,Database!X$1,FALSE)=0,"-",VLOOKUP($A$1,Database!$1:$1048576,Database!X$1,FALSE))</f>
        <v>39.700000000000003</v>
      </c>
      <c r="H34" s="354" t="s">
        <v>560</v>
      </c>
      <c r="I34" s="362"/>
      <c r="J34" s="362"/>
      <c r="K34" s="369"/>
      <c r="L34" s="362"/>
      <c r="M34" s="362"/>
      <c r="N34" s="362"/>
      <c r="O34" s="370"/>
      <c r="P34" s="469"/>
      <c r="Q34" s="354"/>
    </row>
    <row r="35" spans="1:17" ht="15.6" x14ac:dyDescent="0.3">
      <c r="A35" s="369" t="s">
        <v>745</v>
      </c>
      <c r="B35" s="362"/>
      <c r="C35" s="362"/>
      <c r="D35" s="362"/>
      <c r="E35" s="362"/>
      <c r="F35" s="402" t="s">
        <v>354</v>
      </c>
      <c r="G35" s="469">
        <f>IF(VLOOKUP($A$1,Database!$1:$1048576,Database!Y$1,FALSE)=0,"-",VLOOKUP($A$1,Database!$1:$1048576,Database!Y$1,FALSE))</f>
        <v>32.700000000000003</v>
      </c>
      <c r="H35" s="354" t="s">
        <v>560</v>
      </c>
      <c r="I35" s="362"/>
      <c r="J35" s="362"/>
      <c r="K35" s="369"/>
      <c r="L35" s="362"/>
      <c r="M35" s="362"/>
      <c r="N35" s="362"/>
      <c r="O35" s="370"/>
      <c r="P35" s="469"/>
      <c r="Q35" s="354"/>
    </row>
    <row r="36" spans="1:17" ht="15.6" x14ac:dyDescent="0.3">
      <c r="A36" s="369" t="s">
        <v>746</v>
      </c>
      <c r="B36" s="362"/>
      <c r="C36" s="362"/>
      <c r="D36" s="362"/>
      <c r="E36" s="362"/>
      <c r="F36" s="402" t="s">
        <v>354</v>
      </c>
      <c r="G36" s="469">
        <f>IF(VLOOKUP($A$1,Database!$1:$1048576,Database!Z$1,FALSE)=0,"-",VLOOKUP($A$1,Database!$1:$1048576,Database!Z$1,FALSE))</f>
        <v>26.1</v>
      </c>
      <c r="H36" s="354" t="s">
        <v>560</v>
      </c>
      <c r="I36" s="362"/>
      <c r="J36" s="362"/>
      <c r="K36" s="369"/>
      <c r="L36" s="362"/>
      <c r="M36" s="362"/>
      <c r="N36" s="362"/>
      <c r="O36" s="370"/>
      <c r="P36" s="384"/>
      <c r="Q36" s="351"/>
    </row>
    <row r="37" spans="1:17" ht="15.6" x14ac:dyDescent="0.3">
      <c r="A37" s="454" t="s">
        <v>10</v>
      </c>
      <c r="B37" s="362"/>
      <c r="C37" s="362"/>
      <c r="D37" s="362"/>
      <c r="E37" s="362"/>
      <c r="F37" s="402" t="s">
        <v>354</v>
      </c>
      <c r="G37" s="587">
        <f>IF(VLOOKUP($A$1,Database!$1:$1048576,Database!AA$1,FALSE)=0,"-",VLOOKUP($A$1,Database!$1:$1048576,Database!AA$1,FALSE))</f>
        <v>7.6</v>
      </c>
      <c r="H37" s="354" t="s">
        <v>560</v>
      </c>
      <c r="I37" s="362"/>
      <c r="J37" s="362"/>
    </row>
    <row r="38" spans="1:17" ht="15.6" x14ac:dyDescent="0.3">
      <c r="A38" s="369" t="s">
        <v>566</v>
      </c>
      <c r="B38" s="362"/>
      <c r="C38" s="362"/>
      <c r="D38" s="362"/>
      <c r="E38" s="362"/>
      <c r="F38" s="402" t="s">
        <v>354</v>
      </c>
      <c r="G38" s="469" t="str">
        <f>IF(VLOOKUP($A$1,Database!$1:$1048576,Database!AB$1,FALSE)=0,"-",VLOOKUP($A$1,Database!$1:$1048576,Database!AB$1,FALSE))</f>
        <v>-</v>
      </c>
      <c r="H38" s="354" t="s">
        <v>560</v>
      </c>
      <c r="I38" s="362"/>
      <c r="J38" s="362"/>
    </row>
    <row r="39" spans="1:17" ht="15.6" x14ac:dyDescent="0.3">
      <c r="A39" s="454" t="s">
        <v>397</v>
      </c>
      <c r="B39" s="362"/>
      <c r="C39" s="362"/>
      <c r="D39" s="362"/>
      <c r="F39" s="402" t="s">
        <v>354</v>
      </c>
      <c r="G39" s="587">
        <f>IF(VLOOKUP($A$1,Database!$1:$1048576,Database!U$1,FALSE)=0,"-",VLOOKUP($A$1,Database!$1:$1048576,Database!U$1,FALSE))</f>
        <v>18</v>
      </c>
      <c r="H39" s="354" t="s">
        <v>560</v>
      </c>
      <c r="I39" s="354"/>
      <c r="J39" s="354"/>
      <c r="K39" s="369" t="s">
        <v>726</v>
      </c>
      <c r="L39" s="362"/>
      <c r="M39" s="362"/>
      <c r="N39" s="362"/>
      <c r="O39" s="370" t="s">
        <v>354</v>
      </c>
      <c r="P39" s="469" t="str">
        <f>IF(VLOOKUP($A$1,Database!$1:$1048576,Database!V$1,FALSE)=0,"-",VLOOKUP($A$1,Database!$1:$1048576,Database!V$1,FALSE))</f>
        <v>-</v>
      </c>
      <c r="Q39" s="354" t="s">
        <v>560</v>
      </c>
    </row>
    <row r="40" spans="1:17" ht="15.6" x14ac:dyDescent="0.3">
      <c r="A40" s="454" t="s">
        <v>756</v>
      </c>
      <c r="B40" s="362"/>
      <c r="C40" s="362"/>
      <c r="D40" s="362"/>
      <c r="E40" s="362"/>
      <c r="F40" s="402" t="s">
        <v>354</v>
      </c>
      <c r="G40" s="587">
        <f>IF(VLOOKUP($A$1,Database!$1:$1048576,Database!R$1,FALSE)=0,"-",VLOOKUP($A$1,Database!$1:$1048576,Database!R$1,FALSE))</f>
        <v>22.1</v>
      </c>
      <c r="H40" s="354" t="s">
        <v>560</v>
      </c>
      <c r="J40" s="362"/>
      <c r="K40" s="369" t="s">
        <v>724</v>
      </c>
      <c r="L40" s="362"/>
      <c r="M40" s="362"/>
      <c r="N40" s="362"/>
      <c r="O40" s="370" t="s">
        <v>354</v>
      </c>
      <c r="P40" s="469"/>
      <c r="Q40" s="354" t="s">
        <v>560</v>
      </c>
    </row>
    <row r="41" spans="1:17" ht="15.6" x14ac:dyDescent="0.3">
      <c r="A41" s="369" t="s">
        <v>561</v>
      </c>
      <c r="B41" s="362"/>
      <c r="C41" s="362"/>
      <c r="D41" s="362"/>
      <c r="E41" s="364"/>
      <c r="F41" s="402" t="s">
        <v>354</v>
      </c>
      <c r="G41" s="469">
        <f>IF(VLOOKUP($A$1,Database!$1:$1048576,Database!S$1,FALSE)=0,"-",VLOOKUP($A$1,Database!$1:$1048576,Database!S$1,FALSE))</f>
        <v>15</v>
      </c>
      <c r="H41" s="354" t="s">
        <v>560</v>
      </c>
      <c r="J41" s="362"/>
      <c r="K41" s="369" t="s">
        <v>725</v>
      </c>
      <c r="L41" s="362"/>
      <c r="M41" s="362"/>
      <c r="N41" s="362"/>
      <c r="O41" s="370" t="s">
        <v>354</v>
      </c>
      <c r="P41" s="469" t="str">
        <f>IF(VLOOKUP($A$1,Database!$1:$1048576,Database!W$1,FALSE)=0,"-",VLOOKUP($A$1,Database!$1:$1048576,Database!W$1,FALSE))</f>
        <v>-</v>
      </c>
      <c r="Q41" s="354" t="s">
        <v>560</v>
      </c>
    </row>
    <row r="42" spans="1:17" ht="15.6" x14ac:dyDescent="0.3">
      <c r="A42" s="369" t="s">
        <v>562</v>
      </c>
      <c r="B42" s="362"/>
      <c r="C42" s="362"/>
      <c r="D42" s="362"/>
      <c r="E42" s="364"/>
      <c r="F42" s="402" t="s">
        <v>354</v>
      </c>
      <c r="G42" s="469">
        <f>IF(VLOOKUP($A$1,Database!$1:$1048576,Database!T$1,FALSE)=0,"-",VLOOKUP($A$1,Database!$1:$1048576,Database!T$1,FALSE))</f>
        <v>7.1</v>
      </c>
      <c r="H42" s="354" t="s">
        <v>560</v>
      </c>
      <c r="I42" s="386"/>
      <c r="J42" s="354"/>
      <c r="K42" s="369"/>
      <c r="L42" s="362"/>
      <c r="M42" s="362"/>
      <c r="N42" s="362"/>
      <c r="O42" s="370"/>
      <c r="P42" s="384"/>
      <c r="Q42" s="351"/>
    </row>
    <row r="43" spans="1:17" ht="15.6" x14ac:dyDescent="0.3">
      <c r="A43" s="369" t="s">
        <v>567</v>
      </c>
      <c r="B43" s="362"/>
      <c r="C43" s="362"/>
      <c r="D43" s="362"/>
      <c r="F43" s="402" t="s">
        <v>354</v>
      </c>
      <c r="G43" s="469" t="str">
        <f>IF(VLOOKUP($A$1,Database!$1:$1048576,Database!Q$1,FALSE)=0,"-",VLOOKUP($A$1,Database!$1:$1048576,Database!Q$1,FALSE))</f>
        <v>-</v>
      </c>
      <c r="H43" s="354" t="s">
        <v>560</v>
      </c>
      <c r="I43" s="354"/>
      <c r="J43" s="354"/>
      <c r="K43" s="369"/>
      <c r="L43" s="362"/>
      <c r="M43" s="362"/>
      <c r="N43" s="362"/>
      <c r="O43" s="370"/>
      <c r="P43" s="384"/>
      <c r="Q43" s="351"/>
    </row>
    <row r="44" spans="1:17" ht="15.6" x14ac:dyDescent="0.3">
      <c r="A44" s="369" t="s">
        <v>733</v>
      </c>
      <c r="B44" s="362"/>
      <c r="C44" s="362"/>
      <c r="D44" s="362"/>
      <c r="E44" s="364"/>
      <c r="F44" s="402" t="s">
        <v>354</v>
      </c>
      <c r="G44" s="469" t="str">
        <f>IF(VLOOKUP($A$1,Database!$1:$1048576,Database!P$1,FALSE)=0,"-",VLOOKUP($A$1,Database!$1:$1048576,Database!P$1,FALSE))</f>
        <v>-</v>
      </c>
      <c r="H44" s="354" t="s">
        <v>560</v>
      </c>
      <c r="I44" s="386"/>
      <c r="J44" s="354"/>
      <c r="K44" s="369"/>
      <c r="L44" s="362"/>
      <c r="M44" s="362"/>
      <c r="N44" s="362"/>
      <c r="O44" s="370"/>
      <c r="P44" s="384"/>
      <c r="Q44" s="351"/>
    </row>
    <row r="45" spans="1:17" ht="15.6" x14ac:dyDescent="0.3">
      <c r="A45" s="369" t="s">
        <v>568</v>
      </c>
      <c r="B45" s="362"/>
      <c r="C45" s="362"/>
      <c r="D45" s="362"/>
      <c r="E45" s="364"/>
      <c r="F45" s="402" t="s">
        <v>354</v>
      </c>
      <c r="G45" s="469" t="str">
        <f>IF(VLOOKUP($A$1,Database!$1:$1048576,Database!O$1,FALSE)=0,"-",VLOOKUP($A$1,Database!$1:$1048576,Database!O$1,FALSE))</f>
        <v>-</v>
      </c>
      <c r="H45" s="354" t="s">
        <v>560</v>
      </c>
      <c r="I45" s="386"/>
      <c r="J45" s="354"/>
      <c r="K45" s="369"/>
      <c r="L45" s="362"/>
      <c r="M45" s="362"/>
      <c r="N45" s="362"/>
      <c r="O45" s="370"/>
      <c r="P45" s="384"/>
      <c r="Q45" s="351"/>
    </row>
    <row r="46" spans="1:17" ht="15.6" x14ac:dyDescent="0.3">
      <c r="A46" s="454" t="s">
        <v>747</v>
      </c>
      <c r="B46" s="362"/>
      <c r="C46" s="362"/>
      <c r="D46" s="362"/>
      <c r="E46" s="362"/>
      <c r="F46" s="402" t="s">
        <v>354</v>
      </c>
      <c r="G46" s="587" t="str">
        <f>IF(VLOOKUP($A$1,Database!$1:$1048576,Database!AC$1,FALSE)=0,"-",VLOOKUP($A$1,Database!$1:$1048576,Database!AC$1,FALSE))</f>
        <v>-</v>
      </c>
      <c r="H46" s="354" t="s">
        <v>560</v>
      </c>
      <c r="I46" s="362"/>
      <c r="J46" s="362"/>
      <c r="K46" s="369"/>
      <c r="L46" s="362"/>
      <c r="M46" s="362"/>
      <c r="N46" s="362"/>
      <c r="O46" s="370"/>
      <c r="P46" s="469"/>
      <c r="Q46" s="354"/>
    </row>
    <row r="47" spans="1:17" ht="15.6" x14ac:dyDescent="0.3">
      <c r="A47" s="369" t="s">
        <v>565</v>
      </c>
      <c r="B47" s="362"/>
      <c r="C47" s="362"/>
      <c r="D47" s="362"/>
      <c r="E47" s="362"/>
      <c r="F47" s="402" t="s">
        <v>354</v>
      </c>
      <c r="G47" s="587" t="str">
        <f>IF(VLOOKUP($A$1,Database!$1:$1048576,Database!AD$1,FALSE)=0,"-",VLOOKUP($A$1,Database!$1:$1048576,Database!AD$1,FALSE))</f>
        <v>-</v>
      </c>
      <c r="H47" s="354" t="s">
        <v>560</v>
      </c>
      <c r="I47" s="362"/>
      <c r="J47" s="362"/>
      <c r="K47" s="369"/>
      <c r="L47" s="362"/>
      <c r="M47" s="362"/>
      <c r="N47" s="362"/>
      <c r="O47" s="370"/>
      <c r="P47" s="384"/>
      <c r="Q47" s="351"/>
    </row>
    <row r="48" spans="1:17" ht="15.6" x14ac:dyDescent="0.3">
      <c r="A48" s="369" t="s">
        <v>728</v>
      </c>
      <c r="B48" s="362"/>
      <c r="C48" s="362"/>
      <c r="D48" s="362"/>
      <c r="E48" s="362"/>
      <c r="F48" s="402" t="s">
        <v>354</v>
      </c>
      <c r="G48" s="428"/>
      <c r="H48" s="354" t="s">
        <v>375</v>
      </c>
      <c r="I48" s="362"/>
      <c r="J48" s="362"/>
      <c r="K48" s="369"/>
      <c r="L48" s="362"/>
      <c r="M48" s="362"/>
      <c r="N48" s="362"/>
      <c r="O48" s="370"/>
      <c r="P48" s="384"/>
      <c r="Q48" s="351"/>
    </row>
    <row r="49" spans="1:17" s="364" customFormat="1" ht="17.399999999999999" x14ac:dyDescent="0.3">
      <c r="A49" s="382" t="s">
        <v>835</v>
      </c>
      <c r="F49" s="410"/>
      <c r="G49" s="473"/>
      <c r="H49" s="354"/>
      <c r="I49" s="386"/>
      <c r="J49" s="354"/>
      <c r="K49" s="354"/>
      <c r="O49" s="410"/>
      <c r="P49" s="474"/>
      <c r="Q49" s="354"/>
    </row>
    <row r="50" spans="1:17" ht="15.6" x14ac:dyDescent="0.3">
      <c r="A50" s="369" t="s">
        <v>574</v>
      </c>
      <c r="B50" s="362"/>
      <c r="C50" s="362"/>
      <c r="D50" s="362"/>
      <c r="E50" s="364"/>
      <c r="F50" s="370"/>
      <c r="G50" s="470" t="str">
        <f>IF(VLOOKUP($A$1,Database!$1:$1048576,Database!BM$1,FALSE)=0,"-",VLOOKUP($A$1,Database!$1:$1048576,Database!BM$1,FALSE))</f>
        <v>-</v>
      </c>
      <c r="H50" s="354" t="s">
        <v>368</v>
      </c>
      <c r="I50" s="386"/>
      <c r="J50" s="354"/>
      <c r="K50" s="369"/>
      <c r="L50" s="362"/>
      <c r="M50" s="362"/>
      <c r="N50" s="362"/>
      <c r="O50" s="370"/>
      <c r="P50" s="384"/>
      <c r="Q50" s="351"/>
    </row>
    <row r="51" spans="1:17" ht="15.6" x14ac:dyDescent="0.3">
      <c r="A51" s="369" t="s">
        <v>576</v>
      </c>
      <c r="B51" s="362"/>
      <c r="C51" s="362"/>
      <c r="D51" s="362"/>
      <c r="E51" s="364"/>
      <c r="F51" s="370"/>
      <c r="G51" s="470">
        <f>IF(VLOOKUP($A$1,Database!$1:$1048576,Database!BL$1,FALSE)=0,"-",VLOOKUP($A$1,Database!$1:$1048576,Database!BL$1,FALSE))</f>
        <v>3</v>
      </c>
      <c r="H51" s="354" t="s">
        <v>577</v>
      </c>
      <c r="I51" s="386"/>
      <c r="J51" s="354"/>
      <c r="K51" s="369"/>
      <c r="L51" s="362"/>
      <c r="M51" s="362"/>
      <c r="N51" s="362"/>
      <c r="O51" s="370"/>
      <c r="P51" s="384"/>
      <c r="Q51" s="351"/>
    </row>
    <row r="52" spans="1:17" ht="15.6" x14ac:dyDescent="0.3">
      <c r="A52" s="369" t="s">
        <v>575</v>
      </c>
      <c r="B52" s="362"/>
      <c r="C52" s="362"/>
      <c r="D52" s="362"/>
      <c r="E52" s="364"/>
      <c r="F52" s="370"/>
      <c r="G52" s="470" t="str">
        <f>IF(VLOOKUP($A$1,Database!$1:$1048576,Database!BK$1,FALSE)=0,"-",VLOOKUP($A$1,Database!$1:$1048576,Database!BK$1,FALSE))</f>
        <v>Seilrett</v>
      </c>
      <c r="H52" s="354"/>
      <c r="I52" s="541" t="s">
        <v>752</v>
      </c>
      <c r="J52" s="354"/>
      <c r="K52" s="369"/>
      <c r="L52" s="362"/>
      <c r="M52" s="362"/>
      <c r="N52" s="362"/>
      <c r="O52" s="370"/>
      <c r="P52" s="384"/>
      <c r="Q52" s="351"/>
    </row>
    <row r="53" spans="1:17" ht="15.6" x14ac:dyDescent="0.3">
      <c r="A53" s="369" t="s">
        <v>603</v>
      </c>
      <c r="B53" s="362"/>
      <c r="C53" s="362"/>
      <c r="D53" s="362"/>
      <c r="E53" s="364"/>
      <c r="F53" s="370"/>
      <c r="G53" s="470" t="str">
        <f>IF(VLOOKUP($A$1,Database!$1:$1048576,Database!AY$1,FALSE)=0,"-",VLOOKUP($A$1,Database!$1:$1048576,Database!AY$1,FALSE))</f>
        <v>-</v>
      </c>
      <c r="H53" s="354" t="s">
        <v>609</v>
      </c>
      <c r="I53" s="386"/>
      <c r="J53" s="354"/>
      <c r="K53" s="354"/>
      <c r="L53" s="354"/>
      <c r="M53" s="354"/>
      <c r="N53" s="354"/>
      <c r="O53" s="354"/>
      <c r="P53" s="354"/>
      <c r="Q53" s="354"/>
    </row>
    <row r="54" spans="1:17" x14ac:dyDescent="0.25">
      <c r="A54" s="412"/>
      <c r="B54" s="411"/>
      <c r="C54" s="411"/>
      <c r="D54" s="411"/>
      <c r="E54" s="411"/>
      <c r="F54" s="411"/>
      <c r="G54" s="413"/>
      <c r="H54" s="411"/>
      <c r="I54" s="411"/>
      <c r="J54" s="411"/>
      <c r="K54" s="411"/>
      <c r="L54" s="411"/>
      <c r="M54" s="411"/>
      <c r="N54" s="381"/>
      <c r="O54" s="381"/>
      <c r="P54" s="381"/>
      <c r="Q54" s="381"/>
    </row>
    <row r="55" spans="1:17" x14ac:dyDescent="0.25">
      <c r="A55" s="410"/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</row>
    <row r="69" spans="1:17" x14ac:dyDescent="0.25">
      <c r="A69" s="412"/>
      <c r="B69" s="411"/>
      <c r="C69" s="411"/>
      <c r="D69" s="411"/>
      <c r="E69" s="411"/>
      <c r="F69" s="411"/>
      <c r="G69" s="413"/>
      <c r="H69" s="411"/>
      <c r="I69" s="411"/>
      <c r="J69" s="411"/>
      <c r="K69" s="411"/>
      <c r="L69" s="411"/>
      <c r="M69" s="411"/>
      <c r="N69" s="381"/>
      <c r="O69" s="381"/>
      <c r="P69" s="381"/>
      <c r="Q69" s="381"/>
    </row>
    <row r="73" spans="1:17" x14ac:dyDescent="0.25">
      <c r="A73" s="410"/>
      <c r="B73" s="410"/>
      <c r="C73" s="410"/>
      <c r="D73" s="410"/>
      <c r="E73" s="410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</row>
    <row r="83" spans="1:17" x14ac:dyDescent="0.25">
      <c r="A83" s="412"/>
      <c r="B83" s="411"/>
      <c r="C83" s="411"/>
      <c r="D83" s="411"/>
      <c r="E83" s="411"/>
      <c r="F83" s="411"/>
      <c r="G83" s="413"/>
      <c r="H83" s="411"/>
      <c r="I83" s="411"/>
      <c r="J83" s="411"/>
      <c r="K83" s="411"/>
      <c r="L83" s="411"/>
      <c r="M83" s="411"/>
      <c r="N83" s="381"/>
      <c r="O83" s="381"/>
      <c r="P83" s="381"/>
      <c r="Q83" s="381"/>
    </row>
    <row r="86" spans="1:17" x14ac:dyDescent="0.25">
      <c r="A86" s="412"/>
      <c r="B86" s="411"/>
      <c r="C86" s="411"/>
      <c r="D86" s="411"/>
      <c r="E86" s="411"/>
      <c r="F86" s="411"/>
      <c r="G86" s="413"/>
      <c r="H86" s="411"/>
      <c r="I86" s="411"/>
      <c r="J86" s="411"/>
      <c r="K86" s="411"/>
      <c r="L86" s="411"/>
      <c r="M86" s="411"/>
      <c r="N86" s="381"/>
      <c r="O86" s="381"/>
      <c r="P86" s="381"/>
      <c r="Q86" s="381"/>
    </row>
    <row r="100" spans="1:17" x14ac:dyDescent="0.25">
      <c r="A100" s="412"/>
      <c r="B100" s="411"/>
      <c r="C100" s="411"/>
      <c r="D100" s="411"/>
      <c r="E100" s="411"/>
      <c r="F100" s="411"/>
      <c r="G100" s="413"/>
      <c r="H100" s="411"/>
      <c r="I100" s="411"/>
      <c r="J100" s="411"/>
      <c r="K100" s="411"/>
      <c r="L100" s="411"/>
      <c r="M100" s="411"/>
      <c r="N100" s="381"/>
      <c r="O100" s="381"/>
      <c r="P100" s="381"/>
      <c r="Q100" s="381"/>
    </row>
    <row r="141" spans="1:17" x14ac:dyDescent="0.25">
      <c r="A141" s="410"/>
      <c r="B141" s="410"/>
      <c r="C141" s="410"/>
      <c r="D141" s="410"/>
      <c r="E141" s="410"/>
      <c r="F141" s="410"/>
      <c r="G141" s="410"/>
      <c r="H141" s="410"/>
      <c r="I141" s="410"/>
      <c r="J141" s="410"/>
      <c r="K141" s="410"/>
      <c r="L141" s="410"/>
      <c r="M141" s="410"/>
      <c r="N141" s="410"/>
      <c r="O141" s="410"/>
      <c r="P141" s="410"/>
      <c r="Q141" s="410"/>
    </row>
    <row r="142" spans="1:17" x14ac:dyDescent="0.25">
      <c r="A142" s="412"/>
      <c r="B142" s="411"/>
      <c r="C142" s="411"/>
      <c r="D142" s="411"/>
      <c r="E142" s="411"/>
      <c r="F142" s="411"/>
      <c r="G142" s="413"/>
      <c r="H142" s="411"/>
      <c r="I142" s="411"/>
      <c r="J142" s="411"/>
      <c r="K142" s="411"/>
      <c r="L142" s="411"/>
      <c r="M142" s="411"/>
      <c r="N142" s="381"/>
      <c r="O142" s="381"/>
      <c r="P142" s="381"/>
      <c r="Q142" s="381"/>
    </row>
    <row r="179" spans="1:17" x14ac:dyDescent="0.25">
      <c r="A179" s="410"/>
      <c r="B179" s="410"/>
      <c r="C179" s="410"/>
      <c r="D179" s="410"/>
      <c r="E179" s="410"/>
      <c r="F179" s="410"/>
      <c r="G179" s="410"/>
      <c r="H179" s="410"/>
      <c r="I179" s="410"/>
      <c r="J179" s="410"/>
      <c r="K179" s="410"/>
      <c r="L179" s="410"/>
      <c r="M179" s="410"/>
      <c r="N179" s="410"/>
      <c r="O179" s="410"/>
      <c r="P179" s="410"/>
      <c r="Q179" s="410"/>
    </row>
    <row r="196" spans="1:17" x14ac:dyDescent="0.25">
      <c r="A196" s="410"/>
      <c r="B196" s="410"/>
      <c r="C196" s="410"/>
      <c r="D196" s="410"/>
      <c r="E196" s="410"/>
      <c r="F196" s="410"/>
      <c r="G196" s="410"/>
      <c r="H196" s="410"/>
      <c r="I196" s="410"/>
      <c r="J196" s="410"/>
      <c r="K196" s="410"/>
      <c r="L196" s="410"/>
      <c r="M196" s="410"/>
      <c r="N196" s="410"/>
      <c r="O196" s="410"/>
      <c r="P196" s="410"/>
      <c r="Q196" s="410"/>
    </row>
    <row r="198" spans="1:17" x14ac:dyDescent="0.25">
      <c r="A198" s="410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0"/>
      <c r="O198" s="410"/>
      <c r="P198" s="410"/>
      <c r="Q198" s="410"/>
    </row>
    <row r="199" spans="1:17" x14ac:dyDescent="0.25">
      <c r="A199" s="410"/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0"/>
      <c r="O199" s="410"/>
      <c r="P199" s="410"/>
      <c r="Q199" s="410"/>
    </row>
    <row r="202" spans="1:17" x14ac:dyDescent="0.25">
      <c r="A202" s="412"/>
      <c r="B202" s="411"/>
      <c r="C202" s="411"/>
      <c r="D202" s="411"/>
      <c r="E202" s="411"/>
      <c r="F202" s="411"/>
      <c r="G202" s="413"/>
      <c r="H202" s="411"/>
      <c r="I202" s="411"/>
      <c r="J202" s="411"/>
      <c r="K202" s="411"/>
      <c r="L202" s="411"/>
      <c r="M202" s="411"/>
      <c r="N202" s="381"/>
      <c r="O202" s="381"/>
      <c r="P202" s="381"/>
      <c r="Q202" s="381"/>
    </row>
    <row r="210" spans="1:17" x14ac:dyDescent="0.25">
      <c r="A210" s="410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10"/>
      <c r="O210" s="410"/>
      <c r="P210" s="410"/>
      <c r="Q210" s="410"/>
    </row>
    <row r="214" spans="1:17" x14ac:dyDescent="0.25">
      <c r="A214" s="412"/>
      <c r="B214" s="411"/>
      <c r="C214" s="411"/>
      <c r="D214" s="411"/>
      <c r="E214" s="411"/>
      <c r="F214" s="411"/>
      <c r="G214" s="413"/>
      <c r="H214" s="411"/>
      <c r="I214" s="411"/>
      <c r="J214" s="411"/>
      <c r="K214" s="411"/>
      <c r="L214" s="411"/>
      <c r="M214" s="411"/>
      <c r="N214" s="381"/>
      <c r="O214" s="381"/>
      <c r="P214" s="381"/>
      <c r="Q214" s="381"/>
    </row>
    <row r="222" spans="1:17" x14ac:dyDescent="0.25">
      <c r="A222" s="410"/>
      <c r="B222" s="410"/>
      <c r="C222" s="410"/>
      <c r="D222" s="410"/>
      <c r="E222" s="410"/>
      <c r="F222" s="410"/>
      <c r="G222" s="410"/>
      <c r="H222" s="410"/>
      <c r="I222" s="410"/>
      <c r="J222" s="410"/>
      <c r="K222" s="410"/>
      <c r="L222" s="410"/>
      <c r="M222" s="410"/>
      <c r="N222" s="410"/>
      <c r="O222" s="410"/>
      <c r="P222" s="410"/>
      <c r="Q222" s="410"/>
    </row>
    <row r="226" spans="1:17" x14ac:dyDescent="0.25">
      <c r="A226" s="410"/>
      <c r="B226" s="410"/>
      <c r="C226" s="410"/>
      <c r="D226" s="410"/>
      <c r="E226" s="410"/>
      <c r="F226" s="410"/>
      <c r="G226" s="410"/>
      <c r="H226" s="410"/>
      <c r="I226" s="410"/>
      <c r="J226" s="410"/>
      <c r="K226" s="410"/>
      <c r="L226" s="410"/>
      <c r="M226" s="410"/>
      <c r="N226" s="410"/>
      <c r="O226" s="410"/>
      <c r="P226" s="410"/>
      <c r="Q226" s="410"/>
    </row>
    <row r="228" spans="1:17" x14ac:dyDescent="0.25">
      <c r="A228" s="412"/>
      <c r="B228" s="411"/>
      <c r="C228" s="411"/>
      <c r="D228" s="411"/>
      <c r="E228" s="411"/>
      <c r="F228" s="411"/>
      <c r="G228" s="413"/>
      <c r="H228" s="411"/>
      <c r="I228" s="411"/>
      <c r="J228" s="411"/>
      <c r="K228" s="411"/>
      <c r="L228" s="411"/>
      <c r="M228" s="411"/>
      <c r="N228" s="381"/>
      <c r="O228" s="381"/>
      <c r="P228" s="381"/>
      <c r="Q228" s="381"/>
    </row>
    <row r="230" spans="1:17" x14ac:dyDescent="0.25">
      <c r="A230" s="410"/>
      <c r="B230" s="410"/>
      <c r="C230" s="410"/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0"/>
      <c r="O230" s="410"/>
      <c r="P230" s="410"/>
      <c r="Q230" s="410"/>
    </row>
    <row r="239" spans="1:17" x14ac:dyDescent="0.25">
      <c r="A239" s="410"/>
      <c r="B239" s="410"/>
      <c r="C239" s="410"/>
      <c r="D239" s="410"/>
      <c r="E239" s="410"/>
      <c r="F239" s="410"/>
      <c r="G239" s="410"/>
      <c r="H239" s="410"/>
      <c r="I239" s="410"/>
      <c r="J239" s="410"/>
      <c r="K239" s="410"/>
      <c r="L239" s="410"/>
      <c r="M239" s="410"/>
      <c r="N239" s="410"/>
      <c r="O239" s="410"/>
      <c r="P239" s="410"/>
      <c r="Q239" s="410"/>
    </row>
    <row r="243" spans="1:17" x14ac:dyDescent="0.25">
      <c r="A243" s="412"/>
      <c r="B243" s="411"/>
      <c r="C243" s="411"/>
      <c r="D243" s="411"/>
      <c r="E243" s="411"/>
      <c r="F243" s="411"/>
      <c r="G243" s="413"/>
      <c r="H243" s="411"/>
      <c r="I243" s="411"/>
      <c r="J243" s="411"/>
      <c r="K243" s="411"/>
      <c r="L243" s="411"/>
      <c r="M243" s="411"/>
      <c r="N243" s="381"/>
      <c r="O243" s="381"/>
      <c r="P243" s="381"/>
      <c r="Q243" s="381"/>
    </row>
    <row r="270" spans="1:17" x14ac:dyDescent="0.25">
      <c r="A270" s="410"/>
      <c r="B270" s="410"/>
      <c r="C270" s="410"/>
      <c r="D270" s="410"/>
      <c r="E270" s="410"/>
      <c r="F270" s="410"/>
      <c r="G270" s="410"/>
      <c r="H270" s="410"/>
      <c r="I270" s="410"/>
      <c r="J270" s="410"/>
      <c r="K270" s="410"/>
      <c r="L270" s="410"/>
      <c r="M270" s="410"/>
      <c r="N270" s="410"/>
      <c r="O270" s="410"/>
      <c r="P270" s="410"/>
      <c r="Q270" s="410"/>
    </row>
    <row r="272" spans="1:17" x14ac:dyDescent="0.25">
      <c r="A272" s="410"/>
      <c r="B272" s="410"/>
      <c r="C272" s="410"/>
      <c r="D272" s="410"/>
      <c r="E272" s="410"/>
      <c r="F272" s="410"/>
      <c r="G272" s="410"/>
      <c r="H272" s="410"/>
      <c r="I272" s="410"/>
      <c r="J272" s="410"/>
      <c r="K272" s="410"/>
      <c r="L272" s="410"/>
      <c r="M272" s="410"/>
      <c r="N272" s="410"/>
      <c r="O272" s="410"/>
      <c r="P272" s="410"/>
      <c r="Q272" s="410"/>
    </row>
    <row r="315" spans="1:17" x14ac:dyDescent="0.25">
      <c r="A315" s="410"/>
      <c r="B315" s="410"/>
      <c r="C315" s="410"/>
      <c r="D315" s="410"/>
      <c r="E315" s="410"/>
      <c r="F315" s="410"/>
      <c r="G315" s="410"/>
      <c r="H315" s="410"/>
      <c r="I315" s="410"/>
      <c r="J315" s="410"/>
      <c r="K315" s="410"/>
      <c r="L315" s="410"/>
      <c r="M315" s="410"/>
      <c r="N315" s="410"/>
      <c r="O315" s="410"/>
      <c r="P315" s="410"/>
      <c r="Q315" s="410"/>
    </row>
    <row r="316" spans="1:17" x14ac:dyDescent="0.25">
      <c r="A316" s="410"/>
      <c r="B316" s="410"/>
      <c r="C316" s="410"/>
      <c r="D316" s="410"/>
      <c r="E316" s="410"/>
      <c r="F316" s="410"/>
      <c r="G316" s="410"/>
      <c r="H316" s="410"/>
      <c r="I316" s="410"/>
      <c r="J316" s="410"/>
      <c r="K316" s="410"/>
      <c r="L316" s="410"/>
      <c r="M316" s="410"/>
      <c r="N316" s="410"/>
      <c r="O316" s="410"/>
      <c r="P316" s="410"/>
      <c r="Q316" s="410"/>
    </row>
    <row r="317" spans="1:17" x14ac:dyDescent="0.25">
      <c r="A317" s="410"/>
      <c r="B317" s="410"/>
      <c r="C317" s="410"/>
      <c r="D317" s="410"/>
      <c r="E317" s="410"/>
      <c r="F317" s="410"/>
      <c r="G317" s="410"/>
      <c r="H317" s="410"/>
      <c r="I317" s="410"/>
      <c r="J317" s="410"/>
      <c r="K317" s="410"/>
      <c r="L317" s="410"/>
      <c r="M317" s="410"/>
      <c r="N317" s="410"/>
      <c r="O317" s="410"/>
      <c r="P317" s="410"/>
      <c r="Q317" s="410"/>
    </row>
    <row r="325" spans="1:17" x14ac:dyDescent="0.25">
      <c r="A325" s="410"/>
      <c r="B325" s="410"/>
      <c r="C325" s="410"/>
      <c r="D325" s="410"/>
      <c r="E325" s="410"/>
      <c r="F325" s="410"/>
      <c r="G325" s="410"/>
      <c r="H325" s="410"/>
      <c r="I325" s="410"/>
      <c r="J325" s="410"/>
      <c r="K325" s="410"/>
      <c r="L325" s="410"/>
      <c r="M325" s="410"/>
      <c r="N325" s="410"/>
      <c r="O325" s="410"/>
      <c r="P325" s="410"/>
      <c r="Q325" s="410"/>
    </row>
    <row r="346" spans="1:17" x14ac:dyDescent="0.25">
      <c r="A346" s="410"/>
      <c r="B346" s="410"/>
      <c r="C346" s="410"/>
      <c r="D346" s="410"/>
      <c r="E346" s="410"/>
      <c r="F346" s="410"/>
      <c r="G346" s="410"/>
      <c r="H346" s="410"/>
      <c r="I346" s="410"/>
      <c r="J346" s="410"/>
      <c r="K346" s="410"/>
      <c r="L346" s="410"/>
      <c r="M346" s="410"/>
      <c r="N346" s="410"/>
      <c r="O346" s="410"/>
      <c r="P346" s="410"/>
      <c r="Q346" s="410"/>
    </row>
    <row r="356" spans="1:17" x14ac:dyDescent="0.25">
      <c r="A356" s="410"/>
      <c r="B356" s="410"/>
      <c r="C356" s="410"/>
      <c r="D356" s="410"/>
      <c r="E356" s="410"/>
      <c r="F356" s="410"/>
      <c r="G356" s="410"/>
      <c r="H356" s="410"/>
      <c r="I356" s="410"/>
      <c r="J356" s="410"/>
      <c r="K356" s="410"/>
      <c r="L356" s="410"/>
      <c r="M356" s="410"/>
      <c r="N356" s="410"/>
      <c r="O356" s="410"/>
      <c r="P356" s="410"/>
      <c r="Q356" s="410"/>
    </row>
    <row r="358" spans="1:17" x14ac:dyDescent="0.25">
      <c r="A358" s="410"/>
      <c r="B358" s="410"/>
      <c r="C358" s="410"/>
      <c r="D358" s="410"/>
      <c r="E358" s="410"/>
      <c r="F358" s="410"/>
      <c r="G358" s="410"/>
      <c r="H358" s="410"/>
      <c r="I358" s="410"/>
      <c r="J358" s="410"/>
      <c r="K358" s="410"/>
      <c r="L358" s="410"/>
      <c r="M358" s="410"/>
      <c r="N358" s="410"/>
      <c r="O358" s="410"/>
      <c r="P358" s="410"/>
      <c r="Q358" s="410"/>
    </row>
    <row r="359" spans="1:17" x14ac:dyDescent="0.25">
      <c r="A359" s="410"/>
      <c r="B359" s="410"/>
      <c r="C359" s="410"/>
      <c r="D359" s="410"/>
      <c r="E359" s="410"/>
      <c r="F359" s="410"/>
      <c r="G359" s="410"/>
      <c r="H359" s="410"/>
      <c r="I359" s="410"/>
      <c r="J359" s="410"/>
      <c r="K359" s="410"/>
      <c r="L359" s="410"/>
      <c r="M359" s="410"/>
      <c r="N359" s="410"/>
      <c r="O359" s="410"/>
      <c r="P359" s="410"/>
      <c r="Q359" s="410"/>
    </row>
    <row r="360" spans="1:17" x14ac:dyDescent="0.25">
      <c r="A360" s="410"/>
      <c r="B360" s="410"/>
      <c r="C360" s="410"/>
      <c r="D360" s="410"/>
      <c r="E360" s="410"/>
      <c r="F360" s="410"/>
      <c r="G360" s="410"/>
      <c r="H360" s="410"/>
      <c r="I360" s="410"/>
      <c r="J360" s="410"/>
      <c r="K360" s="410"/>
      <c r="L360" s="410"/>
      <c r="M360" s="410"/>
      <c r="N360" s="410"/>
      <c r="O360" s="410"/>
      <c r="P360" s="410"/>
      <c r="Q360" s="410"/>
    </row>
    <row r="361" spans="1:17" x14ac:dyDescent="0.25">
      <c r="A361" s="410"/>
      <c r="B361" s="410"/>
      <c r="C361" s="410"/>
      <c r="D361" s="410"/>
      <c r="E361" s="410"/>
      <c r="F361" s="410"/>
      <c r="G361" s="410"/>
      <c r="H361" s="410"/>
      <c r="I361" s="410"/>
      <c r="J361" s="410"/>
      <c r="K361" s="410"/>
      <c r="L361" s="410"/>
      <c r="M361" s="410"/>
      <c r="N361" s="410"/>
      <c r="O361" s="410"/>
      <c r="P361" s="410"/>
      <c r="Q361" s="410"/>
    </row>
    <row r="362" spans="1:17" x14ac:dyDescent="0.25">
      <c r="A362" s="410"/>
      <c r="B362" s="410"/>
      <c r="C362" s="410"/>
      <c r="D362" s="410"/>
      <c r="E362" s="410"/>
      <c r="F362" s="410"/>
      <c r="G362" s="410"/>
      <c r="H362" s="410"/>
      <c r="I362" s="410"/>
      <c r="J362" s="410"/>
      <c r="K362" s="410"/>
      <c r="L362" s="410"/>
      <c r="M362" s="410"/>
      <c r="N362" s="410"/>
      <c r="O362" s="410"/>
      <c r="P362" s="410"/>
      <c r="Q362" s="410"/>
    </row>
    <row r="363" spans="1:17" x14ac:dyDescent="0.25">
      <c r="A363" s="410"/>
      <c r="B363" s="410"/>
      <c r="C363" s="410"/>
      <c r="D363" s="410"/>
      <c r="E363" s="410"/>
      <c r="F363" s="410"/>
      <c r="G363" s="410"/>
      <c r="H363" s="410"/>
      <c r="I363" s="410"/>
      <c r="J363" s="410"/>
      <c r="K363" s="410"/>
      <c r="L363" s="410"/>
      <c r="M363" s="410"/>
      <c r="N363" s="410"/>
      <c r="O363" s="410"/>
      <c r="P363" s="410"/>
      <c r="Q363" s="410"/>
    </row>
    <row r="364" spans="1:17" x14ac:dyDescent="0.25">
      <c r="A364" s="410"/>
      <c r="B364" s="410"/>
      <c r="C364" s="410"/>
      <c r="D364" s="410"/>
      <c r="E364" s="410"/>
      <c r="F364" s="410"/>
      <c r="G364" s="410"/>
      <c r="H364" s="410"/>
      <c r="I364" s="410"/>
      <c r="J364" s="410"/>
      <c r="K364" s="410"/>
      <c r="L364" s="410"/>
      <c r="M364" s="410"/>
      <c r="N364" s="410"/>
      <c r="O364" s="410"/>
      <c r="P364" s="410"/>
      <c r="Q364" s="410"/>
    </row>
    <row r="366" spans="1:17" ht="15.6" x14ac:dyDescent="0.3">
      <c r="A366" s="352"/>
      <c r="K366" s="363"/>
    </row>
    <row r="367" spans="1:17" x14ac:dyDescent="0.25">
      <c r="A367" s="352"/>
    </row>
    <row r="368" spans="1:17" x14ac:dyDescent="0.25">
      <c r="A368" s="352"/>
    </row>
    <row r="369" spans="1:17" x14ac:dyDescent="0.25">
      <c r="A369" s="410"/>
      <c r="B369" s="410"/>
      <c r="C369" s="410"/>
      <c r="D369" s="410"/>
      <c r="E369" s="410"/>
      <c r="F369" s="410"/>
      <c r="G369" s="410"/>
      <c r="H369" s="410"/>
      <c r="I369" s="410"/>
      <c r="J369" s="410"/>
      <c r="K369" s="410"/>
      <c r="L369" s="410"/>
      <c r="M369" s="410"/>
      <c r="N369" s="410"/>
      <c r="O369" s="410"/>
      <c r="P369" s="410"/>
      <c r="Q369" s="410"/>
    </row>
    <row r="376" spans="1:17" x14ac:dyDescent="0.25">
      <c r="A376" s="410"/>
      <c r="B376" s="410"/>
      <c r="C376" s="410"/>
      <c r="D376" s="410"/>
      <c r="E376" s="410"/>
      <c r="F376" s="410"/>
      <c r="G376" s="410"/>
      <c r="H376" s="410"/>
      <c r="I376" s="410"/>
      <c r="J376" s="410"/>
      <c r="K376" s="410"/>
      <c r="L376" s="410"/>
      <c r="M376" s="410"/>
      <c r="N376" s="410"/>
      <c r="O376" s="410"/>
      <c r="P376" s="410"/>
      <c r="Q376" s="410"/>
    </row>
    <row r="380" spans="1:17" x14ac:dyDescent="0.25">
      <c r="A380" s="410"/>
      <c r="B380" s="410"/>
      <c r="C380" s="410"/>
      <c r="D380" s="410"/>
      <c r="E380" s="410"/>
      <c r="F380" s="410"/>
      <c r="G380" s="410"/>
      <c r="H380" s="410"/>
      <c r="I380" s="410"/>
      <c r="J380" s="410"/>
      <c r="K380" s="410"/>
      <c r="L380" s="410"/>
      <c r="M380" s="410"/>
      <c r="N380" s="410"/>
      <c r="O380" s="410"/>
      <c r="P380" s="410"/>
      <c r="Q380" s="410"/>
    </row>
    <row r="381" spans="1:17" x14ac:dyDescent="0.25">
      <c r="A381" s="410"/>
      <c r="B381" s="410"/>
      <c r="C381" s="410"/>
      <c r="D381" s="410"/>
      <c r="E381" s="410"/>
      <c r="F381" s="410"/>
      <c r="G381" s="410"/>
      <c r="H381" s="410"/>
      <c r="I381" s="410"/>
      <c r="J381" s="410"/>
      <c r="K381" s="410"/>
      <c r="L381" s="410"/>
      <c r="M381" s="410"/>
      <c r="N381" s="410"/>
      <c r="O381" s="410"/>
      <c r="P381" s="410"/>
      <c r="Q381" s="410"/>
    </row>
    <row r="384" spans="1:17" x14ac:dyDescent="0.25">
      <c r="A384" s="410"/>
      <c r="B384" s="410"/>
      <c r="C384" s="410"/>
      <c r="D384" s="410"/>
      <c r="E384" s="410"/>
      <c r="F384" s="410"/>
      <c r="G384" s="410"/>
      <c r="H384" s="410"/>
      <c r="I384" s="410"/>
      <c r="J384" s="410"/>
      <c r="K384" s="410"/>
      <c r="L384" s="410"/>
      <c r="M384" s="410"/>
      <c r="N384" s="410"/>
      <c r="O384" s="410"/>
      <c r="P384" s="410"/>
      <c r="Q384" s="410"/>
    </row>
    <row r="385" spans="1:17" x14ac:dyDescent="0.25">
      <c r="A385" s="410"/>
      <c r="B385" s="410"/>
      <c r="C385" s="410"/>
      <c r="D385" s="410"/>
      <c r="E385" s="410"/>
      <c r="F385" s="410"/>
      <c r="G385" s="410"/>
      <c r="H385" s="410"/>
      <c r="I385" s="410"/>
      <c r="J385" s="410"/>
      <c r="K385" s="410"/>
      <c r="L385" s="410"/>
      <c r="M385" s="410"/>
      <c r="N385" s="410"/>
      <c r="O385" s="410"/>
      <c r="P385" s="410"/>
      <c r="Q385" s="410"/>
    </row>
    <row r="386" spans="1:17" x14ac:dyDescent="0.25">
      <c r="A386" s="410"/>
      <c r="B386" s="410"/>
      <c r="C386" s="410"/>
      <c r="D386" s="410"/>
      <c r="E386" s="410"/>
      <c r="F386" s="410"/>
      <c r="G386" s="410"/>
      <c r="H386" s="410"/>
      <c r="I386" s="410"/>
      <c r="J386" s="410"/>
      <c r="K386" s="410"/>
      <c r="L386" s="410"/>
      <c r="M386" s="410"/>
      <c r="N386" s="410"/>
      <c r="O386" s="410"/>
      <c r="P386" s="410"/>
      <c r="Q386" s="410"/>
    </row>
    <row r="387" spans="1:17" x14ac:dyDescent="0.25">
      <c r="A387" s="412"/>
      <c r="B387" s="411"/>
      <c r="C387" s="411"/>
      <c r="D387" s="411"/>
      <c r="E387" s="411"/>
      <c r="F387" s="411"/>
      <c r="G387" s="413"/>
      <c r="H387" s="411"/>
      <c r="I387" s="411"/>
      <c r="J387" s="411"/>
      <c r="K387" s="411"/>
      <c r="L387" s="411"/>
      <c r="M387" s="411"/>
      <c r="N387" s="381"/>
      <c r="O387" s="381"/>
      <c r="P387" s="381"/>
      <c r="Q387" s="381"/>
    </row>
    <row r="388" spans="1:17" x14ac:dyDescent="0.25">
      <c r="A388" s="410"/>
      <c r="B388" s="410"/>
      <c r="C388" s="410"/>
      <c r="D388" s="410"/>
      <c r="E388" s="410"/>
      <c r="F388" s="410"/>
      <c r="G388" s="410"/>
      <c r="H388" s="410"/>
      <c r="I388" s="410"/>
      <c r="J388" s="410"/>
      <c r="K388" s="410"/>
      <c r="L388" s="410"/>
      <c r="M388" s="410"/>
      <c r="N388" s="410"/>
      <c r="O388" s="410"/>
      <c r="P388" s="410"/>
      <c r="Q388" s="410"/>
    </row>
    <row r="390" spans="1:17" x14ac:dyDescent="0.25">
      <c r="A390" s="412"/>
      <c r="B390" s="411"/>
      <c r="C390" s="411"/>
      <c r="D390" s="411"/>
      <c r="E390" s="411"/>
      <c r="F390" s="411"/>
      <c r="G390" s="413"/>
      <c r="H390" s="411"/>
      <c r="I390" s="411"/>
      <c r="J390" s="411"/>
      <c r="K390" s="411"/>
      <c r="L390" s="411"/>
      <c r="M390" s="411"/>
      <c r="N390" s="381"/>
      <c r="O390" s="381"/>
      <c r="P390" s="381"/>
      <c r="Q390" s="381"/>
    </row>
    <row r="400" spans="1:17" x14ac:dyDescent="0.25">
      <c r="A400" s="410"/>
      <c r="B400" s="410"/>
      <c r="C400" s="410"/>
      <c r="D400" s="410"/>
      <c r="E400" s="410"/>
      <c r="F400" s="410"/>
      <c r="G400" s="410"/>
      <c r="H400" s="410"/>
      <c r="I400" s="410"/>
      <c r="J400" s="410"/>
      <c r="K400" s="410"/>
      <c r="L400" s="410"/>
      <c r="M400" s="410"/>
      <c r="N400" s="410"/>
      <c r="O400" s="410"/>
      <c r="P400" s="410"/>
      <c r="Q400" s="410"/>
    </row>
    <row r="410" spans="1:17" x14ac:dyDescent="0.25">
      <c r="A410" s="410"/>
      <c r="B410" s="410"/>
      <c r="C410" s="410"/>
      <c r="D410" s="410"/>
      <c r="E410" s="410"/>
      <c r="F410" s="410"/>
      <c r="G410" s="410"/>
      <c r="H410" s="410"/>
      <c r="I410" s="410"/>
      <c r="J410" s="410"/>
      <c r="K410" s="410"/>
      <c r="L410" s="410"/>
      <c r="M410" s="410"/>
      <c r="N410" s="410"/>
      <c r="O410" s="410"/>
      <c r="P410" s="410"/>
      <c r="Q410" s="410"/>
    </row>
    <row r="420" spans="1:17" x14ac:dyDescent="0.25">
      <c r="A420" s="352"/>
      <c r="G420" s="352"/>
    </row>
    <row r="421" spans="1:17" x14ac:dyDescent="0.25">
      <c r="A421" s="352"/>
      <c r="G421" s="352"/>
    </row>
    <row r="422" spans="1:17" x14ac:dyDescent="0.25">
      <c r="A422" s="352"/>
      <c r="G422" s="352"/>
    </row>
    <row r="423" spans="1:17" x14ac:dyDescent="0.25">
      <c r="A423" s="352"/>
      <c r="G423" s="352"/>
    </row>
    <row r="424" spans="1:17" x14ac:dyDescent="0.25">
      <c r="A424" s="352"/>
      <c r="G424" s="352"/>
    </row>
    <row r="425" spans="1:17" x14ac:dyDescent="0.25">
      <c r="A425" s="352"/>
      <c r="G425" s="352"/>
    </row>
    <row r="426" spans="1:17" x14ac:dyDescent="0.25">
      <c r="A426" s="352"/>
      <c r="G426" s="352"/>
    </row>
    <row r="427" spans="1:17" x14ac:dyDescent="0.25">
      <c r="A427" s="352"/>
      <c r="G427" s="352"/>
    </row>
    <row r="429" spans="1:17" x14ac:dyDescent="0.25">
      <c r="A429" s="410"/>
      <c r="B429" s="410"/>
      <c r="C429" s="410"/>
      <c r="D429" s="410"/>
      <c r="E429" s="410"/>
      <c r="F429" s="410"/>
      <c r="G429" s="410"/>
      <c r="H429" s="410"/>
      <c r="I429" s="410"/>
      <c r="J429" s="410"/>
      <c r="K429" s="410"/>
      <c r="L429" s="410"/>
      <c r="M429" s="410"/>
      <c r="N429" s="410"/>
      <c r="O429" s="410"/>
      <c r="P429" s="410"/>
      <c r="Q429" s="410"/>
    </row>
    <row r="430" spans="1:17" x14ac:dyDescent="0.25">
      <c r="A430" s="410"/>
      <c r="B430" s="410"/>
      <c r="C430" s="410"/>
      <c r="D430" s="410"/>
      <c r="E430" s="410"/>
      <c r="F430" s="410"/>
      <c r="G430" s="410"/>
      <c r="H430" s="410"/>
      <c r="I430" s="410"/>
      <c r="J430" s="410"/>
      <c r="K430" s="410"/>
      <c r="L430" s="410"/>
      <c r="M430" s="410"/>
      <c r="N430" s="410"/>
      <c r="O430" s="410"/>
      <c r="P430" s="410"/>
      <c r="Q430" s="410"/>
    </row>
    <row r="431" spans="1:17" x14ac:dyDescent="0.25">
      <c r="A431" s="410"/>
      <c r="B431" s="410"/>
      <c r="C431" s="410"/>
      <c r="D431" s="410"/>
      <c r="E431" s="410"/>
      <c r="F431" s="410"/>
      <c r="G431" s="410"/>
      <c r="H431" s="410"/>
      <c r="I431" s="410"/>
      <c r="J431" s="410"/>
      <c r="K431" s="410"/>
      <c r="L431" s="410"/>
      <c r="M431" s="410"/>
      <c r="N431" s="410"/>
      <c r="O431" s="410"/>
      <c r="P431" s="410"/>
      <c r="Q431" s="410"/>
    </row>
    <row r="432" spans="1:17" x14ac:dyDescent="0.25">
      <c r="A432" s="410"/>
      <c r="B432" s="410"/>
      <c r="C432" s="410"/>
      <c r="D432" s="410"/>
      <c r="E432" s="410"/>
      <c r="F432" s="410"/>
      <c r="G432" s="410"/>
      <c r="H432" s="410"/>
      <c r="I432" s="410"/>
      <c r="J432" s="410"/>
      <c r="K432" s="410"/>
      <c r="L432" s="410"/>
      <c r="M432" s="410"/>
      <c r="N432" s="410"/>
      <c r="O432" s="410"/>
      <c r="P432" s="410"/>
      <c r="Q432" s="410"/>
    </row>
    <row r="433" spans="1:17" x14ac:dyDescent="0.25">
      <c r="A433" s="410"/>
      <c r="B433" s="410"/>
      <c r="C433" s="410"/>
      <c r="D433" s="410"/>
      <c r="E433" s="410"/>
      <c r="F433" s="410"/>
      <c r="G433" s="410"/>
      <c r="H433" s="410"/>
      <c r="I433" s="410"/>
      <c r="J433" s="410"/>
      <c r="K433" s="410"/>
      <c r="L433" s="410"/>
      <c r="M433" s="410"/>
      <c r="N433" s="410"/>
      <c r="O433" s="410"/>
      <c r="P433" s="410"/>
      <c r="Q433" s="410"/>
    </row>
    <row r="434" spans="1:17" x14ac:dyDescent="0.25">
      <c r="A434" s="410"/>
      <c r="B434" s="410"/>
      <c r="C434" s="410"/>
      <c r="D434" s="410"/>
      <c r="E434" s="410"/>
      <c r="F434" s="410"/>
      <c r="G434" s="410"/>
      <c r="H434" s="410"/>
      <c r="I434" s="410"/>
      <c r="J434" s="410"/>
      <c r="K434" s="410"/>
      <c r="L434" s="410"/>
      <c r="M434" s="410"/>
      <c r="N434" s="410"/>
      <c r="O434" s="410"/>
      <c r="P434" s="410"/>
      <c r="Q434" s="410"/>
    </row>
    <row r="435" spans="1:17" x14ac:dyDescent="0.25">
      <c r="A435" s="410"/>
      <c r="B435" s="410"/>
      <c r="C435" s="410"/>
      <c r="D435" s="410"/>
      <c r="E435" s="410"/>
      <c r="F435" s="410"/>
      <c r="G435" s="410"/>
      <c r="H435" s="410"/>
      <c r="I435" s="410"/>
      <c r="J435" s="410"/>
      <c r="K435" s="410"/>
      <c r="L435" s="410"/>
      <c r="M435" s="410"/>
      <c r="N435" s="410"/>
      <c r="O435" s="410"/>
      <c r="P435" s="410"/>
      <c r="Q435" s="410"/>
    </row>
    <row r="436" spans="1:17" x14ac:dyDescent="0.25">
      <c r="A436" s="410"/>
      <c r="B436" s="410"/>
      <c r="C436" s="410"/>
      <c r="D436" s="410"/>
      <c r="E436" s="410"/>
      <c r="F436" s="410"/>
      <c r="G436" s="410"/>
      <c r="H436" s="410"/>
      <c r="I436" s="410"/>
      <c r="J436" s="410"/>
      <c r="K436" s="410"/>
      <c r="L436" s="410"/>
      <c r="M436" s="410"/>
      <c r="N436" s="410"/>
      <c r="O436" s="410"/>
      <c r="P436" s="410"/>
      <c r="Q436" s="410"/>
    </row>
    <row r="437" spans="1:17" x14ac:dyDescent="0.25">
      <c r="A437" s="410"/>
      <c r="B437" s="410"/>
      <c r="C437" s="410"/>
      <c r="D437" s="410"/>
      <c r="E437" s="410"/>
      <c r="F437" s="410"/>
      <c r="G437" s="410"/>
      <c r="H437" s="410"/>
      <c r="I437" s="410"/>
      <c r="J437" s="410"/>
      <c r="K437" s="410"/>
      <c r="L437" s="410"/>
      <c r="M437" s="410"/>
      <c r="N437" s="410"/>
      <c r="O437" s="410"/>
      <c r="P437" s="410"/>
      <c r="Q437" s="410"/>
    </row>
    <row r="438" spans="1:17" x14ac:dyDescent="0.25">
      <c r="A438" s="410"/>
      <c r="B438" s="410"/>
      <c r="C438" s="410"/>
      <c r="D438" s="410"/>
      <c r="E438" s="410"/>
      <c r="F438" s="410"/>
      <c r="G438" s="410"/>
      <c r="H438" s="410"/>
      <c r="I438" s="410"/>
      <c r="J438" s="410"/>
      <c r="K438" s="410"/>
      <c r="L438" s="410"/>
      <c r="M438" s="410"/>
      <c r="N438" s="410"/>
      <c r="O438" s="410"/>
      <c r="P438" s="410"/>
      <c r="Q438" s="410"/>
    </row>
    <row r="439" spans="1:17" x14ac:dyDescent="0.25">
      <c r="A439" s="410"/>
      <c r="B439" s="410"/>
      <c r="C439" s="410"/>
      <c r="D439" s="410"/>
      <c r="E439" s="410"/>
      <c r="F439" s="410"/>
      <c r="G439" s="410"/>
      <c r="H439" s="410"/>
      <c r="I439" s="410"/>
      <c r="J439" s="410"/>
      <c r="K439" s="410"/>
      <c r="L439" s="410"/>
      <c r="M439" s="410"/>
      <c r="N439" s="410"/>
      <c r="O439" s="410"/>
      <c r="P439" s="410"/>
      <c r="Q439" s="410"/>
    </row>
    <row r="440" spans="1:17" x14ac:dyDescent="0.25">
      <c r="A440" s="410"/>
      <c r="B440" s="410"/>
      <c r="C440" s="410"/>
      <c r="D440" s="410"/>
      <c r="E440" s="410"/>
      <c r="F440" s="410"/>
      <c r="G440" s="410"/>
      <c r="H440" s="410"/>
      <c r="I440" s="410"/>
      <c r="J440" s="410"/>
      <c r="K440" s="410"/>
      <c r="L440" s="410"/>
      <c r="M440" s="410"/>
      <c r="N440" s="410"/>
      <c r="O440" s="410"/>
      <c r="P440" s="410"/>
      <c r="Q440" s="410"/>
    </row>
    <row r="441" spans="1:17" x14ac:dyDescent="0.25">
      <c r="A441" s="410"/>
      <c r="B441" s="410"/>
      <c r="C441" s="410"/>
      <c r="D441" s="410"/>
      <c r="E441" s="410"/>
      <c r="F441" s="410"/>
      <c r="G441" s="410"/>
      <c r="H441" s="410"/>
      <c r="I441" s="410"/>
      <c r="J441" s="410"/>
      <c r="K441" s="410"/>
      <c r="L441" s="410"/>
      <c r="M441" s="410"/>
      <c r="N441" s="410"/>
      <c r="O441" s="410"/>
      <c r="P441" s="410"/>
      <c r="Q441" s="410"/>
    </row>
    <row r="442" spans="1:17" x14ac:dyDescent="0.25">
      <c r="A442" s="410"/>
      <c r="B442" s="410"/>
      <c r="C442" s="410"/>
      <c r="D442" s="410"/>
      <c r="E442" s="410"/>
      <c r="F442" s="410"/>
      <c r="G442" s="410"/>
      <c r="H442" s="410"/>
      <c r="I442" s="410"/>
      <c r="J442" s="410"/>
      <c r="K442" s="410"/>
      <c r="L442" s="410"/>
      <c r="M442" s="410"/>
      <c r="N442" s="410"/>
      <c r="O442" s="410"/>
      <c r="P442" s="410"/>
      <c r="Q442" s="410"/>
    </row>
    <row r="443" spans="1:17" x14ac:dyDescent="0.25">
      <c r="A443" s="410"/>
      <c r="B443" s="410"/>
      <c r="C443" s="410"/>
      <c r="D443" s="410"/>
      <c r="E443" s="410"/>
      <c r="F443" s="410"/>
      <c r="G443" s="410"/>
      <c r="H443" s="410"/>
      <c r="I443" s="410"/>
      <c r="J443" s="410"/>
      <c r="K443" s="410"/>
      <c r="L443" s="410"/>
      <c r="M443" s="410"/>
      <c r="N443" s="410"/>
      <c r="O443" s="410"/>
      <c r="P443" s="410"/>
      <c r="Q443" s="410"/>
    </row>
    <row r="444" spans="1:17" x14ac:dyDescent="0.25">
      <c r="A444" s="410"/>
      <c r="B444" s="410"/>
      <c r="C444" s="410"/>
      <c r="D444" s="410"/>
      <c r="E444" s="410"/>
      <c r="F444" s="410"/>
      <c r="G444" s="410"/>
      <c r="H444" s="410"/>
      <c r="I444" s="410"/>
      <c r="J444" s="410"/>
      <c r="K444" s="410"/>
      <c r="L444" s="410"/>
      <c r="M444" s="410"/>
      <c r="N444" s="410"/>
      <c r="O444" s="410"/>
      <c r="P444" s="410"/>
      <c r="Q444" s="410"/>
    </row>
    <row r="450" spans="1:17" x14ac:dyDescent="0.25">
      <c r="A450" s="410"/>
      <c r="B450" s="410"/>
      <c r="C450" s="410"/>
      <c r="D450" s="410"/>
      <c r="E450" s="410"/>
      <c r="F450" s="410"/>
      <c r="G450" s="410"/>
      <c r="H450" s="410"/>
      <c r="I450" s="410"/>
      <c r="J450" s="410"/>
      <c r="K450" s="410"/>
      <c r="L450" s="410"/>
      <c r="M450" s="410"/>
      <c r="N450" s="410"/>
      <c r="O450" s="410"/>
      <c r="P450" s="410"/>
      <c r="Q450" s="410"/>
    </row>
    <row r="453" spans="1:17" x14ac:dyDescent="0.25">
      <c r="A453" s="410"/>
      <c r="B453" s="410"/>
      <c r="C453" s="410"/>
      <c r="D453" s="410"/>
      <c r="E453" s="410"/>
      <c r="F453" s="410"/>
      <c r="G453" s="410"/>
      <c r="H453" s="410"/>
      <c r="I453" s="410"/>
      <c r="J453" s="410"/>
      <c r="K453" s="410"/>
      <c r="L453" s="410"/>
      <c r="M453" s="410"/>
      <c r="N453" s="410"/>
      <c r="O453" s="410"/>
      <c r="P453" s="410"/>
      <c r="Q453" s="410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73EB-A1DF-4666-B30A-24E69E693FF8}">
  <dimension ref="A1:AB534"/>
  <sheetViews>
    <sheetView topLeftCell="A19" workbookViewId="0">
      <selection activeCell="I15" sqref="I15"/>
    </sheetView>
  </sheetViews>
  <sheetFormatPr baseColWidth="10" defaultColWidth="11.44140625" defaultRowHeight="13.2" x14ac:dyDescent="0.25"/>
  <cols>
    <col min="1" max="1" width="4.6640625" style="351" customWidth="1"/>
    <col min="2" max="3" width="4.6640625" style="352" customWidth="1"/>
    <col min="4" max="4" width="3" style="352" customWidth="1"/>
    <col min="5" max="5" width="8.6640625" style="352" customWidth="1"/>
    <col min="6" max="6" width="3.6640625" style="352" customWidth="1"/>
    <col min="7" max="7" width="6.6640625" style="379" customWidth="1"/>
    <col min="8" max="8" width="5.33203125" style="352" customWidth="1"/>
    <col min="9" max="9" width="6.44140625" style="352" customWidth="1"/>
    <col min="10" max="10" width="4.6640625" style="352" customWidth="1"/>
    <col min="11" max="11" width="5.6640625" style="352" customWidth="1"/>
    <col min="12" max="12" width="6.44140625" style="352" customWidth="1"/>
    <col min="13" max="13" width="4.44140625" style="352" customWidth="1"/>
    <col min="14" max="14" width="4.6640625" style="352" customWidth="1"/>
    <col min="15" max="15" width="2.6640625" style="352" customWidth="1"/>
    <col min="16" max="16" width="6.6640625" style="352" customWidth="1"/>
    <col min="17" max="17" width="7.6640625" style="352" customWidth="1"/>
    <col min="18" max="18" width="5.109375" style="352" customWidth="1"/>
    <col min="19" max="19" width="4.6640625" style="352" customWidth="1"/>
    <col min="20" max="16384" width="11.44140625" style="352"/>
  </cols>
  <sheetData>
    <row r="1" spans="1:19" x14ac:dyDescent="0.25">
      <c r="B1" s="351"/>
      <c r="C1" s="351"/>
      <c r="D1" s="351"/>
      <c r="E1" s="351" t="s">
        <v>597</v>
      </c>
      <c r="F1" s="351"/>
      <c r="G1" s="351" t="s">
        <v>598</v>
      </c>
      <c r="H1" s="351"/>
      <c r="I1" s="351"/>
      <c r="J1" s="351" t="s">
        <v>599</v>
      </c>
      <c r="K1" s="351"/>
      <c r="L1" s="354"/>
      <c r="N1" s="352" t="s">
        <v>600</v>
      </c>
    </row>
    <row r="2" spans="1:19" s="483" customFormat="1" ht="25.2" x14ac:dyDescent="0.45">
      <c r="A2" s="482"/>
      <c r="B2" s="482"/>
      <c r="C2" s="484"/>
      <c r="D2" s="485"/>
      <c r="E2" s="485"/>
      <c r="F2" s="484"/>
      <c r="G2" s="485"/>
      <c r="H2" s="486"/>
      <c r="I2" s="485"/>
      <c r="J2" s="485"/>
      <c r="K2" s="485"/>
      <c r="L2" s="486"/>
      <c r="M2" s="487"/>
      <c r="N2" s="488"/>
      <c r="O2" s="488"/>
      <c r="P2" s="488"/>
      <c r="Q2" s="489"/>
    </row>
    <row r="3" spans="1:19" s="356" customFormat="1" ht="30.75" customHeight="1" x14ac:dyDescent="0.6">
      <c r="A3" s="355"/>
      <c r="G3" s="357"/>
      <c r="I3" s="358" t="s">
        <v>735</v>
      </c>
      <c r="S3" s="359"/>
    </row>
    <row r="4" spans="1:19" s="483" customFormat="1" ht="25.2" x14ac:dyDescent="0.45">
      <c r="A4" s="482"/>
      <c r="G4" s="514"/>
      <c r="I4" s="515" t="s">
        <v>748</v>
      </c>
      <c r="S4" s="516"/>
    </row>
    <row r="5" spans="1:19" s="360" customFormat="1" ht="18.600000000000001" thickBot="1" x14ac:dyDescent="0.4">
      <c r="A5" s="360" t="s">
        <v>741</v>
      </c>
      <c r="G5" s="477"/>
      <c r="I5" s="478"/>
      <c r="S5" s="479"/>
    </row>
    <row r="6" spans="1:19" s="360" customFormat="1" ht="18.600000000000001" thickBot="1" x14ac:dyDescent="0.4">
      <c r="C6" s="472" t="s">
        <v>596</v>
      </c>
      <c r="G6" s="523"/>
      <c r="H6" s="481"/>
      <c r="I6" s="478"/>
      <c r="S6" s="479"/>
    </row>
    <row r="7" spans="1:19" s="360" customFormat="1" ht="18" x14ac:dyDescent="0.35">
      <c r="A7" s="360" t="s">
        <v>998</v>
      </c>
      <c r="G7" s="477"/>
      <c r="I7" s="478"/>
      <c r="S7" s="479"/>
    </row>
    <row r="8" spans="1:19" s="364" customFormat="1" ht="10.199999999999999" x14ac:dyDescent="0.2">
      <c r="G8" s="353"/>
      <c r="I8" s="410"/>
      <c r="S8" s="359"/>
    </row>
    <row r="9" spans="1:19" s="360" customFormat="1" ht="18" x14ac:dyDescent="0.35">
      <c r="A9" s="344" t="s">
        <v>595</v>
      </c>
      <c r="B9" s="480"/>
      <c r="C9" s="480"/>
      <c r="D9" s="480"/>
      <c r="E9" s="480"/>
      <c r="G9" s="477"/>
      <c r="I9" s="478"/>
      <c r="S9" s="479"/>
    </row>
    <row r="10" spans="1:19" s="364" customFormat="1" ht="10.199999999999999" x14ac:dyDescent="0.2">
      <c r="A10" s="517"/>
      <c r="B10" s="517"/>
      <c r="C10" s="517"/>
      <c r="D10" s="517"/>
      <c r="E10" s="517"/>
      <c r="G10" s="353"/>
      <c r="I10" s="410"/>
      <c r="S10" s="359"/>
    </row>
    <row r="11" spans="1:19" s="447" customFormat="1" ht="32.25" customHeight="1" x14ac:dyDescent="0.55000000000000004">
      <c r="A11" s="446" t="s">
        <v>1001</v>
      </c>
      <c r="F11" s="448"/>
      <c r="J11" s="497"/>
      <c r="K11" s="498" t="s">
        <v>615</v>
      </c>
      <c r="L11" s="538" t="str">
        <f>IF(VLOOKUP($A$11,Database!$1:$1048576,Database!GZ$1,FALSE)=0,"-",VLOOKUP($A$11,Database!$1:$1048576,Database!GZ$1,FALSE))</f>
        <v>-</v>
      </c>
    </row>
    <row r="12" spans="1:19" s="356" customFormat="1" ht="25.5" customHeight="1" x14ac:dyDescent="0.6">
      <c r="B12" s="361" t="s">
        <v>349</v>
      </c>
      <c r="C12" s="454" t="str">
        <f>VLOOKUP($A$11,Database!$1:$1048576,Database!GC$1,FALSE)</f>
        <v>12 N 11</v>
      </c>
      <c r="F12" s="360"/>
    </row>
    <row r="13" spans="1:19" s="362" customFormat="1" ht="16.2" thickBot="1" x14ac:dyDescent="0.35">
      <c r="A13" s="369" t="s">
        <v>353</v>
      </c>
      <c r="E13" s="454" t="str">
        <f>VLOOKUP($A$11,Database!$1:$1048576,Database!C$1,FALSE)</f>
        <v>Bermuda</v>
      </c>
      <c r="F13" s="455"/>
    </row>
    <row r="14" spans="1:19" s="362" customFormat="1" ht="16.2" thickBot="1" x14ac:dyDescent="0.35">
      <c r="A14" s="369" t="s">
        <v>590</v>
      </c>
      <c r="E14" s="592">
        <f>G31/0.3048</f>
        <v>69.717847769028864</v>
      </c>
      <c r="F14" s="594" t="s">
        <v>7</v>
      </c>
      <c r="G14" s="424">
        <f>VLOOKUP($A$11,Database!$1:$1048576,Database!AP$1,FALSE)</f>
        <v>21.25</v>
      </c>
      <c r="H14" s="394" t="s">
        <v>375</v>
      </c>
      <c r="I14" s="589">
        <f>VLOOKUP($A$11,Database!$1:$1048576,Database!H$1,FALSE)</f>
        <v>183</v>
      </c>
      <c r="J14" s="590" t="s">
        <v>838</v>
      </c>
      <c r="K14" s="582"/>
      <c r="L14" s="591"/>
      <c r="P14" s="592">
        <f>VLOOKUP($A$11,Database!$1:$1048576,Database!BC$1,FALSE)</f>
        <v>33.693999999999996</v>
      </c>
      <c r="Q14" s="593" t="s">
        <v>854</v>
      </c>
    </row>
    <row r="15" spans="1:19" s="362" customFormat="1" ht="16.2" thickBot="1" x14ac:dyDescent="0.35">
      <c r="A15" s="369" t="s">
        <v>558</v>
      </c>
      <c r="E15" s="454" t="str">
        <f>VLOOKUP($A$11,Database!$1:$1048576,Database!GS$1,FALSE)</f>
        <v>Meterbåt</v>
      </c>
      <c r="F15" s="455"/>
      <c r="I15" s="658">
        <f>VLOOKUP($A$11,Database!$1:$1048576,Database!J$1,FALSE)</f>
        <v>1.66</v>
      </c>
      <c r="J15" s="600" t="s">
        <v>999</v>
      </c>
      <c r="K15" s="582"/>
      <c r="L15" s="591"/>
      <c r="P15" s="602">
        <f>VLOOKUP($A$11,Database!$1:$1048576,Database!I$1,FALSE)</f>
        <v>1.665</v>
      </c>
      <c r="Q15" s="659" t="s">
        <v>23</v>
      </c>
    </row>
    <row r="16" spans="1:19" s="362" customFormat="1" ht="15.6" x14ac:dyDescent="0.3">
      <c r="A16" s="369" t="s">
        <v>361</v>
      </c>
      <c r="E16" s="454" t="str">
        <f>VLOOKUP($A$11,Database!$1:$1048576,Database!GT$1,FALSE)</f>
        <v>12 m R</v>
      </c>
      <c r="F16" s="455"/>
    </row>
    <row r="17" spans="1:28" s="362" customFormat="1" ht="15.6" x14ac:dyDescent="0.3">
      <c r="A17" s="369" t="s">
        <v>360</v>
      </c>
      <c r="E17" s="454" t="str">
        <f>VLOOKUP($A$11,Database!$1:$1048576,Database!GU$1,FALSE)</f>
        <v>Johan Anker</v>
      </c>
      <c r="F17" s="455"/>
    </row>
    <row r="18" spans="1:28" s="362" customFormat="1" ht="15.6" x14ac:dyDescent="0.3">
      <c r="A18" s="369" t="s">
        <v>358</v>
      </c>
      <c r="E18" s="454" t="str">
        <f>VLOOKUP($A$11,Database!$1:$1048576,Database!GV$1,FALSE)</f>
        <v>Anker &amp; Jensen, Vollen i Asker</v>
      </c>
      <c r="F18" s="455"/>
    </row>
    <row r="19" spans="1:28" s="362" customFormat="1" ht="15.6" x14ac:dyDescent="0.3">
      <c r="A19" s="369" t="s">
        <v>366</v>
      </c>
      <c r="E19" s="454">
        <f>VLOOKUP($A$11,Database!$1:$1048576,Database!GW$1,FALSE)</f>
        <v>1933</v>
      </c>
      <c r="F19" s="455"/>
    </row>
    <row r="20" spans="1:28" s="362" customFormat="1" ht="15.6" x14ac:dyDescent="0.3">
      <c r="A20" s="369" t="s">
        <v>422</v>
      </c>
      <c r="E20" s="454" t="str">
        <f>VLOOKUP($A$11,Database!$1:$1048576,Database!GY$1,FALSE)</f>
        <v>Hvit</v>
      </c>
      <c r="F20" s="455"/>
    </row>
    <row r="21" spans="1:28" s="362" customFormat="1" ht="15.6" x14ac:dyDescent="0.3">
      <c r="A21" s="369" t="s">
        <v>421</v>
      </c>
      <c r="E21" s="454" t="str">
        <f>VLOOKUP($A$11,Database!$1:$1048576,Database!GX$1,FALSE)</f>
        <v>Hvite</v>
      </c>
      <c r="F21" s="455"/>
    </row>
    <row r="22" spans="1:28" s="362" customFormat="1" ht="15.6" x14ac:dyDescent="0.3">
      <c r="A22" s="455" t="s">
        <v>2</v>
      </c>
      <c r="E22" s="457"/>
      <c r="F22" s="445"/>
      <c r="K22" s="456" t="s">
        <v>754</v>
      </c>
    </row>
    <row r="23" spans="1:28" s="362" customFormat="1" ht="15.6" x14ac:dyDescent="0.3">
      <c r="A23" s="454" t="str">
        <f>VLOOKUP($A$11,Database!$1:$1048576,Database!GD$1,FALSE)</f>
        <v>Eric Svenkerud</v>
      </c>
      <c r="K23" s="369" t="str">
        <f>IF(VLOOKUP($A$11,Database!$1:$1048576,Database!GL$1,FALSE)=0,"-",VLOOKUP($A$11,Database!$1:$1048576,Database!GL$1,FALSE))</f>
        <v>.-</v>
      </c>
      <c r="P23" s="361"/>
      <c r="Q23" s="369"/>
    </row>
    <row r="24" spans="1:28" s="362" customFormat="1" ht="15.6" x14ac:dyDescent="0.3">
      <c r="A24" s="369">
        <f>VLOOKUP($A$11,Database!$1:$1048576,Database!GG$1,FALSE)</f>
        <v>0</v>
      </c>
      <c r="K24" s="369" t="str">
        <f>IF(VLOOKUP($A$11,Database!$1:$1048576,Database!GO$1,FALSE)=0,"-",VLOOKUP($A$11,Database!$1:$1048576,Database!GO$1,FALSE))</f>
        <v>.-</v>
      </c>
      <c r="P24" s="361"/>
      <c r="Q24" s="369"/>
    </row>
    <row r="25" spans="1:28" s="362" customFormat="1" ht="15.6" x14ac:dyDescent="0.3">
      <c r="A25" s="454" t="str">
        <f>VLOOKUP($A$11,Database!$1:$1048576,Database!GH$1,FALSE)</f>
        <v>Oslo</v>
      </c>
      <c r="G25" s="370"/>
      <c r="I25" s="370"/>
      <c r="J25" s="507"/>
      <c r="K25" s="369" t="str">
        <f>IF(VLOOKUP($A$11,Database!$1:$1048576,Database!GP$1,FALSE)=0,"-",VLOOKUP($A$11,Database!$1:$1048576,Database!GP$1,FALSE))</f>
        <v>.-</v>
      </c>
    </row>
    <row r="26" spans="1:28" s="362" customFormat="1" ht="15.6" x14ac:dyDescent="0.3">
      <c r="A26" s="369" t="str">
        <f>VLOOKUP($A$11,Database!$1:$1048576,Database!GI$1,FALSE)</f>
        <v>Norge</v>
      </c>
      <c r="C26" s="369"/>
      <c r="D26" s="369"/>
      <c r="H26" s="508"/>
      <c r="I26" s="509"/>
      <c r="J26" s="361"/>
      <c r="K26" s="369" t="str">
        <f>IF(VLOOKUP($A$11,Database!$1:$1048576,Database!GQ$1,FALSE)=0,"-",VLOOKUP($A$11,Database!$1:$1048576,Database!GQ$1,FALSE))</f>
        <v>.-</v>
      </c>
      <c r="M26" s="369"/>
    </row>
    <row r="27" spans="1:28" s="362" customFormat="1" ht="15.6" x14ac:dyDescent="0.3">
      <c r="A27" s="352"/>
      <c r="B27" s="379" t="s">
        <v>350</v>
      </c>
      <c r="C27" s="351" t="str">
        <f>VLOOKUP($A$11,Database!$1:$1048576,Database!GE$1,FALSE)</f>
        <v>959 29 512</v>
      </c>
      <c r="D27" s="352"/>
      <c r="E27" s="352"/>
      <c r="K27" s="369" t="str">
        <f>IF(VLOOKUP($A$11,Database!$1:$1048576,Database!GM$1,FALSE)=0,"-",VLOOKUP($A$11,Database!$1:$1048576,Database!GM$1,FALSE))</f>
        <v>.-</v>
      </c>
      <c r="L27" s="457"/>
      <c r="P27" s="457"/>
      <c r="Q27" s="445"/>
    </row>
    <row r="28" spans="1:28" s="362" customFormat="1" ht="15.6" x14ac:dyDescent="0.3">
      <c r="A28" s="352"/>
      <c r="B28" s="379" t="s">
        <v>351</v>
      </c>
      <c r="C28" s="351" t="str">
        <f>VLOOKUP($A$11,Database!$1:$1048576,Database!GF$1,FALSE)</f>
        <v>ericsvenkerud@gmail.com</v>
      </c>
      <c r="D28" s="352"/>
      <c r="E28" s="352"/>
      <c r="K28" s="369" t="str">
        <f>IF(VLOOKUP($A$11,Database!$1:$1048576,Database!GN$1,FALSE)=0,"-",VLOOKUP($A$11,Database!$1:$1048576,Database!GN$1,FALSE))</f>
        <v>.-</v>
      </c>
      <c r="L28" s="457"/>
      <c r="P28" s="457"/>
      <c r="Q28" s="445"/>
    </row>
    <row r="29" spans="1:28" s="365" customFormat="1" ht="17.399999999999999" x14ac:dyDescent="0.3">
      <c r="A29" s="468"/>
      <c r="B29" s="467"/>
      <c r="C29" s="379" t="s">
        <v>419</v>
      </c>
      <c r="D29" s="351" t="str">
        <f>VLOOKUP($A$11,Database!$1:$1048576,Database!GJ$1,FALSE)</f>
        <v>KNS</v>
      </c>
      <c r="E29" s="352"/>
      <c r="H29" s="458"/>
      <c r="I29" s="459"/>
      <c r="J29" s="353"/>
      <c r="K29" s="402"/>
      <c r="L29" s="457"/>
      <c r="M29" s="460"/>
      <c r="N29" s="352"/>
      <c r="O29" s="352"/>
      <c r="P29" s="352"/>
      <c r="Q29" s="352"/>
      <c r="R29" s="352"/>
    </row>
    <row r="30" spans="1:28" s="450" customFormat="1" ht="17.399999999999999" x14ac:dyDescent="0.3">
      <c r="A30" s="382" t="s">
        <v>661</v>
      </c>
      <c r="G30" s="451"/>
      <c r="H30" s="452"/>
      <c r="K30" s="402"/>
      <c r="L30" s="457"/>
      <c r="M30" s="460"/>
      <c r="N30" s="352"/>
      <c r="O30" s="352"/>
      <c r="P30" s="352"/>
      <c r="Q30" s="352"/>
      <c r="R30" s="449"/>
      <c r="T30" s="453">
        <f>I1+1</f>
        <v>1</v>
      </c>
    </row>
    <row r="31" spans="1:28" s="425" customFormat="1" ht="15.6" x14ac:dyDescent="0.3">
      <c r="A31" s="369" t="s">
        <v>374</v>
      </c>
      <c r="B31" s="352"/>
      <c r="C31" s="352"/>
      <c r="D31" s="352"/>
      <c r="E31" s="352"/>
      <c r="F31" s="402" t="s">
        <v>354</v>
      </c>
      <c r="G31" s="424">
        <f>VLOOKUP($A$11,Database!$1:$1048576,Database!AP$1,FALSE)</f>
        <v>21.25</v>
      </c>
      <c r="H31" s="351" t="s">
        <v>375</v>
      </c>
      <c r="I31" s="450"/>
      <c r="J31" s="450"/>
      <c r="K31" s="402"/>
      <c r="L31" s="457"/>
      <c r="M31" s="460"/>
      <c r="N31" s="352"/>
      <c r="O31" s="352"/>
      <c r="P31" s="352"/>
      <c r="Q31" s="352"/>
      <c r="T31" s="352"/>
      <c r="U31" s="379" t="s">
        <v>376</v>
      </c>
      <c r="V31" s="426">
        <f>G32/G31</f>
        <v>0.6550588235294118</v>
      </c>
      <c r="W31" s="351" t="s">
        <v>377</v>
      </c>
      <c r="X31" s="352"/>
    </row>
    <row r="32" spans="1:28" s="425" customFormat="1" ht="15.6" x14ac:dyDescent="0.3">
      <c r="A32" s="369" t="s">
        <v>740</v>
      </c>
      <c r="B32" s="352"/>
      <c r="C32" s="352"/>
      <c r="D32" s="352"/>
      <c r="E32" s="352"/>
      <c r="F32" s="402" t="s">
        <v>354</v>
      </c>
      <c r="G32" s="428">
        <f>IF(VLOOKUP($A$11,Database!$1:$1048576,Database!AQ$1,FALSE)=0,"?",VLOOKUP($A$11,Database!$1:$1048576,Database!AQ$1,FALSE))</f>
        <v>13.92</v>
      </c>
      <c r="H32" s="351" t="s">
        <v>375</v>
      </c>
      <c r="I32" s="450"/>
      <c r="J32" s="450"/>
      <c r="K32" s="402"/>
      <c r="L32" s="457"/>
      <c r="M32" s="460"/>
      <c r="N32" s="352"/>
      <c r="O32" s="352"/>
      <c r="P32" s="352"/>
      <c r="Q32" s="352"/>
      <c r="T32" s="352"/>
      <c r="U32" s="379" t="s">
        <v>379</v>
      </c>
      <c r="V32" s="426">
        <f>G33/G31</f>
        <v>0.16847058823529412</v>
      </c>
      <c r="W32" s="351" t="s">
        <v>380</v>
      </c>
      <c r="X32" s="352"/>
      <c r="Y32" s="352"/>
      <c r="Z32" s="352"/>
      <c r="AA32" s="352"/>
      <c r="AB32" s="352"/>
    </row>
    <row r="33" spans="1:28" s="425" customFormat="1" ht="15.6" x14ac:dyDescent="0.3">
      <c r="A33" s="369" t="s">
        <v>378</v>
      </c>
      <c r="B33" s="352"/>
      <c r="C33" s="352"/>
      <c r="D33" s="352"/>
      <c r="E33" s="352"/>
      <c r="F33" s="402" t="s">
        <v>354</v>
      </c>
      <c r="G33" s="424">
        <f>VLOOKUP($A$11,Database!$1:$1048576,Database!AR$1,FALSE)</f>
        <v>3.58</v>
      </c>
      <c r="H33" s="351" t="s">
        <v>375</v>
      </c>
      <c r="I33" s="351" t="s">
        <v>743</v>
      </c>
      <c r="J33" s="450"/>
      <c r="K33" s="402"/>
      <c r="L33" s="457"/>
      <c r="M33" s="460"/>
      <c r="N33" s="352"/>
      <c r="O33" s="352"/>
      <c r="P33" s="352"/>
      <c r="Q33" s="352"/>
      <c r="T33" s="352"/>
      <c r="Y33" s="352"/>
      <c r="Z33" s="352"/>
      <c r="AA33" s="387"/>
      <c r="AB33" s="352"/>
    </row>
    <row r="34" spans="1:28" s="425" customFormat="1" ht="15.6" x14ac:dyDescent="0.3">
      <c r="A34" s="369" t="s">
        <v>630</v>
      </c>
      <c r="B34" s="352"/>
      <c r="C34" s="352"/>
      <c r="D34" s="352"/>
      <c r="E34" s="352"/>
      <c r="F34" s="402" t="s">
        <v>354</v>
      </c>
      <c r="G34" s="471" t="str">
        <f>IF(VLOOKUP($A$11,Database!$1:$1048576,Database!AN$1,FALSE)=0,"-",VLOOKUP($A$11,Database!$1:$1048576,Database!AN$1,FALSE))</f>
        <v>Meter</v>
      </c>
      <c r="H34" s="351"/>
      <c r="I34" s="394"/>
      <c r="J34" s="394" t="s">
        <v>946</v>
      </c>
      <c r="T34" s="352"/>
      <c r="W34" s="352"/>
      <c r="X34" s="379"/>
      <c r="Y34" s="411"/>
      <c r="Z34" s="352"/>
      <c r="AA34" s="352"/>
      <c r="AB34" s="352"/>
    </row>
    <row r="35" spans="1:28" s="425" customFormat="1" ht="15.6" x14ac:dyDescent="0.3">
      <c r="A35" s="369" t="s">
        <v>607</v>
      </c>
      <c r="B35" s="352"/>
      <c r="C35" s="352"/>
      <c r="D35" s="352"/>
      <c r="E35" s="352"/>
      <c r="F35" s="402" t="s">
        <v>354</v>
      </c>
      <c r="G35" s="424">
        <f>VLOOKUP($A$11,Database!$1:$1048576,Database!AS$1,FALSE)</f>
        <v>2.9</v>
      </c>
      <c r="H35" s="351" t="s">
        <v>608</v>
      </c>
      <c r="K35" s="490" t="s">
        <v>647</v>
      </c>
      <c r="L35" s="491"/>
      <c r="M35" s="491"/>
      <c r="N35" s="491"/>
      <c r="O35" s="491"/>
      <c r="P35" s="491"/>
      <c r="Q35" s="492"/>
      <c r="T35" s="352"/>
      <c r="U35" s="379" t="s">
        <v>381</v>
      </c>
      <c r="V35" s="427">
        <f>G35/G32</f>
        <v>0.20833333333333331</v>
      </c>
      <c r="W35" s="351" t="s">
        <v>382</v>
      </c>
      <c r="Y35" s="352"/>
      <c r="AA35" s="424"/>
      <c r="AB35" s="352"/>
    </row>
    <row r="36" spans="1:28" s="425" customFormat="1" ht="15.6" x14ac:dyDescent="0.3">
      <c r="A36" s="369" t="s">
        <v>601</v>
      </c>
      <c r="B36" s="352"/>
      <c r="C36" s="352"/>
      <c r="D36" s="352"/>
      <c r="E36" s="352"/>
      <c r="F36" s="402" t="s">
        <v>354</v>
      </c>
      <c r="G36" s="428">
        <f>IF(VLOOKUP($A$11,Database!$1:$1048576,Database!AV$1,FALSE)=0,"-",VLOOKUP($A$11,Database!$1:$1048576,Database!AV$1,FALSE))</f>
        <v>16</v>
      </c>
      <c r="H36" s="351" t="s">
        <v>611</v>
      </c>
      <c r="I36" s="394"/>
      <c r="J36" s="352"/>
      <c r="K36" s="505" t="s">
        <v>648</v>
      </c>
      <c r="Q36" s="506"/>
      <c r="T36" s="352"/>
      <c r="U36" s="379" t="s">
        <v>384</v>
      </c>
      <c r="V36" s="426" t="e">
        <f>(G37+G36)/G38</f>
        <v>#VALUE!</v>
      </c>
      <c r="W36" s="352" t="s">
        <v>385</v>
      </c>
      <c r="X36" s="352"/>
      <c r="Y36" s="352"/>
      <c r="Z36" s="352"/>
      <c r="AA36" s="429">
        <f>G38*0.36</f>
        <v>11.879999999999999</v>
      </c>
      <c r="AB36" s="352" t="s">
        <v>386</v>
      </c>
    </row>
    <row r="37" spans="1:28" s="425" customFormat="1" ht="15.6" x14ac:dyDescent="0.3">
      <c r="A37" s="369" t="s">
        <v>602</v>
      </c>
      <c r="B37" s="352"/>
      <c r="C37" s="352"/>
      <c r="D37" s="352"/>
      <c r="E37" s="352"/>
      <c r="F37" s="402" t="s">
        <v>354</v>
      </c>
      <c r="G37" s="428" t="str">
        <f>IF(VLOOKUP($A$11,Database!$1:$1048576,Database!AW$1,FALSE)=0,"-",VLOOKUP($A$11,Database!$1:$1048576,Database!AW$1,FALSE))</f>
        <v>-</v>
      </c>
      <c r="H37" s="351" t="s">
        <v>611</v>
      </c>
      <c r="I37" s="394"/>
      <c r="J37" s="379"/>
      <c r="K37" s="493" t="s">
        <v>649</v>
      </c>
      <c r="L37" s="494"/>
      <c r="M37" s="494"/>
      <c r="N37" s="494"/>
      <c r="O37" s="494"/>
      <c r="P37" s="494"/>
      <c r="Q37" s="495"/>
      <c r="T37" s="352"/>
      <c r="W37" s="352"/>
      <c r="X37" s="379" t="s">
        <v>387</v>
      </c>
      <c r="Y37" s="411"/>
      <c r="Z37" s="352" t="s">
        <v>388</v>
      </c>
      <c r="AA37" s="352"/>
      <c r="AB37" s="352"/>
    </row>
    <row r="38" spans="1:28" s="425" customFormat="1" ht="16.2" thickBot="1" x14ac:dyDescent="0.35">
      <c r="A38" s="369" t="s">
        <v>734</v>
      </c>
      <c r="B38" s="352"/>
      <c r="C38" s="352"/>
      <c r="D38" s="352"/>
      <c r="E38" s="352"/>
      <c r="F38" s="402" t="s">
        <v>354</v>
      </c>
      <c r="G38" s="424">
        <f>VLOOKUP($A$11,Database!$1:$1048576,Database!AU$1,FALSE)</f>
        <v>33</v>
      </c>
      <c r="H38" s="351" t="s">
        <v>383</v>
      </c>
      <c r="I38" s="351" t="s">
        <v>737</v>
      </c>
      <c r="J38" s="352"/>
      <c r="K38" s="351"/>
      <c r="L38" s="352"/>
      <c r="M38" s="352"/>
      <c r="N38" s="352"/>
      <c r="O38" s="352"/>
      <c r="P38" s="352"/>
      <c r="Q38" s="351"/>
      <c r="R38" s="352"/>
      <c r="S38" s="352"/>
      <c r="T38" s="352"/>
    </row>
    <row r="39" spans="1:28" ht="15.6" x14ac:dyDescent="0.3">
      <c r="A39" s="565" t="s">
        <v>653</v>
      </c>
      <c r="B39" s="526"/>
      <c r="C39" s="526"/>
      <c r="D39" s="526"/>
      <c r="E39" s="566"/>
      <c r="F39" s="567"/>
      <c r="G39" s="596">
        <f>IF(VLOOKUP($A$11,Database!$1:$1048576,Database!BB$1,FALSE)=0,"?",VLOOKUP($A$11,Database!$1:$1048576,Database!BB$1,FALSE))</f>
        <v>350</v>
      </c>
      <c r="H39" s="568" t="s">
        <v>655</v>
      </c>
      <c r="I39" s="565" t="s">
        <v>738</v>
      </c>
      <c r="J39" s="574"/>
      <c r="K39" s="575"/>
      <c r="L39" s="526"/>
      <c r="M39" s="526"/>
      <c r="N39" s="526"/>
      <c r="O39" s="567"/>
      <c r="P39" s="576"/>
      <c r="Q39" s="351"/>
      <c r="R39" s="353"/>
      <c r="S39" s="499"/>
      <c r="T39" s="387"/>
    </row>
    <row r="40" spans="1:28" ht="16.2" thickBot="1" x14ac:dyDescent="0.35">
      <c r="A40" s="569" t="s">
        <v>654</v>
      </c>
      <c r="B40" s="570"/>
      <c r="C40" s="570"/>
      <c r="D40" s="570"/>
      <c r="E40" s="571"/>
      <c r="F40" s="572"/>
      <c r="G40" s="597">
        <f>IF(VLOOKUP($A$11,Database!$1:$1048576,Database!BA$1,FALSE)=0,"?",VLOOKUP($A$11,Database!$1:$1048576,Database!BA$1,FALSE))</f>
        <v>400</v>
      </c>
      <c r="H40" s="573" t="s">
        <v>655</v>
      </c>
      <c r="I40" s="580" t="s">
        <v>739</v>
      </c>
      <c r="J40" s="577"/>
      <c r="K40" s="578" t="s">
        <v>658</v>
      </c>
      <c r="L40" s="570"/>
      <c r="M40" s="570"/>
      <c r="N40" s="570"/>
      <c r="O40" s="572"/>
      <c r="P40" s="579"/>
      <c r="Q40" s="351"/>
      <c r="R40" s="353"/>
      <c r="S40" s="499"/>
      <c r="T40" s="387"/>
    </row>
    <row r="41" spans="1:28" ht="15.6" x14ac:dyDescent="0.3">
      <c r="A41" s="454" t="s">
        <v>744</v>
      </c>
      <c r="B41" s="362"/>
      <c r="C41" s="362"/>
      <c r="D41" s="362"/>
      <c r="E41" s="364"/>
      <c r="F41" s="370"/>
      <c r="G41" s="536">
        <f>VLOOKUP($A$11,Database!$1:$1048576,Database!BC$1,FALSE)</f>
        <v>33.693999999999996</v>
      </c>
      <c r="H41" s="537" t="s">
        <v>383</v>
      </c>
      <c r="I41" s="386"/>
      <c r="J41" s="354"/>
      <c r="K41" s="369"/>
      <c r="L41" s="362"/>
      <c r="M41" s="362"/>
      <c r="N41" s="362"/>
      <c r="O41" s="370"/>
      <c r="P41" s="384"/>
      <c r="Q41" s="351"/>
      <c r="R41" s="353"/>
      <c r="S41" s="499"/>
      <c r="T41" s="387"/>
    </row>
    <row r="42" spans="1:28" ht="17.399999999999999" x14ac:dyDescent="0.3">
      <c r="A42" s="382" t="s">
        <v>559</v>
      </c>
      <c r="B42" s="362"/>
      <c r="C42" s="362"/>
      <c r="D42" s="362"/>
      <c r="E42" s="362"/>
      <c r="F42" s="402" t="s">
        <v>354</v>
      </c>
      <c r="G42" s="361"/>
      <c r="H42" s="369"/>
      <c r="I42" s="351"/>
      <c r="J42" s="362"/>
      <c r="K42" s="362"/>
      <c r="L42" s="362"/>
      <c r="M42" s="362"/>
      <c r="N42" s="362"/>
      <c r="O42" s="362"/>
      <c r="P42" s="362"/>
      <c r="Q42" s="369"/>
    </row>
    <row r="43" spans="1:28" ht="3.75" customHeight="1" x14ac:dyDescent="0.3">
      <c r="A43" s="362"/>
      <c r="B43" s="362"/>
      <c r="C43" s="362"/>
      <c r="D43" s="362"/>
      <c r="E43" s="362"/>
      <c r="F43" s="402" t="s">
        <v>354</v>
      </c>
      <c r="G43" s="361"/>
      <c r="H43" s="369"/>
      <c r="I43" s="362"/>
      <c r="J43" s="362"/>
      <c r="K43" s="362"/>
      <c r="L43" s="362"/>
      <c r="M43" s="362"/>
      <c r="N43" s="362"/>
      <c r="O43" s="362"/>
      <c r="P43" s="362"/>
      <c r="Q43" s="369"/>
    </row>
    <row r="44" spans="1:28" ht="15.6" x14ac:dyDescent="0.3">
      <c r="A44" s="454" t="s">
        <v>606</v>
      </c>
      <c r="B44" s="362"/>
      <c r="C44" s="362"/>
      <c r="D44" s="362"/>
      <c r="E44" s="362"/>
      <c r="F44" s="402" t="s">
        <v>354</v>
      </c>
      <c r="G44" s="587">
        <f>IF(VLOOKUP($A$11,Database!$1:$1048576,Database!AE$1,FALSE)=0,"-",VLOOKUP($A$11,Database!$1:$1048576,Database!AE$1,FALSE))</f>
        <v>150</v>
      </c>
      <c r="H44" s="354" t="s">
        <v>560</v>
      </c>
      <c r="I44" s="362"/>
      <c r="J44" s="362"/>
      <c r="K44" s="369"/>
      <c r="L44" s="362"/>
      <c r="M44" s="362"/>
      <c r="N44" s="362"/>
      <c r="O44" s="370"/>
      <c r="P44" s="469"/>
      <c r="Q44" s="354"/>
    </row>
    <row r="45" spans="1:28" ht="15.6" x14ac:dyDescent="0.3">
      <c r="A45" s="369" t="s">
        <v>745</v>
      </c>
      <c r="B45" s="362"/>
      <c r="C45" s="362"/>
      <c r="D45" s="362"/>
      <c r="E45" s="362"/>
      <c r="F45" s="402" t="s">
        <v>354</v>
      </c>
      <c r="G45" s="469">
        <f>IF(VLOOKUP($A$11,Database!$1:$1048576,Database!AF$1,FALSE)=0,"-",VLOOKUP($A$11,Database!$1:$1048576,Database!AF$1,FALSE))</f>
        <v>140</v>
      </c>
      <c r="H45" s="354" t="s">
        <v>560</v>
      </c>
      <c r="I45" s="362"/>
      <c r="J45" s="362"/>
      <c r="K45" s="369"/>
      <c r="L45" s="362"/>
      <c r="M45" s="362"/>
      <c r="N45" s="362"/>
      <c r="O45" s="370"/>
      <c r="P45" s="384"/>
      <c r="Q45" s="351"/>
    </row>
    <row r="46" spans="1:28" ht="15.6" x14ac:dyDescent="0.3">
      <c r="A46" s="454" t="s">
        <v>919</v>
      </c>
      <c r="B46" s="362"/>
      <c r="C46" s="362"/>
      <c r="D46" s="362"/>
      <c r="E46" s="362"/>
      <c r="F46" s="402" t="s">
        <v>354</v>
      </c>
      <c r="G46" s="652">
        <f>IF(VLOOKUP($A$11,Database!$1:$1048576,Database!AI$1,FALSE)=0,"-",VLOOKUP($A$11,Database!$1:$1048576,Database!AI$1,FALSE))</f>
        <v>23.375000000000004</v>
      </c>
      <c r="H46" s="354" t="s">
        <v>375</v>
      </c>
      <c r="I46" s="362"/>
      <c r="J46" s="362"/>
      <c r="K46" s="369"/>
      <c r="L46" s="362"/>
      <c r="M46" s="362"/>
      <c r="N46" s="362"/>
      <c r="O46" s="370"/>
      <c r="P46" s="384"/>
      <c r="Q46" s="351"/>
    </row>
    <row r="47" spans="1:28" ht="15.6" x14ac:dyDescent="0.3">
      <c r="A47" s="369" t="s">
        <v>629</v>
      </c>
      <c r="B47" s="362"/>
      <c r="C47" s="362"/>
      <c r="D47" s="362"/>
      <c r="E47" s="362"/>
      <c r="F47" s="402" t="s">
        <v>354</v>
      </c>
      <c r="G47" s="428" t="str">
        <f>IF(VLOOKUP($A$11,Database!$1:$1048576,Database!AL$1,FALSE)=0,"Tre",VLOOKUP($A$11,Database!$1:$1048576,Database!AL$1,FALSE))</f>
        <v>Tre</v>
      </c>
      <c r="H47" s="354"/>
      <c r="I47" s="362"/>
      <c r="J47" s="362"/>
      <c r="K47" s="369"/>
      <c r="L47" s="362"/>
      <c r="M47" s="362"/>
      <c r="N47" s="362"/>
      <c r="O47" s="370"/>
      <c r="P47" s="384"/>
      <c r="Q47" s="351"/>
    </row>
    <row r="48" spans="1:28" ht="15.6" x14ac:dyDescent="0.3">
      <c r="A48" s="454" t="s">
        <v>397</v>
      </c>
      <c r="B48" s="362"/>
      <c r="C48" s="362"/>
      <c r="D48" s="362"/>
      <c r="F48" s="402" t="s">
        <v>354</v>
      </c>
      <c r="G48" s="587">
        <f>IF(VLOOKUP($A$11,Database!$1:$1048576,Database!U$1,FALSE)=0,"-",VLOOKUP($A$11,Database!$1:$1048576,Database!U$1,FALSE))</f>
        <v>43</v>
      </c>
      <c r="H48" s="354" t="s">
        <v>560</v>
      </c>
      <c r="I48" s="354"/>
      <c r="J48" s="354"/>
      <c r="K48" s="369"/>
      <c r="L48" s="362"/>
      <c r="M48" s="362"/>
      <c r="N48" s="362"/>
      <c r="O48" s="370"/>
      <c r="P48" s="384"/>
      <c r="Q48" s="354"/>
    </row>
    <row r="49" spans="1:20" ht="15.6" x14ac:dyDescent="0.3">
      <c r="A49" s="454" t="s">
        <v>837</v>
      </c>
      <c r="B49" s="362"/>
      <c r="C49" s="362"/>
      <c r="D49" s="362"/>
      <c r="F49" s="402" t="s">
        <v>354</v>
      </c>
      <c r="G49" s="587">
        <f>IF(VLOOKUP($A$11,Database!$1:$1048576,Database!Q$1,FALSE)=0,"-",VLOOKUP($A$11,Database!$1:$1048576,Database!Q$1,FALSE))</f>
        <v>90</v>
      </c>
      <c r="H49" s="354" t="s">
        <v>560</v>
      </c>
      <c r="I49" s="354"/>
      <c r="J49" s="354"/>
      <c r="K49" s="369"/>
      <c r="L49" s="362"/>
      <c r="M49" s="362"/>
      <c r="N49" s="362"/>
      <c r="O49" s="370"/>
      <c r="P49" s="384"/>
      <c r="Q49" s="351"/>
    </row>
    <row r="50" spans="1:20" ht="15.6" x14ac:dyDescent="0.3">
      <c r="A50" s="369" t="s">
        <v>398</v>
      </c>
      <c r="B50" s="362"/>
      <c r="C50" s="362"/>
      <c r="D50" s="362"/>
      <c r="E50" s="362"/>
      <c r="F50" s="402" t="s">
        <v>354</v>
      </c>
      <c r="G50" s="469" t="str">
        <f>IF(VLOOKUP($A$11,Database!$1:$1048576,Database!R$1,FALSE)=0,"-",VLOOKUP($A$11,Database!$1:$1048576,Database!R$1,FALSE))</f>
        <v>-</v>
      </c>
      <c r="H50" s="354" t="s">
        <v>560</v>
      </c>
      <c r="J50" s="362"/>
      <c r="K50" s="369"/>
      <c r="L50" s="362"/>
      <c r="M50" s="362"/>
      <c r="N50" s="362"/>
      <c r="O50" s="370"/>
      <c r="P50" s="384"/>
      <c r="Q50" s="354"/>
    </row>
    <row r="51" spans="1:20" ht="15.6" x14ac:dyDescent="0.3">
      <c r="A51" s="369" t="s">
        <v>561</v>
      </c>
      <c r="B51" s="362"/>
      <c r="C51" s="362"/>
      <c r="D51" s="362"/>
      <c r="E51" s="364"/>
      <c r="F51" s="402" t="s">
        <v>354</v>
      </c>
      <c r="G51" s="469" t="str">
        <f>IF(VLOOKUP($A$11,Database!$1:$1048576,Database!S$1,FALSE)=0,"-",VLOOKUP($A$11,Database!$1:$1048576,Database!S$1,FALSE))</f>
        <v>-</v>
      </c>
      <c r="H51" s="354" t="s">
        <v>560</v>
      </c>
      <c r="J51" s="362"/>
      <c r="K51" s="369"/>
      <c r="L51" s="362"/>
      <c r="M51" s="362"/>
      <c r="N51" s="362"/>
      <c r="O51" s="370"/>
      <c r="P51" s="384"/>
      <c r="Q51" s="351"/>
    </row>
    <row r="52" spans="1:20" ht="15.6" x14ac:dyDescent="0.3">
      <c r="A52" s="369" t="s">
        <v>562</v>
      </c>
      <c r="B52" s="362"/>
      <c r="C52" s="362"/>
      <c r="D52" s="362"/>
      <c r="E52" s="364"/>
      <c r="F52" s="402" t="s">
        <v>354</v>
      </c>
      <c r="G52" s="469" t="str">
        <f>IF(VLOOKUP($A$11,Database!$1:$1048576,Database!T$1,FALSE)=0,"-",VLOOKUP($A$11,Database!$1:$1048576,Database!T$1,FALSE))</f>
        <v>-</v>
      </c>
      <c r="H52" s="354" t="s">
        <v>560</v>
      </c>
      <c r="I52" s="386"/>
      <c r="J52" s="354"/>
      <c r="K52" s="369"/>
      <c r="L52" s="362"/>
      <c r="M52" s="362"/>
      <c r="N52" s="362"/>
      <c r="O52" s="370"/>
      <c r="P52" s="384"/>
      <c r="Q52" s="351"/>
      <c r="T52" s="387"/>
    </row>
    <row r="53" spans="1:20" ht="15.6" x14ac:dyDescent="0.3">
      <c r="A53" s="369" t="s">
        <v>659</v>
      </c>
      <c r="B53" s="362"/>
      <c r="C53" s="362"/>
      <c r="D53" s="362"/>
      <c r="E53" s="362"/>
      <c r="F53" s="402" t="s">
        <v>354</v>
      </c>
      <c r="G53" s="469" t="str">
        <f>IF(VLOOKUP($A$11,Database!$1:$1048576,Database!X$1,FALSE)=0,"-",VLOOKUP($A$11,Database!$1:$1048576,Database!X$1,FALSE))</f>
        <v>-</v>
      </c>
      <c r="H53" s="354" t="s">
        <v>560</v>
      </c>
      <c r="I53" s="362"/>
      <c r="J53" s="362"/>
      <c r="K53" s="369"/>
      <c r="L53" s="362"/>
      <c r="M53" s="362"/>
      <c r="N53" s="362"/>
      <c r="O53" s="370"/>
      <c r="P53" s="384"/>
      <c r="Q53" s="354"/>
    </row>
    <row r="54" spans="1:20" ht="15.6" x14ac:dyDescent="0.3">
      <c r="A54" s="369" t="s">
        <v>727</v>
      </c>
      <c r="B54" s="362"/>
      <c r="C54" s="362"/>
      <c r="D54" s="362"/>
      <c r="E54" s="362"/>
      <c r="F54" s="402" t="s">
        <v>354</v>
      </c>
      <c r="G54" s="469"/>
      <c r="H54" s="354" t="s">
        <v>560</v>
      </c>
      <c r="I54" s="362"/>
      <c r="J54" s="362"/>
      <c r="K54" s="369"/>
      <c r="L54" s="362"/>
      <c r="M54" s="362"/>
      <c r="N54" s="362"/>
      <c r="O54" s="370"/>
      <c r="P54" s="384"/>
      <c r="Q54" s="354"/>
    </row>
    <row r="55" spans="1:20" ht="15.6" x14ac:dyDescent="0.3">
      <c r="A55" s="369" t="s">
        <v>403</v>
      </c>
      <c r="B55" s="362"/>
      <c r="C55" s="362"/>
      <c r="D55" s="362"/>
      <c r="E55" s="364"/>
      <c r="F55" s="402" t="s">
        <v>354</v>
      </c>
      <c r="G55" s="469" t="str">
        <f>IF(VLOOKUP($A$11,Database!$1:$1048576,Database!AJ$1,FALSE)=0,"Dacron",VLOOKUP($A$11,Database!$1:$1048576,Database!AJ$1,FALSE))</f>
        <v>Dacron</v>
      </c>
      <c r="H55" s="354"/>
      <c r="I55" s="386"/>
      <c r="J55" s="354"/>
      <c r="K55" s="369"/>
      <c r="L55" s="362"/>
      <c r="M55" s="362"/>
      <c r="N55" s="362"/>
      <c r="O55" s="370"/>
      <c r="P55" s="384"/>
      <c r="Q55" s="351"/>
      <c r="R55" s="353"/>
      <c r="S55" s="499"/>
      <c r="T55" s="387"/>
    </row>
    <row r="56" spans="1:20" s="364" customFormat="1" ht="17.399999999999999" x14ac:dyDescent="0.3">
      <c r="A56" s="382" t="s">
        <v>662</v>
      </c>
      <c r="F56" s="410"/>
      <c r="G56" s="473"/>
      <c r="H56" s="354"/>
      <c r="I56" s="386"/>
      <c r="J56" s="354"/>
      <c r="K56" s="354"/>
      <c r="O56" s="410"/>
      <c r="P56" s="474"/>
      <c r="Q56" s="354"/>
      <c r="R56" s="353"/>
      <c r="S56" s="499"/>
      <c r="T56" s="500"/>
    </row>
    <row r="57" spans="1:20" ht="15.6" x14ac:dyDescent="0.3">
      <c r="A57" s="369" t="s">
        <v>574</v>
      </c>
      <c r="B57" s="362"/>
      <c r="C57" s="362"/>
      <c r="D57" s="362"/>
      <c r="E57" s="364"/>
      <c r="F57" s="370"/>
      <c r="G57" s="470">
        <f>IF(VLOOKUP($A$11,Database!$1:$1048576,Database!BM$1,FALSE)=0,"-",VLOOKUP($A$11,Database!$1:$1048576,Database!BM$1,FALSE))</f>
        <v>45</v>
      </c>
      <c r="H57" s="354" t="s">
        <v>368</v>
      </c>
      <c r="I57" s="386"/>
      <c r="J57" s="354"/>
      <c r="K57" s="369"/>
      <c r="L57" s="362"/>
      <c r="M57" s="362"/>
      <c r="N57" s="362"/>
      <c r="O57" s="370"/>
      <c r="P57" s="384"/>
      <c r="Q57" s="351"/>
      <c r="R57" s="353"/>
      <c r="S57" s="499"/>
      <c r="T57" s="387"/>
    </row>
    <row r="58" spans="1:20" ht="15.6" x14ac:dyDescent="0.3">
      <c r="A58" s="369" t="s">
        <v>576</v>
      </c>
      <c r="B58" s="362"/>
      <c r="C58" s="362"/>
      <c r="D58" s="362"/>
      <c r="E58" s="364"/>
      <c r="F58" s="370"/>
      <c r="G58" s="470">
        <f>IF(VLOOKUP($A$11,Database!$1:$1048576,Database!BL$1,FALSE)=0,"-",VLOOKUP($A$11,Database!$1:$1048576,Database!BL$1,FALSE))</f>
        <v>3</v>
      </c>
      <c r="H58" s="354" t="s">
        <v>577</v>
      </c>
      <c r="I58" s="386"/>
      <c r="J58" s="354"/>
      <c r="K58" s="369"/>
      <c r="L58" s="362"/>
      <c r="M58" s="362"/>
      <c r="N58" s="362"/>
      <c r="O58" s="370"/>
      <c r="P58" s="384"/>
      <c r="Q58" s="351"/>
      <c r="R58" s="353"/>
      <c r="S58" s="499"/>
      <c r="T58" s="387"/>
    </row>
    <row r="59" spans="1:20" ht="15.6" x14ac:dyDescent="0.3">
      <c r="A59" s="369" t="s">
        <v>575</v>
      </c>
      <c r="B59" s="362"/>
      <c r="C59" s="362"/>
      <c r="D59" s="362"/>
      <c r="E59" s="364"/>
      <c r="F59" s="370"/>
      <c r="G59" s="470" t="str">
        <f>IF(VLOOKUP($A$11,Database!$1:$1048576,Database!BK$1,FALSE)=0,"-",VLOOKUP($A$11,Database!$1:$1048576,Database!BK$1,FALSE))</f>
        <v>Seilrett</v>
      </c>
      <c r="H59" s="354"/>
      <c r="I59" s="386"/>
      <c r="J59" s="354"/>
      <c r="K59" s="369"/>
      <c r="L59" s="362"/>
      <c r="M59" s="362"/>
      <c r="N59" s="362"/>
      <c r="O59" s="370"/>
      <c r="P59" s="384"/>
      <c r="Q59" s="351"/>
      <c r="R59" s="353"/>
      <c r="S59" s="499"/>
      <c r="T59" s="387"/>
    </row>
    <row r="60" spans="1:20" ht="15.6" x14ac:dyDescent="0.3">
      <c r="A60" s="369" t="s">
        <v>603</v>
      </c>
      <c r="B60" s="362"/>
      <c r="C60" s="362"/>
      <c r="D60" s="362"/>
      <c r="E60" s="364"/>
      <c r="F60" s="370"/>
      <c r="G60" s="470">
        <f>IF(VLOOKUP($A$11,Database!$1:$1048576,Database!AY$1,FALSE)=0,"-",VLOOKUP($A$11,Database!$1:$1048576,Database!AY$1,FALSE))</f>
        <v>109</v>
      </c>
      <c r="H60" s="354" t="s">
        <v>609</v>
      </c>
      <c r="I60" s="386"/>
      <c r="J60" s="354"/>
      <c r="K60" s="490" t="s">
        <v>647</v>
      </c>
      <c r="L60" s="491"/>
      <c r="M60" s="491"/>
      <c r="N60" s="491"/>
      <c r="O60" s="491"/>
      <c r="P60" s="491"/>
      <c r="Q60" s="492"/>
      <c r="R60" s="353"/>
      <c r="S60" s="499"/>
      <c r="T60" s="387"/>
    </row>
    <row r="61" spans="1:20" ht="15.6" x14ac:dyDescent="0.3">
      <c r="A61" s="369" t="s">
        <v>604</v>
      </c>
      <c r="B61" s="362"/>
      <c r="C61" s="362"/>
      <c r="D61" s="362"/>
      <c r="E61" s="364"/>
      <c r="F61" s="370"/>
      <c r="G61" s="470">
        <f>IF(VLOOKUP($A$11,Database!$1:$1048576,Database!AZ$1,FALSE)=0,"-",VLOOKUP($A$11,Database!$1:$1048576,Database!AZ$1,FALSE))</f>
        <v>763</v>
      </c>
      <c r="H61" s="354" t="s">
        <v>610</v>
      </c>
      <c r="I61" s="386"/>
      <c r="J61" s="354"/>
      <c r="K61" s="505" t="s">
        <v>648</v>
      </c>
      <c r="L61" s="425"/>
      <c r="M61" s="425"/>
      <c r="N61" s="425"/>
      <c r="O61" s="425"/>
      <c r="P61" s="425"/>
      <c r="Q61" s="506"/>
      <c r="R61" s="353"/>
      <c r="S61" s="499"/>
      <c r="T61" s="387"/>
    </row>
    <row r="62" spans="1:20" ht="15.6" x14ac:dyDescent="0.3">
      <c r="A62" s="369" t="s">
        <v>605</v>
      </c>
      <c r="B62" s="362"/>
      <c r="C62" s="362"/>
      <c r="D62" s="362"/>
      <c r="E62" s="364"/>
      <c r="F62" s="370"/>
      <c r="G62" s="470" t="str">
        <f>IF(VLOOKUP($A$11,Database!$1:$1048576,Database!AX$1,FALSE)=0,"-",VLOOKUP($A$11,Database!$1:$1048576,Database!AX$1,FALSE))</f>
        <v>-</v>
      </c>
      <c r="H62" s="354" t="s">
        <v>610</v>
      </c>
      <c r="I62" s="386"/>
      <c r="J62" s="354"/>
      <c r="K62" s="493" t="s">
        <v>649</v>
      </c>
      <c r="L62" s="494"/>
      <c r="M62" s="494"/>
      <c r="N62" s="494"/>
      <c r="O62" s="494"/>
      <c r="P62" s="494"/>
      <c r="Q62" s="495"/>
      <c r="R62" s="353"/>
      <c r="S62" s="499"/>
      <c r="T62" s="387"/>
    </row>
    <row r="63" spans="1:20" s="362" customFormat="1" ht="15.6" x14ac:dyDescent="0.3">
      <c r="A63" s="369"/>
      <c r="E63" s="361"/>
      <c r="F63" s="361"/>
      <c r="G63" s="512"/>
      <c r="O63" s="370"/>
      <c r="P63" s="513"/>
    </row>
    <row r="64" spans="1:20" ht="15.6" x14ac:dyDescent="0.3">
      <c r="A64" s="391" t="s">
        <v>644</v>
      </c>
      <c r="B64" s="362"/>
      <c r="C64" s="362"/>
      <c r="D64" s="362"/>
      <c r="E64" s="362"/>
      <c r="F64" s="362"/>
      <c r="G64" s="361"/>
      <c r="H64" s="362"/>
      <c r="I64" s="362"/>
      <c r="J64" s="362"/>
      <c r="K64" s="362"/>
      <c r="L64" s="362"/>
      <c r="M64" s="362"/>
      <c r="N64" s="362"/>
      <c r="O64" s="362"/>
      <c r="P64" s="362"/>
      <c r="Q64" s="362"/>
    </row>
    <row r="65" spans="1:17" ht="13.5" customHeight="1" x14ac:dyDescent="0.3">
      <c r="A65" s="345" t="s">
        <v>581</v>
      </c>
      <c r="B65" s="362"/>
      <c r="C65" s="362"/>
      <c r="D65" s="362"/>
      <c r="E65" s="362"/>
      <c r="F65" s="362"/>
      <c r="G65" s="361"/>
      <c r="H65" s="362"/>
      <c r="I65" s="362"/>
      <c r="J65" s="362"/>
      <c r="K65" s="362"/>
      <c r="L65" s="362"/>
      <c r="M65" s="362"/>
      <c r="N65" s="362"/>
      <c r="O65" s="362"/>
      <c r="P65" s="362"/>
      <c r="Q65" s="362"/>
    </row>
    <row r="66" spans="1:17" ht="13.5" customHeight="1" x14ac:dyDescent="0.3">
      <c r="A66" s="345"/>
      <c r="B66" s="362"/>
      <c r="C66" s="362"/>
      <c r="D66" s="362"/>
      <c r="E66" s="362"/>
      <c r="F66" s="362"/>
      <c r="G66" s="361"/>
      <c r="H66" s="362"/>
      <c r="I66" s="362"/>
      <c r="J66" s="362"/>
      <c r="K66" s="362"/>
      <c r="L66" s="362"/>
      <c r="M66" s="362"/>
      <c r="N66" s="362"/>
      <c r="O66" s="362"/>
      <c r="P66" s="362"/>
      <c r="Q66" s="362"/>
    </row>
    <row r="67" spans="1:17" ht="13.5" customHeight="1" x14ac:dyDescent="0.3">
      <c r="A67" s="344" t="s">
        <v>337</v>
      </c>
      <c r="B67"/>
      <c r="C67"/>
      <c r="D67" s="362"/>
      <c r="E67" s="362"/>
      <c r="F67" s="362"/>
      <c r="G67" s="361"/>
      <c r="H67" s="362"/>
      <c r="I67" s="362"/>
      <c r="J67" s="362"/>
      <c r="K67" s="362"/>
      <c r="L67" s="362"/>
      <c r="M67" s="362"/>
      <c r="N67" s="362"/>
      <c r="O67" s="362"/>
      <c r="P67" s="362"/>
      <c r="Q67" s="362"/>
    </row>
    <row r="68" spans="1:17" ht="49.95" customHeight="1" x14ac:dyDescent="0.25">
      <c r="A68" s="661" t="s">
        <v>583</v>
      </c>
      <c r="B68" s="661"/>
      <c r="C68" s="661"/>
      <c r="D68" s="661"/>
      <c r="E68" s="661"/>
      <c r="F68" s="661"/>
      <c r="G68" s="661"/>
      <c r="H68" s="661"/>
      <c r="I68" s="661"/>
      <c r="J68" s="661"/>
      <c r="K68" s="661"/>
      <c r="L68" s="661"/>
      <c r="M68" s="661"/>
      <c r="N68" s="661"/>
      <c r="O68" s="661"/>
      <c r="P68" s="661"/>
      <c r="Q68" s="661"/>
    </row>
    <row r="69" spans="1:17" ht="13.5" customHeight="1" x14ac:dyDescent="0.3">
      <c r="A69" s="343"/>
      <c r="B69"/>
      <c r="C69"/>
      <c r="D69" s="362"/>
      <c r="E69" s="362"/>
      <c r="F69" s="362"/>
      <c r="G69" s="361"/>
      <c r="H69" s="362"/>
      <c r="I69" s="362"/>
      <c r="J69" s="362"/>
      <c r="K69" s="362"/>
      <c r="L69" s="362"/>
      <c r="M69" s="362"/>
      <c r="N69" s="362"/>
      <c r="O69" s="362"/>
      <c r="P69" s="362"/>
      <c r="Q69" s="362"/>
    </row>
    <row r="70" spans="1:17" ht="16.8" x14ac:dyDescent="0.3">
      <c r="A70" s="348" t="s">
        <v>343</v>
      </c>
      <c r="B70"/>
      <c r="C70"/>
      <c r="D70" s="362"/>
      <c r="E70" s="362"/>
      <c r="F70" s="362"/>
      <c r="G70" s="361"/>
      <c r="H70" s="362"/>
      <c r="I70" s="362"/>
      <c r="J70" s="362"/>
      <c r="K70" s="362"/>
      <c r="L70" s="362"/>
      <c r="M70" s="362"/>
      <c r="N70" s="362"/>
      <c r="O70" s="362"/>
      <c r="P70" s="362"/>
      <c r="Q70" s="362"/>
    </row>
    <row r="71" spans="1:17" ht="31.95" customHeight="1" x14ac:dyDescent="0.25">
      <c r="A71" s="662" t="s">
        <v>570</v>
      </c>
      <c r="B71" s="662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2"/>
      <c r="N71" s="662"/>
      <c r="O71" s="662"/>
      <c r="P71" s="662"/>
      <c r="Q71" s="662"/>
    </row>
    <row r="72" spans="1:17" ht="15.6" x14ac:dyDescent="0.3">
      <c r="A72" s="344"/>
      <c r="B72"/>
      <c r="C72"/>
      <c r="D72" s="362"/>
      <c r="E72" s="362"/>
      <c r="F72" s="362"/>
      <c r="G72" s="361"/>
      <c r="H72" s="362"/>
      <c r="I72" s="362"/>
      <c r="J72" s="362"/>
      <c r="K72" s="362"/>
      <c r="L72" s="362"/>
      <c r="M72" s="362"/>
      <c r="N72" s="362"/>
      <c r="O72" s="362"/>
      <c r="P72" s="362"/>
      <c r="Q72" s="362"/>
    </row>
    <row r="73" spans="1:17" ht="16.8" x14ac:dyDescent="0.3">
      <c r="A73" s="348" t="s">
        <v>571</v>
      </c>
      <c r="B73"/>
      <c r="C73"/>
      <c r="D73" s="362"/>
      <c r="E73" s="362"/>
      <c r="F73" s="362"/>
      <c r="G73" s="361"/>
      <c r="H73" s="362"/>
      <c r="I73" s="362"/>
      <c r="J73" s="362"/>
      <c r="K73" s="362"/>
      <c r="L73" s="362"/>
      <c r="M73" s="362"/>
      <c r="N73" s="362"/>
      <c r="O73" s="362"/>
      <c r="P73" s="362"/>
      <c r="Q73" s="362"/>
    </row>
    <row r="74" spans="1:17" ht="31.95" customHeight="1" x14ac:dyDescent="0.25">
      <c r="A74" s="662" t="s">
        <v>572</v>
      </c>
      <c r="B74" s="662"/>
      <c r="C74" s="662"/>
      <c r="D74" s="662"/>
      <c r="E74" s="662"/>
      <c r="F74" s="662"/>
      <c r="G74" s="662"/>
      <c r="H74" s="662"/>
      <c r="I74" s="662"/>
      <c r="J74" s="662"/>
      <c r="K74" s="662"/>
      <c r="L74" s="662"/>
      <c r="M74" s="662"/>
      <c r="N74" s="662"/>
      <c r="O74" s="662"/>
      <c r="P74" s="662"/>
      <c r="Q74" s="662"/>
    </row>
    <row r="75" spans="1:17" s="364" customFormat="1" ht="13.5" customHeight="1" thickBot="1" x14ac:dyDescent="0.25">
      <c r="A75" s="518"/>
      <c r="B75" s="519"/>
      <c r="C75" s="519"/>
      <c r="G75" s="353"/>
    </row>
    <row r="76" spans="1:17" ht="19.95" customHeight="1" x14ac:dyDescent="0.3">
      <c r="A76" s="524" t="s">
        <v>645</v>
      </c>
      <c r="B76" s="525"/>
      <c r="C76" s="525"/>
      <c r="D76" s="526"/>
      <c r="E76" s="526"/>
      <c r="F76" s="526"/>
      <c r="G76" s="527"/>
      <c r="H76" s="526"/>
      <c r="I76" s="526"/>
      <c r="J76" s="528"/>
      <c r="K76" s="362"/>
      <c r="L76" s="362"/>
      <c r="M76" s="362"/>
      <c r="N76" s="362"/>
      <c r="O76" s="362"/>
      <c r="P76" s="362"/>
      <c r="Q76" s="362"/>
    </row>
    <row r="77" spans="1:17" s="502" customFormat="1" ht="25.2" x14ac:dyDescent="0.3">
      <c r="A77" s="529" t="str">
        <f>A11</f>
        <v>Vema III</v>
      </c>
      <c r="F77" s="530"/>
      <c r="J77" s="531"/>
      <c r="K77" s="503"/>
      <c r="L77" s="504"/>
    </row>
    <row r="78" spans="1:17" ht="19.95" customHeight="1" thickBot="1" x14ac:dyDescent="0.3">
      <c r="A78" s="532" t="s">
        <v>646</v>
      </c>
      <c r="B78" s="533"/>
      <c r="C78" s="533"/>
      <c r="D78" s="533"/>
      <c r="E78" s="533"/>
      <c r="F78" s="533"/>
      <c r="G78" s="533"/>
      <c r="H78" s="533"/>
      <c r="I78" s="533"/>
      <c r="J78" s="534"/>
      <c r="K78" s="501"/>
      <c r="L78" s="501"/>
      <c r="M78" s="501"/>
      <c r="N78" s="501"/>
      <c r="O78" s="501"/>
      <c r="P78" s="501"/>
      <c r="Q78" s="501"/>
    </row>
    <row r="79" spans="1:17" ht="13.5" customHeight="1" x14ac:dyDescent="0.3">
      <c r="A79" s="343"/>
      <c r="B79"/>
      <c r="C79"/>
      <c r="D79" s="362"/>
      <c r="E79" s="362"/>
      <c r="F79" s="362"/>
      <c r="G79" s="361"/>
      <c r="H79" s="362"/>
      <c r="I79" s="362"/>
      <c r="J79" s="362"/>
      <c r="K79" s="362"/>
      <c r="L79" s="362"/>
      <c r="M79" s="362"/>
      <c r="N79" s="362"/>
      <c r="O79" s="362"/>
      <c r="P79" s="362"/>
      <c r="Q79" s="362"/>
    </row>
    <row r="80" spans="1:17" ht="13.5" customHeight="1" x14ac:dyDescent="0.3">
      <c r="A80" s="343" t="s">
        <v>582</v>
      </c>
      <c r="B80"/>
      <c r="C80"/>
      <c r="D80" s="388"/>
      <c r="E80" s="388"/>
      <c r="F80" s="388"/>
      <c r="G80" s="475"/>
      <c r="H80" s="388"/>
      <c r="I80" s="362"/>
      <c r="J80" s="362"/>
      <c r="K80" s="362"/>
      <c r="L80" s="362"/>
      <c r="M80" s="362"/>
      <c r="N80" s="362"/>
      <c r="O80" s="362"/>
      <c r="P80" s="362"/>
      <c r="Q80" s="362"/>
    </row>
    <row r="81" spans="1:20" ht="13.5" customHeight="1" x14ac:dyDescent="0.3">
      <c r="A81" s="343"/>
      <c r="B81"/>
      <c r="C81"/>
      <c r="D81" s="362"/>
      <c r="E81" s="362"/>
      <c r="F81" s="362"/>
      <c r="G81" s="361"/>
      <c r="H81" s="362"/>
      <c r="I81" s="362"/>
      <c r="J81" s="362"/>
      <c r="K81" s="362"/>
      <c r="L81" s="362"/>
      <c r="M81" s="362"/>
      <c r="N81" s="362"/>
      <c r="O81" s="362"/>
      <c r="P81" s="362"/>
      <c r="Q81" s="362"/>
    </row>
    <row r="82" spans="1:20" ht="13.5" customHeight="1" x14ac:dyDescent="0.3">
      <c r="A82" s="343"/>
      <c r="B82"/>
      <c r="C82"/>
      <c r="D82" s="362"/>
      <c r="E82" s="362"/>
      <c r="F82" s="362"/>
      <c r="G82" s="361"/>
      <c r="H82" s="362"/>
      <c r="I82" s="362"/>
      <c r="J82" s="362"/>
      <c r="K82" s="362"/>
      <c r="L82" s="362"/>
      <c r="M82" s="362"/>
      <c r="N82" s="362"/>
      <c r="O82" s="362"/>
      <c r="P82" s="362"/>
      <c r="Q82" s="362"/>
    </row>
    <row r="83" spans="1:20" ht="13.5" customHeight="1" x14ac:dyDescent="0.3">
      <c r="A83" s="343" t="s">
        <v>573</v>
      </c>
      <c r="B83"/>
      <c r="C83"/>
      <c r="D83" s="388"/>
      <c r="E83" s="388"/>
      <c r="F83" s="388"/>
      <c r="G83" s="475"/>
      <c r="H83" s="388"/>
      <c r="I83" s="388"/>
      <c r="J83" s="388"/>
      <c r="K83" s="388"/>
      <c r="L83" s="388"/>
      <c r="M83" s="388"/>
      <c r="N83" s="388"/>
      <c r="O83" s="388"/>
      <c r="P83" s="388"/>
      <c r="Q83" s="362"/>
    </row>
    <row r="84" spans="1:20" ht="16.2" x14ac:dyDescent="0.35">
      <c r="A84" s="343"/>
      <c r="B84"/>
      <c r="C84"/>
      <c r="D84" s="362"/>
      <c r="E84" s="391"/>
      <c r="F84" s="476" t="s">
        <v>551</v>
      </c>
      <c r="G84" s="408">
        <f ca="1">TODAY()</f>
        <v>45544</v>
      </c>
      <c r="I84" s="354"/>
      <c r="J84" s="353" t="s">
        <v>552</v>
      </c>
      <c r="K84" s="409" t="s">
        <v>126</v>
      </c>
      <c r="L84" s="362"/>
      <c r="M84" s="362"/>
      <c r="O84" s="380" t="s">
        <v>569</v>
      </c>
      <c r="P84" s="362"/>
      <c r="Q84" s="362"/>
    </row>
    <row r="85" spans="1:20" ht="13.5" customHeight="1" x14ac:dyDescent="0.3">
      <c r="A85" s="343"/>
      <c r="B85"/>
      <c r="C85"/>
      <c r="D85" s="391"/>
      <c r="E85" s="391"/>
      <c r="F85" s="371"/>
      <c r="G85" s="408"/>
      <c r="H85" s="362"/>
      <c r="I85" s="362"/>
      <c r="J85" s="362"/>
      <c r="K85" s="380"/>
      <c r="L85" s="362"/>
      <c r="M85" s="362"/>
      <c r="O85" s="380"/>
      <c r="Q85" s="362"/>
    </row>
    <row r="86" spans="1:20" ht="13.5" customHeight="1" x14ac:dyDescent="0.3">
      <c r="A86" s="343"/>
      <c r="B86"/>
      <c r="C86"/>
      <c r="D86" s="391"/>
      <c r="E86" s="391"/>
      <c r="F86" s="371"/>
      <c r="G86" s="408"/>
      <c r="H86" s="362"/>
      <c r="I86" s="362"/>
      <c r="J86" s="362"/>
      <c r="K86" s="380"/>
      <c r="L86" s="362"/>
      <c r="M86" s="362"/>
      <c r="O86" s="380"/>
      <c r="Q86" s="362"/>
    </row>
    <row r="87" spans="1:20" ht="13.5" customHeight="1" x14ac:dyDescent="0.3">
      <c r="A87" s="343"/>
      <c r="B87"/>
      <c r="C87" s="343"/>
      <c r="D87" s="391"/>
      <c r="E87" s="391"/>
      <c r="F87" s="371"/>
      <c r="G87" s="408"/>
      <c r="H87" s="362"/>
      <c r="I87" s="362"/>
      <c r="J87" s="362"/>
      <c r="K87" s="362"/>
      <c r="L87" s="362"/>
      <c r="M87" s="362"/>
      <c r="O87" s="380"/>
      <c r="P87" s="362"/>
      <c r="Q87" s="362"/>
    </row>
    <row r="88" spans="1:20" ht="13.5" customHeight="1" x14ac:dyDescent="0.3">
      <c r="A88" s="343"/>
      <c r="B88"/>
      <c r="C88" s="343"/>
      <c r="D88" s="391"/>
      <c r="E88" s="391"/>
      <c r="F88" s="371"/>
      <c r="G88" s="408"/>
      <c r="H88" s="362"/>
      <c r="I88" s="362"/>
      <c r="J88" s="362"/>
      <c r="K88" s="362"/>
      <c r="L88" s="362"/>
      <c r="M88" s="362"/>
      <c r="O88" s="380"/>
      <c r="P88" s="362"/>
      <c r="Q88" s="362"/>
    </row>
    <row r="89" spans="1:20" ht="13.5" customHeight="1" x14ac:dyDescent="0.3">
      <c r="A89" s="343"/>
      <c r="B89"/>
      <c r="C89" s="343"/>
      <c r="D89" s="391"/>
      <c r="E89" s="391"/>
      <c r="F89" s="371"/>
      <c r="G89" s="408"/>
      <c r="H89" s="362"/>
      <c r="I89" s="362"/>
      <c r="J89" s="362"/>
      <c r="K89" s="362"/>
      <c r="L89" s="362"/>
      <c r="M89" s="362"/>
      <c r="O89" s="380"/>
      <c r="P89" s="362"/>
      <c r="Q89" s="362"/>
    </row>
    <row r="90" spans="1:20" ht="13.5" customHeight="1" x14ac:dyDescent="0.3">
      <c r="A90" s="343"/>
      <c r="B90"/>
      <c r="C90" s="343"/>
      <c r="D90" s="391"/>
      <c r="E90" s="391"/>
      <c r="F90" s="371"/>
      <c r="G90" s="408"/>
      <c r="H90" s="362"/>
      <c r="I90" s="362"/>
      <c r="J90" s="362"/>
      <c r="K90" s="362"/>
      <c r="L90" s="362"/>
      <c r="M90" s="362"/>
      <c r="O90" s="380"/>
      <c r="P90" s="362"/>
      <c r="Q90" s="362"/>
    </row>
    <row r="91" spans="1:20" ht="13.5" customHeight="1" x14ac:dyDescent="0.3">
      <c r="A91" s="343"/>
      <c r="B91"/>
      <c r="C91" s="343"/>
      <c r="D91" s="391"/>
      <c r="E91" s="391"/>
      <c r="F91" s="371"/>
      <c r="G91" s="408"/>
      <c r="H91" s="362"/>
      <c r="I91" s="362"/>
      <c r="J91" s="362"/>
      <c r="K91" s="362"/>
      <c r="L91" s="362"/>
      <c r="M91" s="362"/>
      <c r="O91" s="380"/>
      <c r="P91" s="362"/>
      <c r="Q91" s="362"/>
    </row>
    <row r="92" spans="1:20" s="425" customFormat="1" ht="13.5" customHeight="1" x14ac:dyDescent="0.25">
      <c r="A92" s="351" t="s">
        <v>389</v>
      </c>
      <c r="B92" s="352"/>
      <c r="C92" s="352"/>
      <c r="D92" s="352"/>
      <c r="E92" s="352"/>
      <c r="F92" s="402" t="s">
        <v>354</v>
      </c>
      <c r="G92" s="430"/>
      <c r="H92" s="352" t="s">
        <v>390</v>
      </c>
      <c r="I92" s="352" t="s">
        <v>391</v>
      </c>
      <c r="J92" s="352"/>
      <c r="K92" s="352"/>
      <c r="L92" s="352"/>
      <c r="M92" s="352"/>
      <c r="N92" s="352"/>
      <c r="O92" s="352"/>
      <c r="P92" s="352"/>
      <c r="Q92" s="351"/>
      <c r="R92" s="352"/>
      <c r="S92" s="352"/>
      <c r="T92" s="352"/>
    </row>
    <row r="93" spans="1:20" s="425" customFormat="1" ht="13.5" customHeight="1" x14ac:dyDescent="0.25">
      <c r="A93" s="351" t="s">
        <v>392</v>
      </c>
      <c r="B93" s="352"/>
      <c r="C93" s="352"/>
      <c r="D93" s="352"/>
      <c r="E93" s="352"/>
      <c r="F93" s="402" t="s">
        <v>354</v>
      </c>
      <c r="G93" s="430"/>
      <c r="H93" s="352" t="s">
        <v>390</v>
      </c>
      <c r="I93" s="352" t="s">
        <v>393</v>
      </c>
      <c r="J93" s="352"/>
      <c r="K93" s="352"/>
      <c r="L93" s="352"/>
      <c r="M93" s="352"/>
      <c r="N93" s="352"/>
      <c r="O93" s="352"/>
      <c r="P93" s="352"/>
      <c r="Q93" s="351"/>
      <c r="R93" s="352"/>
      <c r="S93" s="352"/>
      <c r="T93" s="352"/>
    </row>
    <row r="94" spans="1:20" s="425" customFormat="1" ht="13.5" customHeight="1" x14ac:dyDescent="0.25">
      <c r="A94" s="351" t="s">
        <v>394</v>
      </c>
      <c r="B94" s="352"/>
      <c r="C94" s="352"/>
      <c r="D94" s="352"/>
      <c r="E94" s="352"/>
      <c r="F94" s="402" t="s">
        <v>354</v>
      </c>
      <c r="G94" s="430"/>
      <c r="H94" s="351" t="s">
        <v>390</v>
      </c>
      <c r="I94" s="352" t="s">
        <v>393</v>
      </c>
      <c r="J94" s="352"/>
      <c r="K94" s="352"/>
      <c r="L94" s="352"/>
      <c r="M94" s="352"/>
      <c r="N94" s="352"/>
      <c r="O94" s="352"/>
      <c r="P94" s="352"/>
      <c r="Q94" s="351"/>
      <c r="R94" s="352"/>
      <c r="S94" s="352"/>
      <c r="T94" s="352"/>
    </row>
    <row r="95" spans="1:20" x14ac:dyDescent="0.25">
      <c r="A95" s="351" t="s">
        <v>395</v>
      </c>
      <c r="F95" s="402" t="s">
        <v>354</v>
      </c>
      <c r="G95" s="430"/>
      <c r="H95" s="352" t="s">
        <v>390</v>
      </c>
      <c r="I95" s="352" t="s">
        <v>393</v>
      </c>
      <c r="Q95" s="351"/>
    </row>
    <row r="96" spans="1:20" ht="15.6" x14ac:dyDescent="0.3">
      <c r="A96" s="352"/>
      <c r="K96" s="363"/>
    </row>
    <row r="97" spans="1:19" ht="15.6" x14ac:dyDescent="0.3">
      <c r="A97" s="352"/>
      <c r="K97" s="363"/>
    </row>
    <row r="98" spans="1:19" ht="15.6" x14ac:dyDescent="0.3">
      <c r="A98" s="352"/>
      <c r="K98" s="363"/>
    </row>
    <row r="99" spans="1:19" x14ac:dyDescent="0.25">
      <c r="A99" s="352"/>
    </row>
    <row r="100" spans="1:19" ht="15.6" x14ac:dyDescent="0.3">
      <c r="A100" s="352"/>
      <c r="K100" s="390" t="s">
        <v>399</v>
      </c>
      <c r="L100" s="391"/>
      <c r="M100" s="391"/>
      <c r="N100" s="391"/>
      <c r="O100" s="370" t="s">
        <v>354</v>
      </c>
      <c r="P100" s="392"/>
      <c r="Q100" s="393" t="s">
        <v>396</v>
      </c>
      <c r="S100" s="394"/>
    </row>
    <row r="101" spans="1:19" ht="15.6" x14ac:dyDescent="0.3">
      <c r="B101" s="351"/>
      <c r="C101" s="351"/>
      <c r="D101" s="351"/>
      <c r="E101" s="351"/>
      <c r="F101" s="351"/>
      <c r="G101" s="351"/>
      <c r="H101" s="351"/>
      <c r="I101" s="351"/>
      <c r="J101" s="351"/>
      <c r="K101" s="385" t="s">
        <v>401</v>
      </c>
      <c r="L101" s="395"/>
      <c r="M101" s="395"/>
      <c r="N101" s="395"/>
      <c r="O101" s="396" t="s">
        <v>354</v>
      </c>
      <c r="P101" s="397"/>
      <c r="Q101" s="366" t="s">
        <v>402</v>
      </c>
      <c r="R101" s="398"/>
      <c r="S101" s="399"/>
    </row>
    <row r="102" spans="1:19" ht="15.6" x14ac:dyDescent="0.3">
      <c r="K102" s="400" t="s">
        <v>404</v>
      </c>
      <c r="L102" s="362"/>
      <c r="M102" s="362"/>
      <c r="N102" s="362"/>
      <c r="O102" s="370" t="s">
        <v>354</v>
      </c>
      <c r="P102" s="401"/>
      <c r="Q102" s="380" t="s">
        <v>390</v>
      </c>
      <c r="R102" s="402" t="s">
        <v>369</v>
      </c>
      <c r="S102" s="403"/>
    </row>
    <row r="103" spans="1:19" ht="15.6" x14ac:dyDescent="0.3">
      <c r="K103" s="352" t="s">
        <v>405</v>
      </c>
      <c r="L103" s="362"/>
      <c r="M103" s="362"/>
      <c r="N103" s="362"/>
      <c r="O103" s="370" t="s">
        <v>354</v>
      </c>
      <c r="P103" s="401"/>
      <c r="Q103" s="380" t="s">
        <v>390</v>
      </c>
      <c r="R103" s="402" t="s">
        <v>369</v>
      </c>
      <c r="S103" s="403"/>
    </row>
    <row r="104" spans="1:19" ht="15.6" x14ac:dyDescent="0.3">
      <c r="K104" s="383" t="s">
        <v>406</v>
      </c>
      <c r="L104" s="388"/>
      <c r="M104" s="388"/>
      <c r="N104" s="388"/>
      <c r="O104" s="389" t="s">
        <v>354</v>
      </c>
      <c r="P104" s="406"/>
      <c r="Q104" s="407" t="s">
        <v>390</v>
      </c>
      <c r="R104" s="404" t="s">
        <v>369</v>
      </c>
      <c r="S104" s="405"/>
    </row>
    <row r="105" spans="1:19" x14ac:dyDescent="0.25">
      <c r="A105" s="412"/>
      <c r="B105" s="411"/>
      <c r="C105" s="411"/>
      <c r="D105" s="411"/>
      <c r="E105" s="411"/>
      <c r="F105" s="411"/>
      <c r="G105" s="413"/>
      <c r="H105" s="411"/>
      <c r="I105" s="411"/>
      <c r="J105" s="411"/>
      <c r="K105" s="411"/>
      <c r="L105" s="411"/>
      <c r="M105" s="411"/>
      <c r="N105" s="381"/>
      <c r="O105" s="381"/>
      <c r="P105" s="381"/>
      <c r="Q105" s="381"/>
      <c r="R105" s="381"/>
      <c r="S105" s="381"/>
    </row>
    <row r="111" spans="1:19" x14ac:dyDescent="0.25">
      <c r="K111" s="414"/>
      <c r="L111" s="415" t="s">
        <v>355</v>
      </c>
      <c r="M111" s="402" t="s">
        <v>354</v>
      </c>
      <c r="N111" s="394" t="s">
        <v>356</v>
      </c>
      <c r="P111" s="394"/>
    </row>
    <row r="112" spans="1:19" x14ac:dyDescent="0.25">
      <c r="A112" s="412"/>
      <c r="B112" s="411"/>
      <c r="C112" s="411"/>
      <c r="D112" s="411"/>
      <c r="E112" s="411"/>
      <c r="F112" s="411"/>
      <c r="G112" s="413"/>
      <c r="H112" s="411"/>
      <c r="I112" s="411"/>
      <c r="M112" s="402" t="s">
        <v>354</v>
      </c>
      <c r="N112" s="351" t="s">
        <v>357</v>
      </c>
      <c r="P112" s="394"/>
      <c r="S112" s="381"/>
    </row>
    <row r="113" spans="10:18" x14ac:dyDescent="0.25">
      <c r="M113" s="402" t="s">
        <v>354</v>
      </c>
      <c r="N113" s="351" t="s">
        <v>359</v>
      </c>
      <c r="P113" s="394"/>
    </row>
    <row r="114" spans="10:18" x14ac:dyDescent="0.25">
      <c r="J114" s="351"/>
    </row>
    <row r="115" spans="10:18" x14ac:dyDescent="0.25">
      <c r="J115" s="373" t="s">
        <v>362</v>
      </c>
      <c r="K115" s="418"/>
      <c r="L115" s="419" t="s">
        <v>363</v>
      </c>
      <c r="M115" s="367"/>
      <c r="N115" s="367"/>
      <c r="O115" s="416" t="s">
        <v>364</v>
      </c>
      <c r="P115" s="418"/>
      <c r="Q115" s="419" t="s">
        <v>365</v>
      </c>
      <c r="R115" s="367"/>
    </row>
    <row r="116" spans="10:18" x14ac:dyDescent="0.25">
      <c r="J116" s="373" t="s">
        <v>367</v>
      </c>
      <c r="K116" s="418"/>
      <c r="L116" s="419" t="s">
        <v>368</v>
      </c>
      <c r="M116" s="372">
        <f>K116/2.54</f>
        <v>0</v>
      </c>
      <c r="N116" s="367" t="s">
        <v>369</v>
      </c>
      <c r="O116" s="416" t="s">
        <v>364</v>
      </c>
      <c r="P116" s="417"/>
      <c r="Q116" s="367"/>
      <c r="R116" s="367"/>
    </row>
    <row r="117" spans="10:18" x14ac:dyDescent="0.25">
      <c r="J117" s="367"/>
      <c r="K117" s="374"/>
      <c r="L117" s="420"/>
      <c r="M117" s="420"/>
      <c r="N117" s="420"/>
      <c r="O117" s="375" t="s">
        <v>371</v>
      </c>
      <c r="P117" s="421"/>
      <c r="Q117" s="420" t="s">
        <v>352</v>
      </c>
      <c r="R117" s="376"/>
    </row>
    <row r="118" spans="10:18" x14ac:dyDescent="0.25">
      <c r="J118" s="367"/>
      <c r="K118" s="377"/>
      <c r="L118" s="422"/>
      <c r="M118" s="422"/>
      <c r="N118" s="422"/>
      <c r="O118" s="368" t="s">
        <v>373</v>
      </c>
      <c r="P118" s="423"/>
      <c r="Q118" s="422" t="s">
        <v>352</v>
      </c>
      <c r="R118" s="378"/>
    </row>
    <row r="132" spans="1:19" x14ac:dyDescent="0.25">
      <c r="A132" s="410"/>
      <c r="B132" s="410"/>
      <c r="C132" s="410"/>
      <c r="D132" s="410"/>
      <c r="E132" s="410"/>
      <c r="F132" s="410"/>
      <c r="G132" s="410"/>
      <c r="H132" s="410"/>
      <c r="I132" s="410"/>
      <c r="J132" s="410"/>
      <c r="K132" s="410"/>
      <c r="L132" s="410"/>
      <c r="M132" s="410"/>
      <c r="N132" s="410"/>
      <c r="O132" s="410"/>
      <c r="P132" s="410"/>
      <c r="Q132" s="410"/>
      <c r="R132" s="410"/>
      <c r="S132" s="410"/>
    </row>
    <row r="135" spans="1:19" x14ac:dyDescent="0.25">
      <c r="A135" s="412"/>
      <c r="B135" s="411"/>
      <c r="C135" s="411"/>
      <c r="D135" s="411"/>
      <c r="E135" s="411"/>
      <c r="F135" s="411"/>
      <c r="G135" s="413"/>
      <c r="H135" s="411"/>
      <c r="I135" s="411"/>
      <c r="J135" s="411"/>
      <c r="K135" s="411"/>
      <c r="L135" s="411"/>
      <c r="M135" s="411"/>
      <c r="N135" s="381"/>
      <c r="O135" s="381"/>
      <c r="P135" s="381"/>
      <c r="Q135" s="381"/>
      <c r="R135" s="381"/>
      <c r="S135" s="381"/>
    </row>
    <row r="136" spans="1:19" x14ac:dyDescent="0.25">
      <c r="A136" s="410"/>
      <c r="B136" s="410"/>
      <c r="C136" s="410"/>
      <c r="D136" s="410"/>
      <c r="E136" s="410"/>
      <c r="F136" s="410"/>
      <c r="G136" s="410"/>
      <c r="H136" s="410"/>
      <c r="I136" s="410"/>
      <c r="J136" s="410"/>
      <c r="K136" s="410"/>
      <c r="L136" s="410"/>
      <c r="M136" s="410"/>
      <c r="N136" s="410"/>
      <c r="O136" s="410"/>
      <c r="P136" s="410"/>
      <c r="Q136" s="410"/>
      <c r="R136" s="410"/>
      <c r="S136" s="410"/>
    </row>
    <row r="150" spans="1:19" x14ac:dyDescent="0.25">
      <c r="A150" s="412"/>
      <c r="B150" s="411"/>
      <c r="C150" s="411"/>
      <c r="D150" s="411"/>
      <c r="E150" s="411"/>
      <c r="F150" s="411"/>
      <c r="G150" s="413"/>
      <c r="H150" s="411"/>
      <c r="I150" s="411"/>
      <c r="J150" s="411"/>
      <c r="K150" s="411"/>
      <c r="L150" s="411"/>
      <c r="M150" s="411"/>
      <c r="N150" s="381"/>
      <c r="O150" s="381"/>
      <c r="P150" s="381"/>
      <c r="Q150" s="381"/>
      <c r="R150" s="381"/>
      <c r="S150" s="381"/>
    </row>
    <row r="154" spans="1:19" x14ac:dyDescent="0.25">
      <c r="A154" s="410"/>
      <c r="B154" s="410"/>
      <c r="C154" s="410"/>
      <c r="D154" s="410"/>
      <c r="E154" s="410"/>
      <c r="F154" s="410"/>
      <c r="G154" s="410"/>
      <c r="H154" s="410"/>
      <c r="I154" s="410"/>
      <c r="J154" s="410"/>
      <c r="K154" s="410"/>
      <c r="L154" s="410"/>
      <c r="M154" s="410"/>
      <c r="N154" s="410"/>
      <c r="O154" s="410"/>
      <c r="P154" s="410"/>
      <c r="Q154" s="410"/>
      <c r="R154" s="410"/>
      <c r="S154" s="410"/>
    </row>
    <row r="164" spans="1:19" x14ac:dyDescent="0.25">
      <c r="A164" s="412"/>
      <c r="B164" s="411"/>
      <c r="C164" s="411"/>
      <c r="D164" s="411"/>
      <c r="E164" s="411"/>
      <c r="F164" s="411"/>
      <c r="G164" s="413"/>
      <c r="H164" s="411"/>
      <c r="I164" s="411"/>
      <c r="J164" s="411"/>
      <c r="K164" s="411"/>
      <c r="L164" s="411"/>
      <c r="M164" s="411"/>
      <c r="N164" s="381"/>
      <c r="O164" s="381"/>
      <c r="P164" s="381"/>
      <c r="Q164" s="381"/>
      <c r="R164" s="381"/>
      <c r="S164" s="381"/>
    </row>
    <row r="167" spans="1:19" x14ac:dyDescent="0.25">
      <c r="A167" s="412"/>
      <c r="B167" s="411"/>
      <c r="C167" s="411"/>
      <c r="D167" s="411"/>
      <c r="E167" s="411"/>
      <c r="F167" s="411"/>
      <c r="G167" s="413"/>
      <c r="H167" s="411"/>
      <c r="I167" s="411"/>
      <c r="J167" s="411"/>
      <c r="K167" s="411"/>
      <c r="L167" s="411"/>
      <c r="M167" s="411"/>
      <c r="N167" s="381"/>
      <c r="O167" s="381"/>
      <c r="P167" s="381"/>
      <c r="Q167" s="381"/>
      <c r="R167" s="381"/>
      <c r="S167" s="381"/>
    </row>
    <row r="181" spans="1:19" x14ac:dyDescent="0.25">
      <c r="A181" s="412"/>
      <c r="B181" s="411"/>
      <c r="C181" s="411"/>
      <c r="D181" s="411"/>
      <c r="E181" s="411"/>
      <c r="F181" s="411"/>
      <c r="G181" s="413"/>
      <c r="H181" s="411"/>
      <c r="I181" s="411"/>
      <c r="J181" s="411"/>
      <c r="K181" s="411"/>
      <c r="L181" s="411"/>
      <c r="M181" s="411"/>
      <c r="N181" s="381"/>
      <c r="O181" s="381"/>
      <c r="P181" s="381"/>
      <c r="Q181" s="381"/>
      <c r="R181" s="381"/>
      <c r="S181" s="381"/>
    </row>
    <row r="222" spans="1:19" x14ac:dyDescent="0.25">
      <c r="A222" s="410"/>
      <c r="B222" s="410"/>
      <c r="C222" s="410"/>
      <c r="D222" s="410"/>
      <c r="E222" s="410"/>
      <c r="F222" s="410"/>
      <c r="G222" s="410"/>
      <c r="H222" s="410"/>
      <c r="I222" s="410"/>
      <c r="J222" s="410"/>
      <c r="K222" s="410"/>
      <c r="L222" s="410"/>
      <c r="M222" s="410"/>
      <c r="N222" s="410"/>
      <c r="O222" s="410"/>
      <c r="P222" s="410"/>
      <c r="Q222" s="410"/>
      <c r="R222" s="410"/>
      <c r="S222" s="410"/>
    </row>
    <row r="223" spans="1:19" x14ac:dyDescent="0.25">
      <c r="A223" s="412"/>
      <c r="B223" s="411"/>
      <c r="C223" s="411"/>
      <c r="D223" s="411"/>
      <c r="E223" s="411"/>
      <c r="F223" s="411"/>
      <c r="G223" s="413"/>
      <c r="H223" s="411"/>
      <c r="I223" s="411"/>
      <c r="J223" s="411"/>
      <c r="K223" s="411"/>
      <c r="L223" s="411"/>
      <c r="M223" s="411"/>
      <c r="N223" s="381"/>
      <c r="O223" s="381"/>
      <c r="P223" s="381"/>
      <c r="Q223" s="381"/>
      <c r="R223" s="381"/>
      <c r="S223" s="381"/>
    </row>
    <row r="260" spans="1:19" x14ac:dyDescent="0.25">
      <c r="A260" s="410"/>
      <c r="B260" s="410"/>
      <c r="C260" s="410"/>
      <c r="D260" s="410"/>
      <c r="E260" s="410"/>
      <c r="F260" s="410"/>
      <c r="G260" s="410"/>
      <c r="H260" s="410"/>
      <c r="I260" s="410"/>
      <c r="J260" s="410"/>
      <c r="K260" s="410"/>
      <c r="L260" s="410"/>
      <c r="M260" s="410"/>
      <c r="N260" s="410"/>
      <c r="O260" s="410"/>
      <c r="P260" s="410"/>
      <c r="Q260" s="410"/>
      <c r="R260" s="410"/>
      <c r="S260" s="410"/>
    </row>
    <row r="277" spans="1:19" x14ac:dyDescent="0.25">
      <c r="A277" s="410"/>
      <c r="B277" s="410"/>
      <c r="C277" s="410"/>
      <c r="D277" s="410"/>
      <c r="E277" s="410"/>
      <c r="F277" s="410"/>
      <c r="G277" s="410"/>
      <c r="H277" s="410"/>
      <c r="I277" s="410"/>
      <c r="J277" s="410"/>
      <c r="K277" s="410"/>
      <c r="L277" s="410"/>
      <c r="M277" s="410"/>
      <c r="N277" s="410"/>
      <c r="O277" s="410"/>
      <c r="P277" s="410"/>
      <c r="Q277" s="410"/>
      <c r="R277" s="410"/>
      <c r="S277" s="410"/>
    </row>
    <row r="279" spans="1:19" x14ac:dyDescent="0.25">
      <c r="A279" s="410"/>
      <c r="B279" s="410"/>
      <c r="C279" s="410"/>
      <c r="D279" s="410"/>
      <c r="E279" s="410"/>
      <c r="F279" s="410"/>
      <c r="G279" s="410"/>
      <c r="H279" s="410"/>
      <c r="I279" s="410"/>
      <c r="J279" s="410"/>
      <c r="K279" s="410"/>
      <c r="L279" s="410"/>
      <c r="M279" s="410"/>
      <c r="N279" s="410"/>
      <c r="O279" s="410"/>
      <c r="P279" s="410"/>
      <c r="Q279" s="410"/>
      <c r="R279" s="410"/>
      <c r="S279" s="410"/>
    </row>
    <row r="280" spans="1:19" x14ac:dyDescent="0.25">
      <c r="A280" s="410"/>
      <c r="B280" s="410"/>
      <c r="C280" s="410"/>
      <c r="D280" s="410"/>
      <c r="E280" s="410"/>
      <c r="F280" s="410"/>
      <c r="G280" s="410"/>
      <c r="H280" s="410"/>
      <c r="I280" s="410"/>
      <c r="J280" s="410"/>
      <c r="K280" s="410"/>
      <c r="L280" s="410"/>
      <c r="M280" s="410"/>
      <c r="N280" s="410"/>
      <c r="O280" s="410"/>
      <c r="P280" s="410"/>
      <c r="Q280" s="410"/>
      <c r="R280" s="410"/>
      <c r="S280" s="410"/>
    </row>
    <row r="283" spans="1:19" x14ac:dyDescent="0.25">
      <c r="A283" s="412"/>
      <c r="B283" s="411"/>
      <c r="C283" s="411"/>
      <c r="D283" s="411"/>
      <c r="E283" s="411"/>
      <c r="F283" s="411"/>
      <c r="G283" s="413"/>
      <c r="H283" s="411"/>
      <c r="I283" s="411"/>
      <c r="J283" s="411"/>
      <c r="K283" s="411"/>
      <c r="L283" s="411"/>
      <c r="M283" s="411"/>
      <c r="N283" s="381"/>
      <c r="O283" s="381"/>
      <c r="P283" s="381"/>
      <c r="Q283" s="381"/>
      <c r="R283" s="381"/>
      <c r="S283" s="381"/>
    </row>
    <row r="291" spans="1:19" x14ac:dyDescent="0.25">
      <c r="A291" s="410"/>
      <c r="B291" s="410"/>
      <c r="C291" s="410"/>
      <c r="D291" s="410"/>
      <c r="E291" s="410"/>
      <c r="F291" s="410"/>
      <c r="G291" s="410"/>
      <c r="H291" s="410"/>
      <c r="I291" s="410"/>
      <c r="J291" s="410"/>
      <c r="K291" s="410"/>
      <c r="L291" s="410"/>
      <c r="M291" s="410"/>
      <c r="N291" s="410"/>
      <c r="O291" s="410"/>
      <c r="P291" s="410"/>
      <c r="Q291" s="410"/>
      <c r="R291" s="410"/>
      <c r="S291" s="410"/>
    </row>
    <row r="295" spans="1:19" x14ac:dyDescent="0.25">
      <c r="A295" s="412"/>
      <c r="B295" s="411"/>
      <c r="C295" s="411"/>
      <c r="D295" s="411"/>
      <c r="E295" s="411"/>
      <c r="F295" s="411"/>
      <c r="G295" s="413"/>
      <c r="H295" s="411"/>
      <c r="I295" s="411"/>
      <c r="J295" s="411"/>
      <c r="K295" s="411"/>
      <c r="L295" s="411"/>
      <c r="M295" s="411"/>
      <c r="N295" s="381"/>
      <c r="O295" s="381"/>
      <c r="P295" s="381"/>
      <c r="Q295" s="381"/>
      <c r="R295" s="381"/>
      <c r="S295" s="381"/>
    </row>
    <row r="303" spans="1:19" x14ac:dyDescent="0.25">
      <c r="A303" s="410"/>
      <c r="B303" s="410"/>
      <c r="C303" s="410"/>
      <c r="D303" s="410"/>
      <c r="E303" s="410"/>
      <c r="F303" s="410"/>
      <c r="G303" s="410"/>
      <c r="H303" s="410"/>
      <c r="I303" s="410"/>
      <c r="J303" s="410"/>
      <c r="K303" s="410"/>
      <c r="L303" s="410"/>
      <c r="M303" s="410"/>
      <c r="N303" s="410"/>
      <c r="O303" s="410"/>
      <c r="P303" s="410"/>
      <c r="Q303" s="410"/>
      <c r="R303" s="410"/>
      <c r="S303" s="410"/>
    </row>
    <row r="307" spans="1:19" x14ac:dyDescent="0.25">
      <c r="A307" s="410"/>
      <c r="B307" s="410"/>
      <c r="C307" s="410"/>
      <c r="D307" s="410"/>
      <c r="E307" s="410"/>
      <c r="F307" s="410"/>
      <c r="G307" s="410"/>
      <c r="H307" s="410"/>
      <c r="I307" s="410"/>
      <c r="J307" s="410"/>
      <c r="K307" s="410"/>
      <c r="L307" s="410"/>
      <c r="M307" s="410"/>
      <c r="N307" s="410"/>
      <c r="O307" s="410"/>
      <c r="P307" s="410"/>
      <c r="Q307" s="410"/>
      <c r="R307" s="410"/>
      <c r="S307" s="410"/>
    </row>
    <row r="309" spans="1:19" x14ac:dyDescent="0.25">
      <c r="A309" s="412"/>
      <c r="B309" s="411"/>
      <c r="C309" s="411"/>
      <c r="D309" s="411"/>
      <c r="E309" s="411"/>
      <c r="F309" s="411"/>
      <c r="G309" s="413"/>
      <c r="H309" s="411"/>
      <c r="I309" s="411"/>
      <c r="J309" s="411"/>
      <c r="K309" s="411"/>
      <c r="L309" s="411"/>
      <c r="M309" s="411"/>
      <c r="N309" s="381"/>
      <c r="O309" s="381"/>
      <c r="P309" s="381"/>
      <c r="Q309" s="381"/>
      <c r="R309" s="381"/>
      <c r="S309" s="381"/>
    </row>
    <row r="311" spans="1:19" x14ac:dyDescent="0.25">
      <c r="A311" s="410"/>
      <c r="B311" s="410"/>
      <c r="C311" s="410"/>
      <c r="D311" s="410"/>
      <c r="E311" s="410"/>
      <c r="F311" s="410"/>
      <c r="G311" s="410"/>
      <c r="H311" s="410"/>
      <c r="I311" s="410"/>
      <c r="J311" s="410"/>
      <c r="K311" s="410"/>
      <c r="L311" s="410"/>
      <c r="M311" s="410"/>
      <c r="N311" s="410"/>
      <c r="O311" s="410"/>
      <c r="P311" s="410"/>
      <c r="Q311" s="410"/>
      <c r="R311" s="410"/>
      <c r="S311" s="410"/>
    </row>
    <row r="320" spans="1:19" x14ac:dyDescent="0.25">
      <c r="A320" s="410"/>
      <c r="B320" s="410"/>
      <c r="C320" s="410"/>
      <c r="D320" s="410"/>
      <c r="E320" s="410"/>
      <c r="F320" s="410"/>
      <c r="G320" s="410"/>
      <c r="H320" s="410"/>
      <c r="I320" s="410"/>
      <c r="J320" s="410"/>
      <c r="K320" s="410"/>
      <c r="L320" s="410"/>
      <c r="M320" s="410"/>
      <c r="N320" s="410"/>
      <c r="O320" s="410"/>
      <c r="P320" s="410"/>
      <c r="Q320" s="410"/>
      <c r="R320" s="410"/>
      <c r="S320" s="410"/>
    </row>
    <row r="324" spans="1:19" x14ac:dyDescent="0.25">
      <c r="A324" s="412"/>
      <c r="B324" s="411"/>
      <c r="C324" s="411"/>
      <c r="D324" s="411"/>
      <c r="E324" s="411"/>
      <c r="F324" s="411"/>
      <c r="G324" s="413"/>
      <c r="H324" s="411"/>
      <c r="I324" s="411"/>
      <c r="J324" s="411"/>
      <c r="K324" s="411"/>
      <c r="L324" s="411"/>
      <c r="M324" s="411"/>
      <c r="N324" s="381"/>
      <c r="O324" s="381"/>
      <c r="P324" s="381"/>
      <c r="Q324" s="381"/>
      <c r="R324" s="381"/>
      <c r="S324" s="381"/>
    </row>
    <row r="351" spans="1:19" x14ac:dyDescent="0.25">
      <c r="A351" s="410"/>
      <c r="B351" s="410"/>
      <c r="C351" s="410"/>
      <c r="D351" s="410"/>
      <c r="E351" s="410"/>
      <c r="F351" s="410"/>
      <c r="G351" s="410"/>
      <c r="H351" s="410"/>
      <c r="I351" s="410"/>
      <c r="J351" s="410"/>
      <c r="K351" s="410"/>
      <c r="L351" s="410"/>
      <c r="M351" s="410"/>
      <c r="N351" s="410"/>
      <c r="O351" s="410"/>
      <c r="P351" s="410"/>
      <c r="Q351" s="410"/>
      <c r="R351" s="410"/>
      <c r="S351" s="410"/>
    </row>
    <row r="353" spans="1:19" x14ac:dyDescent="0.25">
      <c r="A353" s="410"/>
      <c r="B353" s="410"/>
      <c r="C353" s="410"/>
      <c r="D353" s="410"/>
      <c r="E353" s="410"/>
      <c r="F353" s="410"/>
      <c r="G353" s="410"/>
      <c r="H353" s="410"/>
      <c r="I353" s="410"/>
      <c r="J353" s="410"/>
      <c r="K353" s="410"/>
      <c r="L353" s="410"/>
      <c r="M353" s="410"/>
      <c r="N353" s="410"/>
      <c r="O353" s="410"/>
      <c r="P353" s="410"/>
      <c r="Q353" s="410"/>
      <c r="R353" s="410"/>
      <c r="S353" s="410"/>
    </row>
    <row r="396" spans="1:19" x14ac:dyDescent="0.25">
      <c r="A396" s="410"/>
      <c r="B396" s="410"/>
      <c r="C396" s="410"/>
      <c r="D396" s="410"/>
      <c r="E396" s="410"/>
      <c r="F396" s="410"/>
      <c r="G396" s="410"/>
      <c r="H396" s="410"/>
      <c r="I396" s="410"/>
      <c r="J396" s="410"/>
      <c r="K396" s="410"/>
      <c r="L396" s="410"/>
      <c r="M396" s="410"/>
      <c r="N396" s="410"/>
      <c r="O396" s="410"/>
      <c r="P396" s="410"/>
      <c r="Q396" s="410"/>
      <c r="R396" s="410"/>
      <c r="S396" s="410"/>
    </row>
    <row r="397" spans="1:19" x14ac:dyDescent="0.25">
      <c r="A397" s="410"/>
      <c r="B397" s="410"/>
      <c r="C397" s="410"/>
      <c r="D397" s="410"/>
      <c r="E397" s="410"/>
      <c r="F397" s="410"/>
      <c r="G397" s="410"/>
      <c r="H397" s="410"/>
      <c r="I397" s="410"/>
      <c r="J397" s="410"/>
      <c r="K397" s="410"/>
      <c r="L397" s="410"/>
      <c r="M397" s="410"/>
      <c r="N397" s="410"/>
      <c r="O397" s="410"/>
      <c r="P397" s="410"/>
      <c r="Q397" s="410"/>
      <c r="R397" s="410"/>
      <c r="S397" s="410"/>
    </row>
    <row r="398" spans="1:19" x14ac:dyDescent="0.25">
      <c r="A398" s="410"/>
      <c r="B398" s="410"/>
      <c r="C398" s="410"/>
      <c r="D398" s="410"/>
      <c r="E398" s="410"/>
      <c r="F398" s="410"/>
      <c r="G398" s="410"/>
      <c r="H398" s="410"/>
      <c r="I398" s="410"/>
      <c r="J398" s="410"/>
      <c r="K398" s="410"/>
      <c r="L398" s="410"/>
      <c r="M398" s="410"/>
      <c r="N398" s="410"/>
      <c r="O398" s="410"/>
      <c r="P398" s="410"/>
      <c r="Q398" s="410"/>
      <c r="R398" s="410"/>
      <c r="S398" s="410"/>
    </row>
    <row r="406" spans="1:19" x14ac:dyDescent="0.25">
      <c r="A406" s="410"/>
      <c r="B406" s="410"/>
      <c r="C406" s="410"/>
      <c r="D406" s="410"/>
      <c r="E406" s="410"/>
      <c r="F406" s="410"/>
      <c r="G406" s="410"/>
      <c r="H406" s="410"/>
      <c r="I406" s="410"/>
      <c r="J406" s="410"/>
      <c r="K406" s="410"/>
      <c r="L406" s="410"/>
      <c r="M406" s="410"/>
      <c r="N406" s="410"/>
      <c r="O406" s="410"/>
      <c r="P406" s="410"/>
      <c r="Q406" s="410"/>
      <c r="R406" s="410"/>
      <c r="S406" s="410"/>
    </row>
    <row r="427" spans="1:19" x14ac:dyDescent="0.25">
      <c r="A427" s="410"/>
      <c r="B427" s="410"/>
      <c r="C427" s="410"/>
      <c r="D427" s="410"/>
      <c r="E427" s="410"/>
      <c r="F427" s="410"/>
      <c r="G427" s="410"/>
      <c r="H427" s="410"/>
      <c r="I427" s="410"/>
      <c r="J427" s="410"/>
      <c r="K427" s="410"/>
      <c r="L427" s="410"/>
      <c r="M427" s="410"/>
      <c r="N427" s="410"/>
      <c r="O427" s="410"/>
      <c r="P427" s="410"/>
      <c r="Q427" s="410"/>
      <c r="R427" s="410"/>
      <c r="S427" s="410"/>
    </row>
    <row r="437" spans="1:19" x14ac:dyDescent="0.25">
      <c r="A437" s="410"/>
      <c r="B437" s="410"/>
      <c r="C437" s="410"/>
      <c r="D437" s="410"/>
      <c r="E437" s="410"/>
      <c r="F437" s="410"/>
      <c r="G437" s="410"/>
      <c r="H437" s="410"/>
      <c r="I437" s="410"/>
      <c r="J437" s="410"/>
      <c r="K437" s="410"/>
      <c r="L437" s="410"/>
      <c r="M437" s="410"/>
      <c r="N437" s="410"/>
      <c r="O437" s="410"/>
      <c r="P437" s="410"/>
      <c r="Q437" s="410"/>
      <c r="R437" s="410"/>
      <c r="S437" s="410"/>
    </row>
    <row r="439" spans="1:19" x14ac:dyDescent="0.25">
      <c r="A439" s="410"/>
      <c r="B439" s="410"/>
      <c r="C439" s="410"/>
      <c r="D439" s="410"/>
      <c r="E439" s="410"/>
      <c r="F439" s="410"/>
      <c r="G439" s="410"/>
      <c r="H439" s="410"/>
      <c r="I439" s="410"/>
      <c r="J439" s="410"/>
      <c r="K439" s="410"/>
      <c r="L439" s="410"/>
      <c r="M439" s="410"/>
      <c r="N439" s="410"/>
      <c r="O439" s="410"/>
      <c r="P439" s="410"/>
      <c r="Q439" s="410"/>
      <c r="R439" s="410"/>
      <c r="S439" s="410"/>
    </row>
    <row r="440" spans="1:19" x14ac:dyDescent="0.25">
      <c r="A440" s="410"/>
      <c r="B440" s="410"/>
      <c r="C440" s="410"/>
      <c r="D440" s="410"/>
      <c r="E440" s="410"/>
      <c r="F440" s="410"/>
      <c r="G440" s="410"/>
      <c r="H440" s="410"/>
      <c r="I440" s="410"/>
      <c r="J440" s="410"/>
      <c r="K440" s="410"/>
      <c r="L440" s="410"/>
      <c r="M440" s="410"/>
      <c r="N440" s="410"/>
      <c r="O440" s="410"/>
      <c r="P440" s="410"/>
      <c r="Q440" s="410"/>
      <c r="R440" s="410"/>
      <c r="S440" s="410"/>
    </row>
    <row r="441" spans="1:19" x14ac:dyDescent="0.25">
      <c r="A441" s="410"/>
      <c r="B441" s="410"/>
      <c r="C441" s="410"/>
      <c r="D441" s="410"/>
      <c r="E441" s="410"/>
      <c r="F441" s="410"/>
      <c r="G441" s="410"/>
      <c r="H441" s="410"/>
      <c r="I441" s="410"/>
      <c r="J441" s="410"/>
      <c r="K441" s="410"/>
      <c r="L441" s="410"/>
      <c r="M441" s="410"/>
      <c r="N441" s="410"/>
      <c r="O441" s="410"/>
      <c r="P441" s="410"/>
      <c r="Q441" s="410"/>
      <c r="R441" s="410"/>
      <c r="S441" s="410"/>
    </row>
    <row r="442" spans="1:19" x14ac:dyDescent="0.25">
      <c r="A442" s="410"/>
      <c r="B442" s="410"/>
      <c r="C442" s="410"/>
      <c r="D442" s="410"/>
      <c r="E442" s="410"/>
      <c r="F442" s="410"/>
      <c r="G442" s="410"/>
      <c r="H442" s="410"/>
      <c r="I442" s="410"/>
      <c r="J442" s="410"/>
      <c r="K442" s="410"/>
      <c r="L442" s="410"/>
      <c r="M442" s="410"/>
      <c r="N442" s="410"/>
      <c r="O442" s="410"/>
      <c r="P442" s="410"/>
      <c r="Q442" s="410"/>
      <c r="R442" s="410"/>
      <c r="S442" s="410"/>
    </row>
    <row r="443" spans="1:19" x14ac:dyDescent="0.25">
      <c r="A443" s="410"/>
      <c r="B443" s="410"/>
      <c r="C443" s="410"/>
      <c r="D443" s="410"/>
      <c r="E443" s="410"/>
      <c r="F443" s="410"/>
      <c r="G443" s="410"/>
      <c r="H443" s="410"/>
      <c r="I443" s="410"/>
      <c r="J443" s="410"/>
      <c r="K443" s="410"/>
      <c r="L443" s="410"/>
      <c r="M443" s="410"/>
      <c r="N443" s="410"/>
      <c r="O443" s="410"/>
      <c r="P443" s="410"/>
      <c r="Q443" s="410"/>
      <c r="R443" s="410"/>
      <c r="S443" s="410"/>
    </row>
    <row r="444" spans="1:19" x14ac:dyDescent="0.25">
      <c r="A444" s="410"/>
      <c r="B444" s="410"/>
      <c r="C444" s="410"/>
      <c r="D444" s="410"/>
      <c r="E444" s="410"/>
      <c r="F444" s="410"/>
      <c r="G444" s="410"/>
      <c r="H444" s="410"/>
      <c r="I444" s="410"/>
      <c r="J444" s="410"/>
      <c r="K444" s="410"/>
      <c r="L444" s="410"/>
      <c r="M444" s="410"/>
      <c r="N444" s="410"/>
      <c r="O444" s="410"/>
      <c r="P444" s="410"/>
      <c r="Q444" s="410"/>
      <c r="R444" s="410"/>
      <c r="S444" s="410"/>
    </row>
    <row r="445" spans="1:19" x14ac:dyDescent="0.25">
      <c r="A445" s="410"/>
      <c r="B445" s="410"/>
      <c r="C445" s="410"/>
      <c r="D445" s="410"/>
      <c r="E445" s="410"/>
      <c r="F445" s="410"/>
      <c r="G445" s="410"/>
      <c r="H445" s="410"/>
      <c r="I445" s="410"/>
      <c r="J445" s="410"/>
      <c r="K445" s="410"/>
      <c r="L445" s="410"/>
      <c r="M445" s="410"/>
      <c r="N445" s="410"/>
      <c r="O445" s="410"/>
      <c r="P445" s="410"/>
      <c r="Q445" s="410"/>
      <c r="R445" s="410"/>
      <c r="S445" s="410"/>
    </row>
    <row r="447" spans="1:19" ht="15.6" x14ac:dyDescent="0.3">
      <c r="A447" s="352"/>
      <c r="K447" s="363"/>
    </row>
    <row r="448" spans="1:19" x14ac:dyDescent="0.25">
      <c r="A448" s="352"/>
    </row>
    <row r="449" spans="1:19" x14ac:dyDescent="0.25">
      <c r="A449" s="352"/>
    </row>
    <row r="450" spans="1:19" x14ac:dyDescent="0.25">
      <c r="A450" s="410"/>
      <c r="B450" s="410"/>
      <c r="C450" s="410"/>
      <c r="D450" s="410"/>
      <c r="E450" s="410"/>
      <c r="F450" s="410"/>
      <c r="G450" s="410"/>
      <c r="H450" s="410"/>
      <c r="I450" s="410"/>
      <c r="J450" s="410"/>
      <c r="K450" s="410"/>
      <c r="L450" s="410"/>
      <c r="M450" s="410"/>
      <c r="N450" s="410"/>
      <c r="O450" s="410"/>
      <c r="P450" s="410"/>
      <c r="Q450" s="410"/>
      <c r="R450" s="410"/>
      <c r="S450" s="410"/>
    </row>
    <row r="457" spans="1:19" x14ac:dyDescent="0.25">
      <c r="A457" s="410"/>
      <c r="B457" s="410"/>
      <c r="C457" s="410"/>
      <c r="D457" s="410"/>
      <c r="E457" s="410"/>
      <c r="F457" s="410"/>
      <c r="G457" s="410"/>
      <c r="H457" s="410"/>
      <c r="I457" s="410"/>
      <c r="J457" s="410"/>
      <c r="K457" s="410"/>
      <c r="L457" s="410"/>
      <c r="M457" s="410"/>
      <c r="N457" s="410"/>
      <c r="O457" s="410"/>
      <c r="P457" s="410"/>
      <c r="Q457" s="410"/>
      <c r="R457" s="410"/>
      <c r="S457" s="410"/>
    </row>
    <row r="461" spans="1:19" x14ac:dyDescent="0.25">
      <c r="A461" s="410"/>
      <c r="B461" s="410"/>
      <c r="C461" s="410"/>
      <c r="D461" s="410"/>
      <c r="E461" s="410"/>
      <c r="F461" s="410"/>
      <c r="G461" s="410"/>
      <c r="H461" s="410"/>
      <c r="I461" s="410"/>
      <c r="J461" s="410"/>
      <c r="K461" s="410"/>
      <c r="L461" s="410"/>
      <c r="M461" s="410"/>
      <c r="N461" s="410"/>
      <c r="O461" s="410"/>
      <c r="P461" s="410"/>
      <c r="Q461" s="410"/>
      <c r="R461" s="410"/>
      <c r="S461" s="410"/>
    </row>
    <row r="462" spans="1:19" x14ac:dyDescent="0.25">
      <c r="A462" s="410"/>
      <c r="B462" s="410"/>
      <c r="C462" s="410"/>
      <c r="D462" s="410"/>
      <c r="E462" s="410"/>
      <c r="F462" s="410"/>
      <c r="G462" s="410"/>
      <c r="H462" s="410"/>
      <c r="I462" s="410"/>
      <c r="J462" s="410"/>
      <c r="K462" s="410"/>
      <c r="L462" s="410"/>
      <c r="M462" s="410"/>
      <c r="N462" s="410"/>
      <c r="O462" s="410"/>
      <c r="P462" s="410"/>
      <c r="Q462" s="410"/>
      <c r="R462" s="410"/>
      <c r="S462" s="410"/>
    </row>
    <row r="465" spans="1:19" x14ac:dyDescent="0.25">
      <c r="A465" s="410"/>
      <c r="B465" s="410"/>
      <c r="C465" s="410"/>
      <c r="D465" s="410"/>
      <c r="E465" s="410"/>
      <c r="F465" s="410"/>
      <c r="G465" s="410"/>
      <c r="H465" s="410"/>
      <c r="I465" s="410"/>
      <c r="J465" s="410"/>
      <c r="K465" s="410"/>
      <c r="L465" s="410"/>
      <c r="M465" s="410"/>
      <c r="N465" s="410"/>
      <c r="O465" s="410"/>
      <c r="P465" s="410"/>
      <c r="Q465" s="410"/>
      <c r="R465" s="410"/>
      <c r="S465" s="410"/>
    </row>
    <row r="466" spans="1:19" x14ac:dyDescent="0.25">
      <c r="A466" s="410"/>
      <c r="B466" s="410"/>
      <c r="C466" s="410"/>
      <c r="D466" s="410"/>
      <c r="E466" s="410"/>
      <c r="F466" s="410"/>
      <c r="G466" s="410"/>
      <c r="H466" s="410"/>
      <c r="I466" s="410"/>
      <c r="J466" s="410"/>
      <c r="K466" s="410"/>
      <c r="L466" s="410"/>
      <c r="M466" s="410"/>
      <c r="N466" s="410"/>
      <c r="O466" s="410"/>
      <c r="P466" s="410"/>
      <c r="Q466" s="410"/>
      <c r="R466" s="410"/>
      <c r="S466" s="410"/>
    </row>
    <row r="467" spans="1:19" x14ac:dyDescent="0.25">
      <c r="A467" s="410"/>
      <c r="B467" s="410"/>
      <c r="C467" s="410"/>
      <c r="D467" s="410"/>
      <c r="E467" s="410"/>
      <c r="F467" s="410"/>
      <c r="G467" s="410"/>
      <c r="H467" s="410"/>
      <c r="I467" s="410"/>
      <c r="J467" s="410"/>
      <c r="K467" s="410"/>
      <c r="L467" s="410"/>
      <c r="M467" s="410"/>
      <c r="N467" s="410"/>
      <c r="O467" s="410"/>
      <c r="P467" s="410"/>
      <c r="Q467" s="410"/>
      <c r="R467" s="410"/>
      <c r="S467" s="410"/>
    </row>
    <row r="468" spans="1:19" x14ac:dyDescent="0.25">
      <c r="A468" s="412"/>
      <c r="B468" s="411"/>
      <c r="C468" s="411"/>
      <c r="D468" s="411"/>
      <c r="E468" s="411"/>
      <c r="F468" s="411"/>
      <c r="G468" s="413"/>
      <c r="H468" s="411"/>
      <c r="I468" s="411"/>
      <c r="J468" s="411"/>
      <c r="K468" s="411"/>
      <c r="L468" s="411"/>
      <c r="M468" s="411"/>
      <c r="N468" s="381"/>
      <c r="O468" s="381"/>
      <c r="P468" s="381"/>
      <c r="Q468" s="381"/>
      <c r="R468" s="381"/>
      <c r="S468" s="381"/>
    </row>
    <row r="469" spans="1:19" x14ac:dyDescent="0.25">
      <c r="A469" s="410"/>
      <c r="B469" s="410"/>
      <c r="C469" s="410"/>
      <c r="D469" s="410"/>
      <c r="E469" s="410"/>
      <c r="F469" s="410"/>
      <c r="G469" s="410"/>
      <c r="H469" s="410"/>
      <c r="I469" s="410"/>
      <c r="J469" s="410"/>
      <c r="K469" s="410"/>
      <c r="L469" s="410"/>
      <c r="M469" s="410"/>
      <c r="N469" s="410"/>
      <c r="O469" s="410"/>
      <c r="P469" s="410"/>
      <c r="Q469" s="410"/>
      <c r="R469" s="410"/>
      <c r="S469" s="410"/>
    </row>
    <row r="471" spans="1:19" x14ac:dyDescent="0.25">
      <c r="A471" s="412"/>
      <c r="B471" s="411"/>
      <c r="C471" s="411"/>
      <c r="D471" s="411"/>
      <c r="E471" s="411"/>
      <c r="F471" s="411"/>
      <c r="G471" s="413"/>
      <c r="H471" s="411"/>
      <c r="I471" s="411"/>
      <c r="J471" s="411"/>
      <c r="K471" s="411"/>
      <c r="L471" s="411"/>
      <c r="M471" s="411"/>
      <c r="N471" s="381"/>
      <c r="O471" s="381"/>
      <c r="P471" s="381"/>
      <c r="Q471" s="381"/>
      <c r="R471" s="381"/>
      <c r="S471" s="381"/>
    </row>
    <row r="481" spans="1:19" x14ac:dyDescent="0.25">
      <c r="A481" s="410"/>
      <c r="B481" s="410"/>
      <c r="C481" s="410"/>
      <c r="D481" s="410"/>
      <c r="E481" s="410"/>
      <c r="F481" s="410"/>
      <c r="G481" s="410"/>
      <c r="H481" s="410"/>
      <c r="I481" s="410"/>
      <c r="J481" s="410"/>
      <c r="K481" s="410"/>
      <c r="L481" s="410"/>
      <c r="M481" s="410"/>
      <c r="N481" s="410"/>
      <c r="O481" s="410"/>
      <c r="P481" s="410"/>
      <c r="Q481" s="410"/>
      <c r="R481" s="410"/>
      <c r="S481" s="410"/>
    </row>
    <row r="491" spans="1:19" x14ac:dyDescent="0.25">
      <c r="A491" s="410"/>
      <c r="B491" s="410"/>
      <c r="C491" s="410"/>
      <c r="D491" s="410"/>
      <c r="E491" s="410"/>
      <c r="F491" s="410"/>
      <c r="G491" s="410"/>
      <c r="H491" s="410"/>
      <c r="I491" s="410"/>
      <c r="J491" s="410"/>
      <c r="K491" s="410"/>
      <c r="L491" s="410"/>
      <c r="M491" s="410"/>
      <c r="N491" s="410"/>
      <c r="O491" s="410"/>
      <c r="P491" s="410"/>
      <c r="Q491" s="410"/>
      <c r="R491" s="410"/>
      <c r="S491" s="410"/>
    </row>
    <row r="501" spans="1:19" x14ac:dyDescent="0.25">
      <c r="A501" s="352"/>
      <c r="G501" s="352"/>
    </row>
    <row r="502" spans="1:19" x14ac:dyDescent="0.25">
      <c r="A502" s="352"/>
      <c r="G502" s="352"/>
    </row>
    <row r="503" spans="1:19" x14ac:dyDescent="0.25">
      <c r="A503" s="352"/>
      <c r="G503" s="352"/>
    </row>
    <row r="504" spans="1:19" x14ac:dyDescent="0.25">
      <c r="A504" s="352"/>
      <c r="G504" s="352"/>
    </row>
    <row r="505" spans="1:19" x14ac:dyDescent="0.25">
      <c r="A505" s="352"/>
      <c r="G505" s="352"/>
    </row>
    <row r="506" spans="1:19" x14ac:dyDescent="0.25">
      <c r="A506" s="352"/>
      <c r="G506" s="352"/>
    </row>
    <row r="507" spans="1:19" x14ac:dyDescent="0.25">
      <c r="A507" s="352"/>
      <c r="G507" s="352"/>
    </row>
    <row r="508" spans="1:19" x14ac:dyDescent="0.25">
      <c r="A508" s="352"/>
      <c r="G508" s="352"/>
    </row>
    <row r="510" spans="1:19" x14ac:dyDescent="0.25">
      <c r="A510" s="410"/>
      <c r="B510" s="410"/>
      <c r="C510" s="410"/>
      <c r="D510" s="410"/>
      <c r="E510" s="410"/>
      <c r="F510" s="410"/>
      <c r="G510" s="410"/>
      <c r="H510" s="410"/>
      <c r="I510" s="410"/>
      <c r="J510" s="410"/>
      <c r="K510" s="410"/>
      <c r="L510" s="410"/>
      <c r="M510" s="410"/>
      <c r="N510" s="410"/>
      <c r="O510" s="410"/>
      <c r="P510" s="410"/>
      <c r="Q510" s="410"/>
      <c r="R510" s="410"/>
      <c r="S510" s="410"/>
    </row>
    <row r="511" spans="1:19" x14ac:dyDescent="0.25">
      <c r="A511" s="410"/>
      <c r="B511" s="410"/>
      <c r="C511" s="410"/>
      <c r="D511" s="410"/>
      <c r="E511" s="410"/>
      <c r="F511" s="410"/>
      <c r="G511" s="410"/>
      <c r="H511" s="410"/>
      <c r="I511" s="410"/>
      <c r="J511" s="410"/>
      <c r="K511" s="410"/>
      <c r="L511" s="410"/>
      <c r="M511" s="410"/>
      <c r="N511" s="410"/>
      <c r="O511" s="410"/>
      <c r="P511" s="410"/>
      <c r="Q511" s="410"/>
      <c r="R511" s="410"/>
      <c r="S511" s="410"/>
    </row>
    <row r="512" spans="1:19" x14ac:dyDescent="0.25">
      <c r="A512" s="410"/>
      <c r="B512" s="410"/>
      <c r="C512" s="410"/>
      <c r="D512" s="410"/>
      <c r="E512" s="410"/>
      <c r="F512" s="410"/>
      <c r="G512" s="410"/>
      <c r="H512" s="410"/>
      <c r="I512" s="410"/>
      <c r="J512" s="410"/>
      <c r="K512" s="410"/>
      <c r="L512" s="410"/>
      <c r="M512" s="410"/>
      <c r="N512" s="410"/>
      <c r="O512" s="410"/>
      <c r="P512" s="410"/>
      <c r="Q512" s="410"/>
      <c r="R512" s="410"/>
      <c r="S512" s="410"/>
    </row>
    <row r="513" spans="1:19" x14ac:dyDescent="0.25">
      <c r="A513" s="410"/>
      <c r="B513" s="410"/>
      <c r="C513" s="410"/>
      <c r="D513" s="410"/>
      <c r="E513" s="410"/>
      <c r="F513" s="410"/>
      <c r="G513" s="410"/>
      <c r="H513" s="410"/>
      <c r="I513" s="410"/>
      <c r="J513" s="410"/>
      <c r="K513" s="410"/>
      <c r="L513" s="410"/>
      <c r="M513" s="410"/>
      <c r="N513" s="410"/>
      <c r="O513" s="410"/>
      <c r="P513" s="410"/>
      <c r="Q513" s="410"/>
      <c r="R513" s="410"/>
      <c r="S513" s="410"/>
    </row>
    <row r="514" spans="1:19" x14ac:dyDescent="0.25">
      <c r="A514" s="410"/>
      <c r="B514" s="410"/>
      <c r="C514" s="410"/>
      <c r="D514" s="410"/>
      <c r="E514" s="410"/>
      <c r="F514" s="410"/>
      <c r="G514" s="410"/>
      <c r="H514" s="410"/>
      <c r="I514" s="410"/>
      <c r="J514" s="410"/>
      <c r="K514" s="410"/>
      <c r="L514" s="410"/>
      <c r="M514" s="410"/>
      <c r="N514" s="410"/>
      <c r="O514" s="410"/>
      <c r="P514" s="410"/>
      <c r="Q514" s="410"/>
      <c r="R514" s="410"/>
      <c r="S514" s="410"/>
    </row>
    <row r="515" spans="1:19" x14ac:dyDescent="0.25">
      <c r="A515" s="410"/>
      <c r="B515" s="410"/>
      <c r="C515" s="410"/>
      <c r="D515" s="410"/>
      <c r="E515" s="410"/>
      <c r="F515" s="410"/>
      <c r="G515" s="410"/>
      <c r="H515" s="410"/>
      <c r="I515" s="410"/>
      <c r="J515" s="410"/>
      <c r="K515" s="410"/>
      <c r="L515" s="410"/>
      <c r="M515" s="410"/>
      <c r="N515" s="410"/>
      <c r="O515" s="410"/>
      <c r="P515" s="410"/>
      <c r="Q515" s="410"/>
      <c r="R515" s="410"/>
      <c r="S515" s="410"/>
    </row>
    <row r="516" spans="1:19" x14ac:dyDescent="0.25">
      <c r="A516" s="410"/>
      <c r="B516" s="410"/>
      <c r="C516" s="410"/>
      <c r="D516" s="410"/>
      <c r="E516" s="410"/>
      <c r="F516" s="410"/>
      <c r="G516" s="410"/>
      <c r="H516" s="410"/>
      <c r="I516" s="410"/>
      <c r="J516" s="410"/>
      <c r="K516" s="410"/>
      <c r="L516" s="410"/>
      <c r="M516" s="410"/>
      <c r="N516" s="410"/>
      <c r="O516" s="410"/>
      <c r="P516" s="410"/>
      <c r="Q516" s="410"/>
      <c r="R516" s="410"/>
      <c r="S516" s="410"/>
    </row>
    <row r="517" spans="1:19" x14ac:dyDescent="0.25">
      <c r="A517" s="410"/>
      <c r="B517" s="410"/>
      <c r="C517" s="410"/>
      <c r="D517" s="410"/>
      <c r="E517" s="410"/>
      <c r="F517" s="410"/>
      <c r="G517" s="410"/>
      <c r="H517" s="410"/>
      <c r="I517" s="410"/>
      <c r="J517" s="410"/>
      <c r="K517" s="410"/>
      <c r="L517" s="410"/>
      <c r="M517" s="410"/>
      <c r="N517" s="410"/>
      <c r="O517" s="410"/>
      <c r="P517" s="410"/>
      <c r="Q517" s="410"/>
      <c r="R517" s="410"/>
      <c r="S517" s="410"/>
    </row>
    <row r="518" spans="1:19" x14ac:dyDescent="0.25">
      <c r="A518" s="410"/>
      <c r="B518" s="410"/>
      <c r="C518" s="410"/>
      <c r="D518" s="410"/>
      <c r="E518" s="410"/>
      <c r="F518" s="410"/>
      <c r="G518" s="410"/>
      <c r="H518" s="410"/>
      <c r="I518" s="410"/>
      <c r="J518" s="410"/>
      <c r="K518" s="410"/>
      <c r="L518" s="410"/>
      <c r="M518" s="410"/>
      <c r="N518" s="410"/>
      <c r="O518" s="410"/>
      <c r="P518" s="410"/>
      <c r="Q518" s="410"/>
      <c r="R518" s="410"/>
      <c r="S518" s="410"/>
    </row>
    <row r="519" spans="1:19" x14ac:dyDescent="0.25">
      <c r="A519" s="410"/>
      <c r="B519" s="410"/>
      <c r="C519" s="410"/>
      <c r="D519" s="410"/>
      <c r="E519" s="410"/>
      <c r="F519" s="410"/>
      <c r="G519" s="410"/>
      <c r="H519" s="410"/>
      <c r="I519" s="410"/>
      <c r="J519" s="410"/>
      <c r="K519" s="410"/>
      <c r="L519" s="410"/>
      <c r="M519" s="410"/>
      <c r="N519" s="410"/>
      <c r="O519" s="410"/>
      <c r="P519" s="410"/>
      <c r="Q519" s="410"/>
      <c r="R519" s="410"/>
      <c r="S519" s="410"/>
    </row>
    <row r="520" spans="1:19" x14ac:dyDescent="0.25">
      <c r="A520" s="410"/>
      <c r="B520" s="410"/>
      <c r="C520" s="410"/>
      <c r="D520" s="410"/>
      <c r="E520" s="410"/>
      <c r="F520" s="410"/>
      <c r="G520" s="410"/>
      <c r="H520" s="410"/>
      <c r="I520" s="410"/>
      <c r="J520" s="410"/>
      <c r="K520" s="410"/>
      <c r="L520" s="410"/>
      <c r="M520" s="410"/>
      <c r="N520" s="410"/>
      <c r="O520" s="410"/>
      <c r="P520" s="410"/>
      <c r="Q520" s="410"/>
      <c r="R520" s="410"/>
      <c r="S520" s="410"/>
    </row>
    <row r="521" spans="1:19" x14ac:dyDescent="0.25">
      <c r="A521" s="410"/>
      <c r="B521" s="410"/>
      <c r="C521" s="410"/>
      <c r="D521" s="410"/>
      <c r="E521" s="410"/>
      <c r="F521" s="410"/>
      <c r="G521" s="410"/>
      <c r="H521" s="410"/>
      <c r="I521" s="410"/>
      <c r="J521" s="410"/>
      <c r="K521" s="410"/>
      <c r="L521" s="410"/>
      <c r="M521" s="410"/>
      <c r="N521" s="410"/>
      <c r="O521" s="410"/>
      <c r="P521" s="410"/>
      <c r="Q521" s="410"/>
      <c r="R521" s="410"/>
      <c r="S521" s="410"/>
    </row>
    <row r="522" spans="1:19" x14ac:dyDescent="0.25">
      <c r="A522" s="410"/>
      <c r="B522" s="410"/>
      <c r="C522" s="410"/>
      <c r="D522" s="410"/>
      <c r="E522" s="410"/>
      <c r="F522" s="410"/>
      <c r="G522" s="410"/>
      <c r="H522" s="410"/>
      <c r="I522" s="410"/>
      <c r="J522" s="410"/>
      <c r="K522" s="410"/>
      <c r="L522" s="410"/>
      <c r="M522" s="410"/>
      <c r="N522" s="410"/>
      <c r="O522" s="410"/>
      <c r="P522" s="410"/>
      <c r="Q522" s="410"/>
      <c r="R522" s="410"/>
      <c r="S522" s="410"/>
    </row>
    <row r="523" spans="1:19" x14ac:dyDescent="0.25">
      <c r="A523" s="410"/>
      <c r="B523" s="410"/>
      <c r="C523" s="410"/>
      <c r="D523" s="410"/>
      <c r="E523" s="410"/>
      <c r="F523" s="410"/>
      <c r="G523" s="410"/>
      <c r="H523" s="410"/>
      <c r="I523" s="410"/>
      <c r="J523" s="410"/>
      <c r="K523" s="410"/>
      <c r="L523" s="410"/>
      <c r="M523" s="410"/>
      <c r="N523" s="410"/>
      <c r="O523" s="410"/>
      <c r="P523" s="410"/>
      <c r="Q523" s="410"/>
      <c r="R523" s="410"/>
      <c r="S523" s="410"/>
    </row>
    <row r="524" spans="1:19" x14ac:dyDescent="0.25">
      <c r="A524" s="410"/>
      <c r="B524" s="410"/>
      <c r="C524" s="410"/>
      <c r="D524" s="410"/>
      <c r="E524" s="410"/>
      <c r="F524" s="410"/>
      <c r="G524" s="410"/>
      <c r="H524" s="410"/>
      <c r="I524" s="410"/>
      <c r="J524" s="410"/>
      <c r="K524" s="410"/>
      <c r="L524" s="410"/>
      <c r="M524" s="410"/>
      <c r="N524" s="410"/>
      <c r="O524" s="410"/>
      <c r="P524" s="410"/>
      <c r="Q524" s="410"/>
      <c r="R524" s="410"/>
      <c r="S524" s="410"/>
    </row>
    <row r="525" spans="1:19" x14ac:dyDescent="0.25">
      <c r="A525" s="410"/>
      <c r="B525" s="410"/>
      <c r="C525" s="410"/>
      <c r="D525" s="410"/>
      <c r="E525" s="410"/>
      <c r="F525" s="410"/>
      <c r="G525" s="410"/>
      <c r="H525" s="410"/>
      <c r="I525" s="410"/>
      <c r="J525" s="410"/>
      <c r="K525" s="410"/>
      <c r="L525" s="410"/>
      <c r="M525" s="410"/>
      <c r="N525" s="410"/>
      <c r="O525" s="410"/>
      <c r="P525" s="410"/>
      <c r="Q525" s="410"/>
      <c r="R525" s="410"/>
      <c r="S525" s="410"/>
    </row>
    <row r="531" spans="1:19" x14ac:dyDescent="0.25">
      <c r="A531" s="410"/>
      <c r="B531" s="410"/>
      <c r="C531" s="410"/>
      <c r="D531" s="410"/>
      <c r="E531" s="410"/>
      <c r="F531" s="410"/>
      <c r="G531" s="410"/>
      <c r="H531" s="410"/>
      <c r="I531" s="410"/>
      <c r="J531" s="410"/>
      <c r="K531" s="410"/>
      <c r="L531" s="410"/>
      <c r="M531" s="410"/>
      <c r="N531" s="410"/>
      <c r="O531" s="410"/>
      <c r="P531" s="410"/>
      <c r="Q531" s="410"/>
      <c r="R531" s="410"/>
      <c r="S531" s="410"/>
    </row>
    <row r="534" spans="1:19" x14ac:dyDescent="0.25">
      <c r="A534" s="410"/>
      <c r="B534" s="410"/>
      <c r="C534" s="410"/>
      <c r="D534" s="410"/>
      <c r="E534" s="410"/>
      <c r="F534" s="410"/>
      <c r="G534" s="410"/>
      <c r="H534" s="410"/>
      <c r="I534" s="410"/>
      <c r="J534" s="410"/>
      <c r="K534" s="410"/>
      <c r="L534" s="410"/>
      <c r="M534" s="410"/>
      <c r="N534" s="410"/>
      <c r="O534" s="410"/>
      <c r="P534" s="410"/>
      <c r="Q534" s="410"/>
      <c r="R534" s="410"/>
      <c r="S534" s="410"/>
    </row>
  </sheetData>
  <mergeCells count="3">
    <mergeCell ref="A68:Q68"/>
    <mergeCell ref="A71:Q71"/>
    <mergeCell ref="A74:Q74"/>
  </mergeCells>
  <pageMargins left="0.59055118110236227" right="0.39370078740157483" top="0.39370078740157483" bottom="0.19685039370078741" header="0.1968503937007874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C582-8C2D-4E83-914C-97CB23838799}">
  <dimension ref="A1:AB498"/>
  <sheetViews>
    <sheetView workbookViewId="0"/>
  </sheetViews>
  <sheetFormatPr baseColWidth="10" defaultColWidth="11.44140625" defaultRowHeight="13.2" x14ac:dyDescent="0.25"/>
  <cols>
    <col min="1" max="1" width="4.6640625" style="351" customWidth="1"/>
    <col min="2" max="3" width="4.6640625" style="352" customWidth="1"/>
    <col min="4" max="4" width="3" style="352" customWidth="1"/>
    <col min="5" max="5" width="8.6640625" style="352" customWidth="1"/>
    <col min="6" max="6" width="3.6640625" style="352" customWidth="1"/>
    <col min="7" max="7" width="6.6640625" style="379" customWidth="1"/>
    <col min="8" max="8" width="5.33203125" style="352" customWidth="1"/>
    <col min="9" max="9" width="6.44140625" style="352" customWidth="1"/>
    <col min="10" max="10" width="4.6640625" style="352" customWidth="1"/>
    <col min="11" max="11" width="5.6640625" style="352" customWidth="1"/>
    <col min="12" max="12" width="6.44140625" style="352" customWidth="1"/>
    <col min="13" max="13" width="4.44140625" style="352" customWidth="1"/>
    <col min="14" max="14" width="4.6640625" style="352" customWidth="1"/>
    <col min="15" max="15" width="2.6640625" style="352" customWidth="1"/>
    <col min="16" max="16" width="6.6640625" style="352" customWidth="1"/>
    <col min="17" max="17" width="7.6640625" style="352" customWidth="1"/>
    <col min="18" max="18" width="5.109375" style="352" customWidth="1"/>
    <col min="19" max="19" width="4.6640625" style="352" customWidth="1"/>
    <col min="20" max="16384" width="11.44140625" style="352"/>
  </cols>
  <sheetData>
    <row r="1" spans="1:17" s="447" customFormat="1" ht="32.25" customHeight="1" x14ac:dyDescent="0.55000000000000004">
      <c r="A1" s="446" t="s">
        <v>1001</v>
      </c>
      <c r="F1" s="448"/>
      <c r="J1" s="497"/>
      <c r="K1" s="498" t="s">
        <v>615</v>
      </c>
      <c r="L1" s="538" t="str">
        <f>IF(VLOOKUP($A$1,Database!$1:$1048576,Database!GZ$1,FALSE)=0,"-",VLOOKUP($A$1,Database!$1:$1048576,Database!GZ$1,FALSE))</f>
        <v>-</v>
      </c>
    </row>
    <row r="2" spans="1:17" s="356" customFormat="1" ht="25.5" customHeight="1" x14ac:dyDescent="0.6">
      <c r="B2" s="361" t="s">
        <v>349</v>
      </c>
      <c r="C2" s="454" t="str">
        <f>VLOOKUP($A$1,Database!$1:$1048576,Database!GC$1,FALSE)</f>
        <v>12 N 11</v>
      </c>
      <c r="F2" s="360"/>
    </row>
    <row r="3" spans="1:17" s="362" customFormat="1" ht="16.2" thickBot="1" x14ac:dyDescent="0.35">
      <c r="A3" s="369" t="s">
        <v>353</v>
      </c>
      <c r="E3" s="454" t="str">
        <f>VLOOKUP($A$1,Database!$1:$1048576,Database!C$1,FALSE)</f>
        <v>Bermuda</v>
      </c>
      <c r="F3" s="455"/>
    </row>
    <row r="4" spans="1:17" s="362" customFormat="1" ht="16.2" thickBot="1" x14ac:dyDescent="0.35">
      <c r="A4" s="369" t="s">
        <v>590</v>
      </c>
      <c r="E4" s="592">
        <f>G21/0.3048</f>
        <v>69.717847769028864</v>
      </c>
      <c r="F4" s="594" t="s">
        <v>7</v>
      </c>
      <c r="G4" s="424">
        <f>VLOOKUP($A$1,Database!$1:$1048576,Database!AP$1,FALSE)</f>
        <v>21.25</v>
      </c>
      <c r="H4" s="394" t="s">
        <v>375</v>
      </c>
      <c r="I4" s="589">
        <f>VLOOKUP($A$1,Database!$1:$1048576,Database!H$1,FALSE)</f>
        <v>183</v>
      </c>
      <c r="J4" s="590" t="s">
        <v>838</v>
      </c>
      <c r="K4" s="582"/>
      <c r="L4" s="591"/>
      <c r="P4" s="592">
        <f>VLOOKUP($A$1,Database!$1:$1048576,Database!BC$1,FALSE)</f>
        <v>33.693999999999996</v>
      </c>
      <c r="Q4" s="593" t="s">
        <v>854</v>
      </c>
    </row>
    <row r="5" spans="1:17" s="362" customFormat="1" ht="16.2" thickBot="1" x14ac:dyDescent="0.35">
      <c r="A5" s="369" t="s">
        <v>558</v>
      </c>
      <c r="E5" s="454" t="str">
        <f>VLOOKUP($A$1,Database!$1:$1048576,Database!GS$1,FALSE)</f>
        <v>Meterbåt</v>
      </c>
      <c r="F5" s="455"/>
      <c r="I5" s="658">
        <f>VLOOKUP($A$1,Database!$1:$1048576,Database!J$1,FALSE)</f>
        <v>1.66</v>
      </c>
      <c r="J5" s="600" t="s">
        <v>1000</v>
      </c>
      <c r="K5" s="582"/>
      <c r="L5" s="591"/>
    </row>
    <row r="6" spans="1:17" s="362" customFormat="1" ht="15.6" x14ac:dyDescent="0.3">
      <c r="A6" s="369" t="s">
        <v>361</v>
      </c>
      <c r="E6" s="454" t="str">
        <f>VLOOKUP($A$1,Database!$1:$1048576,Database!GT$1,FALSE)</f>
        <v>12 m R</v>
      </c>
      <c r="F6" s="455"/>
    </row>
    <row r="7" spans="1:17" s="362" customFormat="1" ht="15.6" x14ac:dyDescent="0.3">
      <c r="A7" s="369" t="s">
        <v>360</v>
      </c>
      <c r="E7" s="454" t="str">
        <f>VLOOKUP($A$1,Database!$1:$1048576,Database!GU$1,FALSE)</f>
        <v>Johan Anker</v>
      </c>
      <c r="F7" s="455"/>
    </row>
    <row r="8" spans="1:17" s="362" customFormat="1" ht="15.6" x14ac:dyDescent="0.3">
      <c r="A8" s="369" t="s">
        <v>358</v>
      </c>
      <c r="E8" s="454" t="str">
        <f>VLOOKUP($A$1,Database!$1:$1048576,Database!GV$1,FALSE)</f>
        <v>Anker &amp; Jensen, Vollen i Asker</v>
      </c>
      <c r="F8" s="455"/>
    </row>
    <row r="9" spans="1:17" s="362" customFormat="1" ht="15.6" x14ac:dyDescent="0.3">
      <c r="A9" s="369" t="s">
        <v>366</v>
      </c>
      <c r="E9" s="454">
        <f>VLOOKUP($A$1,Database!$1:$1048576,Database!GW$1,FALSE)</f>
        <v>1933</v>
      </c>
      <c r="F9" s="455"/>
    </row>
    <row r="10" spans="1:17" s="362" customFormat="1" ht="15.6" x14ac:dyDescent="0.3">
      <c r="A10" s="369" t="s">
        <v>422</v>
      </c>
      <c r="E10" s="454" t="str">
        <f>VLOOKUP($A$1,Database!$1:$1048576,Database!GY$1,FALSE)</f>
        <v>Hvit</v>
      </c>
      <c r="F10" s="455"/>
    </row>
    <row r="11" spans="1:17" s="362" customFormat="1" ht="15.6" x14ac:dyDescent="0.3">
      <c r="A11" s="369" t="s">
        <v>421</v>
      </c>
      <c r="E11" s="454" t="str">
        <f>VLOOKUP($A$1,Database!$1:$1048576,Database!GX$1,FALSE)</f>
        <v>Hvite</v>
      </c>
      <c r="F11" s="455"/>
    </row>
    <row r="12" spans="1:17" s="362" customFormat="1" ht="15.6" x14ac:dyDescent="0.3">
      <c r="A12" s="455" t="s">
        <v>2</v>
      </c>
      <c r="E12" s="457"/>
      <c r="F12" s="445"/>
      <c r="K12" s="456" t="s">
        <v>754</v>
      </c>
    </row>
    <row r="13" spans="1:17" s="362" customFormat="1" ht="15.6" x14ac:dyDescent="0.3">
      <c r="A13" s="454" t="str">
        <f>VLOOKUP($A$1,Database!$1:$1048576,Database!GD$1,FALSE)</f>
        <v>Eric Svenkerud</v>
      </c>
      <c r="K13" s="369" t="str">
        <f>IF(VLOOKUP($A$1,Database!$1:$1048576,Database!GL$1,FALSE)=0,"-",VLOOKUP($A$1,Database!$1:$1048576,Database!GL$1,FALSE))</f>
        <v>.-</v>
      </c>
      <c r="P13" s="361"/>
      <c r="Q13" s="369"/>
    </row>
    <row r="14" spans="1:17" s="362" customFormat="1" ht="15.6" x14ac:dyDescent="0.3">
      <c r="A14" s="369">
        <f>VLOOKUP($A$1,Database!$1:$1048576,Database!GG$1,FALSE)</f>
        <v>0</v>
      </c>
      <c r="K14" s="369" t="str">
        <f>IF(VLOOKUP($A$1,Database!$1:$1048576,Database!GO$1,FALSE)=0,"-",VLOOKUP($A$1,Database!$1:$1048576,Database!GO$1,FALSE))</f>
        <v>.-</v>
      </c>
      <c r="P14" s="361"/>
      <c r="Q14" s="369"/>
    </row>
    <row r="15" spans="1:17" s="362" customFormat="1" ht="15.6" x14ac:dyDescent="0.3">
      <c r="A15" s="454" t="str">
        <f>VLOOKUP($A$1,Database!$1:$1048576,Database!GH$1,FALSE)</f>
        <v>Oslo</v>
      </c>
      <c r="G15" s="370"/>
      <c r="I15" s="370"/>
      <c r="J15" s="507"/>
      <c r="K15" s="369" t="str">
        <f>IF(VLOOKUP($A$1,Database!$1:$1048576,Database!GP$1,FALSE)=0,"-",VLOOKUP($A$1,Database!$1:$1048576,Database!GP$1,FALSE))</f>
        <v>.-</v>
      </c>
    </row>
    <row r="16" spans="1:17" s="362" customFormat="1" ht="15.6" x14ac:dyDescent="0.3">
      <c r="A16" s="369" t="str">
        <f>VLOOKUP($A$1,Database!$1:$1048576,Database!GI$1,FALSE)</f>
        <v>Norge</v>
      </c>
      <c r="C16" s="369"/>
      <c r="D16" s="369"/>
      <c r="H16" s="508"/>
      <c r="I16" s="509"/>
      <c r="J16" s="361"/>
      <c r="K16" s="369" t="str">
        <f>IF(VLOOKUP($A$1,Database!$1:$1048576,Database!GQ$1,FALSE)=0,"-",VLOOKUP($A$1,Database!$1:$1048576,Database!GQ$1,FALSE))</f>
        <v>.-</v>
      </c>
      <c r="M16" s="369"/>
    </row>
    <row r="17" spans="1:28" s="362" customFormat="1" ht="15.6" x14ac:dyDescent="0.3">
      <c r="A17" s="352"/>
      <c r="B17" s="379" t="s">
        <v>350</v>
      </c>
      <c r="C17" s="351" t="str">
        <f>VLOOKUP($A$1,Database!$1:$1048576,Database!GE$1,FALSE)</f>
        <v>959 29 512</v>
      </c>
      <c r="D17" s="352"/>
      <c r="E17" s="352"/>
      <c r="K17" s="369" t="str">
        <f>IF(VLOOKUP($A$1,Database!$1:$1048576,Database!GM$1,FALSE)=0,"-",VLOOKUP($A$1,Database!$1:$1048576,Database!GM$1,FALSE))</f>
        <v>.-</v>
      </c>
      <c r="L17" s="457"/>
      <c r="P17" s="457"/>
      <c r="Q17" s="445"/>
    </row>
    <row r="18" spans="1:28" s="362" customFormat="1" ht="15.6" x14ac:dyDescent="0.3">
      <c r="A18" s="352"/>
      <c r="B18" s="379" t="s">
        <v>351</v>
      </c>
      <c r="C18" s="351" t="str">
        <f>VLOOKUP($A$1,Database!$1:$1048576,Database!GF$1,FALSE)</f>
        <v>ericsvenkerud@gmail.com</v>
      </c>
      <c r="D18" s="352"/>
      <c r="E18" s="352"/>
      <c r="K18" s="369" t="str">
        <f>IF(VLOOKUP($A$1,Database!$1:$1048576,Database!GN$1,FALSE)=0,"-",VLOOKUP($A$1,Database!$1:$1048576,Database!GN$1,FALSE))</f>
        <v>.-</v>
      </c>
      <c r="L18" s="457"/>
      <c r="P18" s="457"/>
      <c r="Q18" s="445"/>
    </row>
    <row r="19" spans="1:28" s="365" customFormat="1" ht="17.399999999999999" x14ac:dyDescent="0.3">
      <c r="A19" s="468"/>
      <c r="B19" s="467"/>
      <c r="C19" s="379" t="s">
        <v>419</v>
      </c>
      <c r="D19" s="351" t="str">
        <f>VLOOKUP($A$1,Database!$1:$1048576,Database!GJ$1,FALSE)</f>
        <v>KNS</v>
      </c>
      <c r="E19" s="352"/>
      <c r="H19" s="458"/>
      <c r="I19" s="459"/>
      <c r="J19" s="353"/>
      <c r="K19" s="402"/>
      <c r="L19" s="457"/>
      <c r="M19" s="460"/>
      <c r="N19" s="352"/>
      <c r="O19" s="352"/>
      <c r="P19" s="352"/>
      <c r="Q19" s="352"/>
      <c r="R19" s="352"/>
    </row>
    <row r="20" spans="1:28" s="450" customFormat="1" ht="17.399999999999999" x14ac:dyDescent="0.3">
      <c r="A20" s="382" t="s">
        <v>661</v>
      </c>
      <c r="G20" s="451"/>
      <c r="H20" s="452"/>
      <c r="K20" s="402"/>
      <c r="L20" s="457"/>
      <c r="M20" s="460"/>
      <c r="N20" s="352"/>
      <c r="O20" s="352"/>
      <c r="P20" s="352"/>
      <c r="Q20" s="352"/>
      <c r="R20" s="449"/>
      <c r="T20" s="453" t="e">
        <f>#REF!+1</f>
        <v>#REF!</v>
      </c>
    </row>
    <row r="21" spans="1:28" s="425" customFormat="1" ht="15.6" x14ac:dyDescent="0.3">
      <c r="A21" s="369" t="s">
        <v>374</v>
      </c>
      <c r="B21" s="352"/>
      <c r="C21" s="352"/>
      <c r="D21" s="352"/>
      <c r="E21" s="352"/>
      <c r="F21" s="402" t="s">
        <v>354</v>
      </c>
      <c r="G21" s="424">
        <f>VLOOKUP($A$1,Database!$1:$1048576,Database!AP$1,FALSE)</f>
        <v>21.25</v>
      </c>
      <c r="H21" s="351" t="s">
        <v>375</v>
      </c>
      <c r="I21" s="450"/>
      <c r="J21" s="450"/>
      <c r="K21" s="402"/>
      <c r="L21" s="457"/>
      <c r="M21" s="460"/>
      <c r="N21" s="352"/>
      <c r="O21" s="352"/>
      <c r="P21" s="352"/>
      <c r="Q21" s="352"/>
      <c r="T21" s="352"/>
      <c r="U21" s="379" t="s">
        <v>376</v>
      </c>
      <c r="V21" s="426">
        <f>G22/G21</f>
        <v>0.6550588235294118</v>
      </c>
      <c r="W21" s="351" t="s">
        <v>377</v>
      </c>
      <c r="X21" s="352"/>
    </row>
    <row r="22" spans="1:28" s="425" customFormat="1" ht="15.6" x14ac:dyDescent="0.3">
      <c r="A22" s="369" t="s">
        <v>740</v>
      </c>
      <c r="B22" s="352"/>
      <c r="C22" s="352"/>
      <c r="D22" s="352"/>
      <c r="E22" s="352"/>
      <c r="F22" s="402" t="s">
        <v>354</v>
      </c>
      <c r="G22" s="428">
        <f>IF(VLOOKUP($A$1,Database!$1:$1048576,Database!AQ$1,FALSE)=0,"?",VLOOKUP($A$1,Database!$1:$1048576,Database!AQ$1,FALSE))</f>
        <v>13.92</v>
      </c>
      <c r="H22" s="351" t="s">
        <v>375</v>
      </c>
      <c r="I22" s="450"/>
      <c r="J22" s="450"/>
      <c r="K22" s="402"/>
      <c r="L22" s="457"/>
      <c r="M22" s="460"/>
      <c r="N22" s="352"/>
      <c r="O22" s="352"/>
      <c r="P22" s="352"/>
      <c r="Q22" s="352"/>
      <c r="T22" s="352"/>
      <c r="U22" s="379" t="s">
        <v>379</v>
      </c>
      <c r="V22" s="426">
        <f>G23/G21</f>
        <v>0.16847058823529412</v>
      </c>
      <c r="W22" s="351" t="s">
        <v>380</v>
      </c>
      <c r="X22" s="352"/>
      <c r="Y22" s="352"/>
      <c r="Z22" s="352"/>
      <c r="AA22" s="352"/>
      <c r="AB22" s="352"/>
    </row>
    <row r="23" spans="1:28" s="425" customFormat="1" ht="15.6" x14ac:dyDescent="0.3">
      <c r="A23" s="369" t="s">
        <v>378</v>
      </c>
      <c r="B23" s="352"/>
      <c r="C23" s="352"/>
      <c r="D23" s="352"/>
      <c r="E23" s="352"/>
      <c r="F23" s="402" t="s">
        <v>354</v>
      </c>
      <c r="G23" s="424">
        <f>VLOOKUP($A$1,Database!$1:$1048576,Database!AR$1,FALSE)</f>
        <v>3.58</v>
      </c>
      <c r="H23" s="351" t="s">
        <v>375</v>
      </c>
      <c r="I23" s="351" t="s">
        <v>743</v>
      </c>
      <c r="J23" s="450"/>
      <c r="K23" s="402"/>
      <c r="L23" s="457"/>
      <c r="M23" s="460"/>
      <c r="N23" s="352"/>
      <c r="O23" s="352"/>
      <c r="P23" s="352"/>
      <c r="Q23" s="352"/>
      <c r="T23" s="352"/>
      <c r="Y23" s="352"/>
      <c r="Z23" s="352"/>
      <c r="AA23" s="387"/>
      <c r="AB23" s="352"/>
    </row>
    <row r="24" spans="1:28" s="425" customFormat="1" ht="15.6" x14ac:dyDescent="0.3">
      <c r="A24" s="369" t="s">
        <v>630</v>
      </c>
      <c r="B24" s="352"/>
      <c r="C24" s="352"/>
      <c r="D24" s="352"/>
      <c r="E24" s="352"/>
      <c r="F24" s="402" t="s">
        <v>354</v>
      </c>
      <c r="G24" s="471" t="str">
        <f>IF(VLOOKUP($A$1,Database!$1:$1048576,Database!AN$1,FALSE)=0,"-",VLOOKUP($A$1,Database!$1:$1048576,Database!AN$1,FALSE))</f>
        <v>Meter</v>
      </c>
      <c r="H24" s="351"/>
      <c r="I24" s="394"/>
      <c r="J24" s="394" t="s">
        <v>946</v>
      </c>
      <c r="T24" s="352"/>
      <c r="W24" s="352"/>
      <c r="X24" s="379"/>
      <c r="Y24" s="411"/>
      <c r="Z24" s="352"/>
      <c r="AA24" s="352"/>
      <c r="AB24" s="352"/>
    </row>
    <row r="25" spans="1:28" s="425" customFormat="1" ht="15.6" x14ac:dyDescent="0.3">
      <c r="A25" s="369" t="s">
        <v>607</v>
      </c>
      <c r="B25" s="352"/>
      <c r="C25" s="352"/>
      <c r="D25" s="352"/>
      <c r="E25" s="352"/>
      <c r="F25" s="402" t="s">
        <v>354</v>
      </c>
      <c r="G25" s="424">
        <f>VLOOKUP($A$1,Database!$1:$1048576,Database!AS$1,FALSE)</f>
        <v>2.9</v>
      </c>
      <c r="H25" s="351" t="s">
        <v>608</v>
      </c>
      <c r="T25" s="352"/>
      <c r="U25" s="379" t="s">
        <v>381</v>
      </c>
      <c r="V25" s="427">
        <f>G25/G22</f>
        <v>0.20833333333333331</v>
      </c>
      <c r="W25" s="351" t="s">
        <v>382</v>
      </c>
      <c r="Y25" s="352"/>
      <c r="AA25" s="424"/>
      <c r="AB25" s="352"/>
    </row>
    <row r="26" spans="1:28" s="425" customFormat="1" ht="15.6" x14ac:dyDescent="0.3">
      <c r="A26" s="369" t="s">
        <v>601</v>
      </c>
      <c r="B26" s="352"/>
      <c r="C26" s="352"/>
      <c r="D26" s="352"/>
      <c r="E26" s="352"/>
      <c r="F26" s="402" t="s">
        <v>354</v>
      </c>
      <c r="G26" s="428">
        <f>IF(VLOOKUP($A$1,Database!$1:$1048576,Database!AV$1,FALSE)=0,"-",VLOOKUP($A$1,Database!$1:$1048576,Database!AV$1,FALSE))</f>
        <v>16</v>
      </c>
      <c r="H26" s="351" t="s">
        <v>611</v>
      </c>
      <c r="I26" s="394"/>
      <c r="J26" s="352"/>
      <c r="T26" s="352"/>
      <c r="U26" s="379" t="s">
        <v>384</v>
      </c>
      <c r="V26" s="426" t="e">
        <f>(G27+G26)/#REF!</f>
        <v>#VALUE!</v>
      </c>
      <c r="W26" s="352" t="s">
        <v>385</v>
      </c>
      <c r="X26" s="352"/>
      <c r="Y26" s="352"/>
      <c r="Z26" s="352"/>
      <c r="AA26" s="429" t="e">
        <f>#REF!*0.36</f>
        <v>#REF!</v>
      </c>
      <c r="AB26" s="352" t="s">
        <v>386</v>
      </c>
    </row>
    <row r="27" spans="1:28" s="425" customFormat="1" ht="15.6" x14ac:dyDescent="0.3">
      <c r="A27" s="369" t="s">
        <v>602</v>
      </c>
      <c r="B27" s="352"/>
      <c r="C27" s="352"/>
      <c r="D27" s="352"/>
      <c r="E27" s="352"/>
      <c r="F27" s="402" t="s">
        <v>354</v>
      </c>
      <c r="G27" s="428" t="str">
        <f>IF(VLOOKUP($A$1,Database!$1:$1048576,Database!AW$1,FALSE)=0,"-",VLOOKUP($A$1,Database!$1:$1048576,Database!AW$1,FALSE))</f>
        <v>-</v>
      </c>
      <c r="H27" s="351" t="s">
        <v>611</v>
      </c>
      <c r="I27" s="394"/>
      <c r="J27" s="379"/>
      <c r="T27" s="352"/>
      <c r="W27" s="352"/>
      <c r="X27" s="379" t="s">
        <v>387</v>
      </c>
      <c r="Y27" s="411"/>
      <c r="Z27" s="352" t="s">
        <v>388</v>
      </c>
      <c r="AA27" s="352"/>
      <c r="AB27" s="352"/>
    </row>
    <row r="28" spans="1:28" ht="15.6" x14ac:dyDescent="0.3">
      <c r="A28" s="454" t="s">
        <v>744</v>
      </c>
      <c r="B28" s="362"/>
      <c r="C28" s="362"/>
      <c r="D28" s="362"/>
      <c r="E28" s="364"/>
      <c r="F28" s="370"/>
      <c r="G28" s="536">
        <f>VLOOKUP($A$1,Database!$1:$1048576,Database!BC$1,FALSE)</f>
        <v>33.693999999999996</v>
      </c>
      <c r="H28" s="537" t="s">
        <v>383</v>
      </c>
      <c r="I28" s="386"/>
      <c r="J28" s="354"/>
      <c r="K28" s="425"/>
      <c r="L28" s="425"/>
      <c r="M28" s="425"/>
      <c r="N28" s="425"/>
      <c r="O28" s="425"/>
      <c r="P28" s="425"/>
      <c r="Q28" s="425"/>
      <c r="R28" s="353"/>
      <c r="S28" s="499"/>
      <c r="T28" s="387"/>
    </row>
    <row r="29" spans="1:28" ht="17.399999999999999" x14ac:dyDescent="0.3">
      <c r="A29" s="382" t="s">
        <v>559</v>
      </c>
      <c r="B29" s="362"/>
      <c r="C29" s="362"/>
      <c r="D29" s="362"/>
      <c r="E29" s="362"/>
      <c r="F29" s="402" t="s">
        <v>354</v>
      </c>
      <c r="G29" s="361"/>
      <c r="H29" s="369"/>
      <c r="I29" s="351"/>
      <c r="J29" s="362"/>
      <c r="K29" s="362"/>
      <c r="L29" s="362"/>
      <c r="M29" s="362"/>
      <c r="N29" s="362"/>
      <c r="O29" s="362"/>
      <c r="P29" s="362"/>
      <c r="Q29" s="369"/>
    </row>
    <row r="30" spans="1:28" ht="3.75" customHeight="1" x14ac:dyDescent="0.3">
      <c r="A30" s="362"/>
      <c r="B30" s="362"/>
      <c r="C30" s="362"/>
      <c r="D30" s="362"/>
      <c r="E30" s="362"/>
      <c r="F30" s="402" t="s">
        <v>354</v>
      </c>
      <c r="G30" s="361"/>
      <c r="H30" s="369"/>
      <c r="I30" s="362"/>
      <c r="J30" s="362"/>
      <c r="K30" s="362"/>
      <c r="L30" s="362"/>
      <c r="M30" s="362"/>
      <c r="N30" s="362"/>
      <c r="O30" s="362"/>
      <c r="P30" s="362"/>
      <c r="Q30" s="369"/>
    </row>
    <row r="31" spans="1:28" ht="15.6" x14ac:dyDescent="0.3">
      <c r="A31" s="454" t="s">
        <v>606</v>
      </c>
      <c r="B31" s="362"/>
      <c r="C31" s="362"/>
      <c r="D31" s="362"/>
      <c r="E31" s="362"/>
      <c r="F31" s="402" t="s">
        <v>354</v>
      </c>
      <c r="G31" s="587">
        <f>IF(VLOOKUP($A$1,Database!$1:$1048576,Database!AE$1,FALSE)=0,"-",VLOOKUP($A$1,Database!$1:$1048576,Database!AE$1,FALSE))</f>
        <v>150</v>
      </c>
      <c r="H31" s="354" t="s">
        <v>560</v>
      </c>
      <c r="I31" s="362"/>
      <c r="J31" s="362"/>
      <c r="K31" s="369"/>
      <c r="L31" s="362"/>
      <c r="M31" s="362"/>
      <c r="N31" s="362"/>
      <c r="O31" s="370"/>
      <c r="P31" s="469"/>
      <c r="Q31" s="354"/>
    </row>
    <row r="32" spans="1:28" ht="15.6" x14ac:dyDescent="0.3">
      <c r="A32" s="369" t="s">
        <v>745</v>
      </c>
      <c r="B32" s="362"/>
      <c r="C32" s="362"/>
      <c r="D32" s="362"/>
      <c r="E32" s="362"/>
      <c r="F32" s="402" t="s">
        <v>354</v>
      </c>
      <c r="G32" s="469">
        <f>IF(VLOOKUP($A$1,Database!$1:$1048576,Database!AF$1,FALSE)=0,"-",VLOOKUP($A$1,Database!$1:$1048576,Database!AF$1,FALSE))</f>
        <v>140</v>
      </c>
      <c r="H32" s="354" t="s">
        <v>560</v>
      </c>
      <c r="I32" s="362"/>
      <c r="J32" s="362"/>
      <c r="K32" s="369"/>
      <c r="L32" s="362"/>
      <c r="M32" s="362"/>
      <c r="N32" s="362"/>
      <c r="O32" s="370"/>
      <c r="P32" s="384"/>
      <c r="Q32" s="351"/>
    </row>
    <row r="33" spans="1:20" ht="15.6" x14ac:dyDescent="0.3">
      <c r="A33" s="369" t="s">
        <v>629</v>
      </c>
      <c r="B33" s="362"/>
      <c r="C33" s="362"/>
      <c r="D33" s="362"/>
      <c r="E33" s="362"/>
      <c r="F33" s="402" t="s">
        <v>354</v>
      </c>
      <c r="G33" s="428" t="str">
        <f>IF(VLOOKUP($A$1,Database!$1:$1048576,Database!AL$1,FALSE)=0,"Tre",VLOOKUP($A$1,Database!$1:$1048576,Database!AL$1,FALSE))</f>
        <v>Tre</v>
      </c>
      <c r="H33" s="354"/>
      <c r="I33" s="362"/>
      <c r="J33" s="362"/>
      <c r="K33" s="369"/>
      <c r="L33" s="362"/>
      <c r="M33" s="362"/>
      <c r="N33" s="362"/>
      <c r="O33" s="370"/>
      <c r="P33" s="384"/>
      <c r="Q33" s="351"/>
    </row>
    <row r="34" spans="1:20" ht="15.6" x14ac:dyDescent="0.3">
      <c r="A34" s="454" t="s">
        <v>397</v>
      </c>
      <c r="B34" s="362"/>
      <c r="C34" s="362"/>
      <c r="D34" s="362"/>
      <c r="F34" s="402" t="s">
        <v>354</v>
      </c>
      <c r="G34" s="587">
        <f>IF(VLOOKUP($A$1,Database!$1:$1048576,Database!U$1,FALSE)=0,"-",VLOOKUP($A$1,Database!$1:$1048576,Database!U$1,FALSE))</f>
        <v>43</v>
      </c>
      <c r="H34" s="354" t="s">
        <v>560</v>
      </c>
      <c r="I34" s="354"/>
      <c r="J34" s="354"/>
      <c r="K34" s="369"/>
      <c r="L34" s="362"/>
      <c r="M34" s="362"/>
      <c r="N34" s="362"/>
      <c r="O34" s="370"/>
      <c r="P34" s="384"/>
      <c r="Q34" s="354"/>
    </row>
    <row r="35" spans="1:20" ht="15.6" x14ac:dyDescent="0.3">
      <c r="A35" s="454" t="s">
        <v>837</v>
      </c>
      <c r="B35" s="362"/>
      <c r="C35" s="362"/>
      <c r="D35" s="362"/>
      <c r="F35" s="402" t="s">
        <v>354</v>
      </c>
      <c r="G35" s="587">
        <f>IF(VLOOKUP($A$1,Database!$1:$1048576,Database!Q$1,FALSE)=0,"-",VLOOKUP($A$1,Database!$1:$1048576,Database!Q$1,FALSE))</f>
        <v>90</v>
      </c>
      <c r="H35" s="354" t="s">
        <v>560</v>
      </c>
      <c r="I35" s="354"/>
      <c r="J35" s="354"/>
      <c r="K35" s="369"/>
      <c r="L35" s="362"/>
      <c r="M35" s="362"/>
      <c r="N35" s="362"/>
      <c r="O35" s="370"/>
      <c r="P35" s="384"/>
      <c r="Q35" s="351"/>
    </row>
    <row r="36" spans="1:20" ht="15.6" x14ac:dyDescent="0.3">
      <c r="A36" s="369" t="s">
        <v>398</v>
      </c>
      <c r="B36" s="362"/>
      <c r="C36" s="362"/>
      <c r="D36" s="362"/>
      <c r="E36" s="362"/>
      <c r="F36" s="402" t="s">
        <v>354</v>
      </c>
      <c r="G36" s="469" t="str">
        <f>IF(VLOOKUP($A$1,Database!$1:$1048576,Database!R$1,FALSE)=0,"-",VLOOKUP($A$1,Database!$1:$1048576,Database!R$1,FALSE))</f>
        <v>-</v>
      </c>
      <c r="H36" s="354" t="s">
        <v>560</v>
      </c>
      <c r="J36" s="362"/>
      <c r="K36" s="369"/>
      <c r="L36" s="362"/>
      <c r="M36" s="362"/>
      <c r="N36" s="362"/>
      <c r="O36" s="370"/>
      <c r="P36" s="384"/>
      <c r="Q36" s="354"/>
    </row>
    <row r="37" spans="1:20" ht="15.6" x14ac:dyDescent="0.3">
      <c r="A37" s="369" t="s">
        <v>561</v>
      </c>
      <c r="B37" s="362"/>
      <c r="C37" s="362"/>
      <c r="D37" s="362"/>
      <c r="E37" s="364"/>
      <c r="F37" s="402" t="s">
        <v>354</v>
      </c>
      <c r="G37" s="469" t="str">
        <f>IF(VLOOKUP($A$1,Database!$1:$1048576,Database!S$1,FALSE)=0,"-",VLOOKUP($A$1,Database!$1:$1048576,Database!S$1,FALSE))</f>
        <v>-</v>
      </c>
      <c r="H37" s="354" t="s">
        <v>560</v>
      </c>
      <c r="J37" s="362"/>
      <c r="K37" s="369"/>
      <c r="L37" s="362"/>
      <c r="M37" s="362"/>
      <c r="N37" s="362"/>
      <c r="O37" s="370"/>
      <c r="P37" s="384"/>
      <c r="Q37" s="351"/>
    </row>
    <row r="38" spans="1:20" ht="15.6" x14ac:dyDescent="0.3">
      <c r="A38" s="369" t="s">
        <v>562</v>
      </c>
      <c r="B38" s="362"/>
      <c r="C38" s="362"/>
      <c r="D38" s="362"/>
      <c r="E38" s="364"/>
      <c r="F38" s="402" t="s">
        <v>354</v>
      </c>
      <c r="G38" s="469" t="str">
        <f>IF(VLOOKUP($A$1,Database!$1:$1048576,Database!T$1,FALSE)=0,"-",VLOOKUP($A$1,Database!$1:$1048576,Database!T$1,FALSE))</f>
        <v>-</v>
      </c>
      <c r="H38" s="354" t="s">
        <v>560</v>
      </c>
      <c r="I38" s="386"/>
      <c r="J38" s="354"/>
      <c r="K38" s="369"/>
      <c r="L38" s="362"/>
      <c r="M38" s="362"/>
      <c r="N38" s="362"/>
      <c r="O38" s="370"/>
      <c r="P38" s="384"/>
      <c r="Q38" s="351"/>
      <c r="T38" s="387"/>
    </row>
    <row r="39" spans="1:20" ht="15.6" x14ac:dyDescent="0.3">
      <c r="A39" s="369" t="s">
        <v>659</v>
      </c>
      <c r="B39" s="362"/>
      <c r="C39" s="362"/>
      <c r="D39" s="362"/>
      <c r="E39" s="362"/>
      <c r="F39" s="402" t="s">
        <v>354</v>
      </c>
      <c r="G39" s="469" t="str">
        <f>IF(VLOOKUP($A$1,Database!$1:$1048576,Database!X$1,FALSE)=0,"-",VLOOKUP($A$1,Database!$1:$1048576,Database!X$1,FALSE))</f>
        <v>-</v>
      </c>
      <c r="H39" s="354" t="s">
        <v>560</v>
      </c>
      <c r="I39" s="362"/>
      <c r="J39" s="362"/>
      <c r="K39" s="369"/>
      <c r="L39" s="362"/>
      <c r="M39" s="362"/>
      <c r="N39" s="362"/>
      <c r="O39" s="370"/>
      <c r="P39" s="384"/>
      <c r="Q39" s="354"/>
    </row>
    <row r="40" spans="1:20" ht="15.6" x14ac:dyDescent="0.3">
      <c r="A40" s="369" t="s">
        <v>727</v>
      </c>
      <c r="B40" s="362"/>
      <c r="C40" s="362"/>
      <c r="D40" s="362"/>
      <c r="E40" s="362"/>
      <c r="F40" s="402" t="s">
        <v>354</v>
      </c>
      <c r="G40" s="469"/>
      <c r="H40" s="354" t="s">
        <v>560</v>
      </c>
      <c r="I40" s="362"/>
      <c r="J40" s="362"/>
      <c r="K40" s="369"/>
      <c r="L40" s="362"/>
      <c r="M40" s="362"/>
      <c r="N40" s="362"/>
      <c r="O40" s="370"/>
      <c r="P40" s="384"/>
      <c r="Q40" s="354"/>
    </row>
    <row r="41" spans="1:20" s="364" customFormat="1" ht="17.399999999999999" x14ac:dyDescent="0.3">
      <c r="A41" s="382" t="s">
        <v>662</v>
      </c>
      <c r="F41" s="410"/>
      <c r="G41" s="473"/>
      <c r="H41" s="354"/>
      <c r="I41" s="386"/>
      <c r="J41" s="354"/>
      <c r="K41" s="354"/>
      <c r="O41" s="410"/>
      <c r="P41" s="474"/>
      <c r="Q41" s="354"/>
      <c r="R41" s="353"/>
      <c r="S41" s="499"/>
      <c r="T41" s="500"/>
    </row>
    <row r="42" spans="1:20" ht="15.6" x14ac:dyDescent="0.3">
      <c r="A42" s="369" t="s">
        <v>574</v>
      </c>
      <c r="B42" s="362"/>
      <c r="C42" s="362"/>
      <c r="D42" s="362"/>
      <c r="E42" s="364"/>
      <c r="F42" s="370"/>
      <c r="G42" s="470">
        <f>IF(VLOOKUP($A$1,Database!$1:$1048576,Database!BM$1,FALSE)=0,"-",VLOOKUP($A$1,Database!$1:$1048576,Database!BM$1,FALSE))</f>
        <v>45</v>
      </c>
      <c r="H42" s="354" t="s">
        <v>368</v>
      </c>
      <c r="I42" s="386"/>
      <c r="J42" s="354"/>
      <c r="K42" s="369"/>
      <c r="L42" s="362"/>
      <c r="M42" s="362"/>
      <c r="N42" s="362"/>
      <c r="O42" s="370"/>
      <c r="P42" s="384"/>
      <c r="Q42" s="351"/>
      <c r="R42" s="353"/>
      <c r="S42" s="499"/>
      <c r="T42" s="387"/>
    </row>
    <row r="43" spans="1:20" ht="15.6" x14ac:dyDescent="0.3">
      <c r="A43" s="369" t="s">
        <v>576</v>
      </c>
      <c r="B43" s="362"/>
      <c r="C43" s="362"/>
      <c r="D43" s="362"/>
      <c r="E43" s="364"/>
      <c r="F43" s="370"/>
      <c r="G43" s="470">
        <f>IF(VLOOKUP($A$1,Database!$1:$1048576,Database!BL$1,FALSE)=0,"-",VLOOKUP($A$1,Database!$1:$1048576,Database!BL$1,FALSE))</f>
        <v>3</v>
      </c>
      <c r="H43" s="354" t="s">
        <v>577</v>
      </c>
      <c r="I43" s="386"/>
      <c r="J43" s="354"/>
      <c r="K43" s="369"/>
      <c r="L43" s="362"/>
      <c r="M43" s="362"/>
      <c r="N43" s="362"/>
      <c r="O43" s="370"/>
      <c r="P43" s="384"/>
      <c r="Q43" s="351"/>
      <c r="R43" s="353"/>
      <c r="S43" s="499"/>
      <c r="T43" s="387"/>
    </row>
    <row r="44" spans="1:20" ht="15.6" x14ac:dyDescent="0.3">
      <c r="A44" s="369" t="s">
        <v>575</v>
      </c>
      <c r="B44" s="362"/>
      <c r="C44" s="362"/>
      <c r="D44" s="362"/>
      <c r="E44" s="364"/>
      <c r="F44" s="370"/>
      <c r="G44" s="470" t="str">
        <f>IF(VLOOKUP($A$1,Database!$1:$1048576,Database!BK$1,FALSE)=0,"-",VLOOKUP($A$1,Database!$1:$1048576,Database!BK$1,FALSE))</f>
        <v>Seilrett</v>
      </c>
      <c r="H44" s="354"/>
      <c r="I44" s="386"/>
      <c r="J44" s="354"/>
      <c r="K44" s="369"/>
      <c r="L44" s="362"/>
      <c r="M44" s="362"/>
      <c r="N44" s="362"/>
      <c r="O44" s="370"/>
      <c r="P44" s="384"/>
      <c r="Q44" s="351"/>
      <c r="R44" s="353"/>
      <c r="S44" s="499"/>
      <c r="T44" s="387"/>
    </row>
    <row r="45" spans="1:20" ht="15.6" x14ac:dyDescent="0.3">
      <c r="A45" s="369" t="s">
        <v>603</v>
      </c>
      <c r="B45" s="362"/>
      <c r="C45" s="362"/>
      <c r="D45" s="362"/>
      <c r="E45" s="364"/>
      <c r="F45" s="370"/>
      <c r="G45" s="470">
        <f>IF(VLOOKUP($A$1,Database!$1:$1048576,Database!AY$1,FALSE)=0,"-",VLOOKUP($A$1,Database!$1:$1048576,Database!AY$1,FALSE))</f>
        <v>109</v>
      </c>
      <c r="H45" s="354" t="s">
        <v>609</v>
      </c>
      <c r="I45" s="386"/>
      <c r="J45" s="354"/>
      <c r="K45" s="369"/>
      <c r="L45" s="362"/>
      <c r="M45" s="362"/>
      <c r="N45" s="362"/>
      <c r="O45" s="370"/>
      <c r="P45" s="384"/>
      <c r="Q45" s="351"/>
      <c r="R45" s="353"/>
      <c r="S45" s="499"/>
      <c r="T45" s="387"/>
    </row>
    <row r="46" spans="1:20" ht="15.6" x14ac:dyDescent="0.3">
      <c r="A46" s="369" t="s">
        <v>604</v>
      </c>
      <c r="B46" s="362"/>
      <c r="C46" s="362"/>
      <c r="D46" s="362"/>
      <c r="E46" s="364"/>
      <c r="F46" s="370"/>
      <c r="G46" s="470">
        <f>IF(VLOOKUP($A$1,Database!$1:$1048576,Database!AZ$1,FALSE)=0,"-",VLOOKUP($A$1,Database!$1:$1048576,Database!AZ$1,FALSE))</f>
        <v>763</v>
      </c>
      <c r="H46" s="354" t="s">
        <v>610</v>
      </c>
      <c r="I46" s="386"/>
      <c r="J46" s="354"/>
      <c r="K46" s="369"/>
      <c r="L46" s="362"/>
      <c r="M46" s="362"/>
      <c r="N46" s="362"/>
      <c r="O46" s="370"/>
      <c r="P46" s="384"/>
      <c r="Q46" s="351"/>
      <c r="R46" s="353"/>
      <c r="S46" s="499"/>
      <c r="T46" s="387"/>
    </row>
    <row r="47" spans="1:20" ht="15.6" x14ac:dyDescent="0.3">
      <c r="A47" s="369" t="s">
        <v>605</v>
      </c>
      <c r="B47" s="362"/>
      <c r="C47" s="362"/>
      <c r="D47" s="362"/>
      <c r="E47" s="364"/>
      <c r="F47" s="370"/>
      <c r="G47" s="470" t="str">
        <f>IF(VLOOKUP($A$1,Database!$1:$1048576,Database!AX$1,FALSE)=0,"-",VLOOKUP($A$1,Database!$1:$1048576,Database!AX$1,FALSE))</f>
        <v>-</v>
      </c>
      <c r="H47" s="354" t="s">
        <v>610</v>
      </c>
      <c r="I47" s="386"/>
      <c r="J47" s="354"/>
      <c r="K47" s="369"/>
      <c r="L47" s="362"/>
      <c r="M47" s="362"/>
      <c r="N47" s="362"/>
      <c r="O47" s="370"/>
      <c r="P47" s="384"/>
      <c r="Q47" s="351"/>
      <c r="R47" s="353"/>
      <c r="S47" s="499"/>
      <c r="T47" s="387"/>
    </row>
    <row r="48" spans="1:20" ht="16.2" x14ac:dyDescent="0.35">
      <c r="A48" s="343"/>
      <c r="B48"/>
      <c r="C48"/>
      <c r="D48" s="362"/>
      <c r="E48" s="391"/>
      <c r="F48" s="476" t="s">
        <v>551</v>
      </c>
      <c r="G48" s="408">
        <f ca="1">TODAY()</f>
        <v>45544</v>
      </c>
      <c r="I48" s="354"/>
      <c r="J48" s="353" t="s">
        <v>552</v>
      </c>
      <c r="K48" s="409" t="s">
        <v>126</v>
      </c>
      <c r="L48" s="362"/>
      <c r="M48" s="362"/>
      <c r="O48" s="380" t="s">
        <v>569</v>
      </c>
      <c r="P48" s="362"/>
      <c r="Q48" s="362"/>
    </row>
    <row r="49" spans="1:20" ht="13.5" customHeight="1" x14ac:dyDescent="0.3">
      <c r="A49" s="343"/>
      <c r="B49"/>
      <c r="C49"/>
      <c r="D49" s="391"/>
      <c r="E49" s="391"/>
      <c r="F49" s="371"/>
      <c r="G49" s="408"/>
      <c r="H49" s="362"/>
      <c r="I49" s="362"/>
      <c r="J49" s="362"/>
      <c r="K49" s="380"/>
      <c r="L49" s="362"/>
      <c r="M49" s="362"/>
      <c r="O49" s="380"/>
      <c r="Q49" s="362"/>
    </row>
    <row r="50" spans="1:20" ht="13.5" customHeight="1" x14ac:dyDescent="0.3">
      <c r="A50" s="343"/>
      <c r="B50"/>
      <c r="C50"/>
      <c r="D50" s="391"/>
      <c r="E50" s="391"/>
      <c r="F50" s="371"/>
      <c r="G50" s="408"/>
      <c r="H50" s="362"/>
      <c r="I50" s="362"/>
      <c r="J50" s="362"/>
      <c r="K50" s="380"/>
      <c r="L50" s="362"/>
      <c r="M50" s="362"/>
      <c r="O50" s="380"/>
      <c r="Q50" s="362"/>
    </row>
    <row r="51" spans="1:20" ht="13.5" customHeight="1" x14ac:dyDescent="0.3">
      <c r="A51" s="343"/>
      <c r="B51"/>
      <c r="C51" s="343"/>
      <c r="D51" s="391"/>
      <c r="E51" s="391"/>
      <c r="F51" s="371"/>
      <c r="G51" s="408"/>
      <c r="H51" s="362"/>
      <c r="I51" s="362"/>
      <c r="J51" s="362"/>
      <c r="K51" s="362"/>
      <c r="L51" s="362"/>
      <c r="M51" s="362"/>
      <c r="O51" s="380"/>
      <c r="P51" s="362"/>
      <c r="Q51" s="362"/>
    </row>
    <row r="52" spans="1:20" ht="13.5" customHeight="1" x14ac:dyDescent="0.3">
      <c r="A52" s="343"/>
      <c r="B52"/>
      <c r="C52" s="343"/>
      <c r="D52" s="391"/>
      <c r="E52" s="391"/>
      <c r="F52" s="371"/>
      <c r="G52" s="408"/>
      <c r="H52" s="362"/>
      <c r="I52" s="362"/>
      <c r="J52" s="362"/>
      <c r="K52" s="362"/>
      <c r="L52" s="362"/>
      <c r="M52" s="362"/>
      <c r="O52" s="380"/>
      <c r="P52" s="362"/>
      <c r="Q52" s="362"/>
    </row>
    <row r="53" spans="1:20" ht="13.5" customHeight="1" x14ac:dyDescent="0.3">
      <c r="A53" s="343"/>
      <c r="B53"/>
      <c r="C53" s="343"/>
      <c r="D53" s="391"/>
      <c r="E53" s="391"/>
      <c r="F53" s="371"/>
      <c r="G53" s="408"/>
      <c r="H53" s="362"/>
      <c r="I53" s="362"/>
      <c r="J53" s="362"/>
      <c r="K53" s="362"/>
      <c r="L53" s="362"/>
      <c r="M53" s="362"/>
      <c r="O53" s="380"/>
      <c r="P53" s="362"/>
      <c r="Q53" s="362"/>
    </row>
    <row r="54" spans="1:20" ht="13.5" customHeight="1" x14ac:dyDescent="0.3">
      <c r="A54" s="343"/>
      <c r="B54"/>
      <c r="C54" s="343"/>
      <c r="D54" s="391"/>
      <c r="E54" s="391"/>
      <c r="F54" s="371"/>
      <c r="G54" s="408"/>
      <c r="H54" s="362"/>
      <c r="I54" s="362"/>
      <c r="J54" s="362"/>
      <c r="K54" s="362"/>
      <c r="L54" s="362"/>
      <c r="M54" s="362"/>
      <c r="O54" s="380"/>
      <c r="P54" s="362"/>
      <c r="Q54" s="362"/>
    </row>
    <row r="55" spans="1:20" ht="13.5" customHeight="1" x14ac:dyDescent="0.3">
      <c r="A55" s="343"/>
      <c r="B55"/>
      <c r="C55" s="343"/>
      <c r="D55" s="391"/>
      <c r="E55" s="391"/>
      <c r="F55" s="371"/>
      <c r="G55" s="408"/>
      <c r="H55" s="362"/>
      <c r="I55" s="362"/>
      <c r="J55" s="362"/>
      <c r="K55" s="362"/>
      <c r="L55" s="362"/>
      <c r="M55" s="362"/>
      <c r="O55" s="380"/>
      <c r="P55" s="362"/>
      <c r="Q55" s="362"/>
    </row>
    <row r="56" spans="1:20" s="425" customFormat="1" ht="13.5" customHeight="1" x14ac:dyDescent="0.25">
      <c r="A56" s="351" t="s">
        <v>389</v>
      </c>
      <c r="B56" s="352"/>
      <c r="C56" s="352"/>
      <c r="D56" s="352"/>
      <c r="E56" s="352"/>
      <c r="F56" s="402" t="s">
        <v>354</v>
      </c>
      <c r="G56" s="430"/>
      <c r="H56" s="352" t="s">
        <v>390</v>
      </c>
      <c r="I56" s="352" t="s">
        <v>391</v>
      </c>
      <c r="J56" s="352"/>
      <c r="K56" s="352"/>
      <c r="L56" s="352"/>
      <c r="M56" s="352"/>
      <c r="N56" s="352"/>
      <c r="O56" s="352"/>
      <c r="P56" s="352"/>
      <c r="Q56" s="351"/>
      <c r="R56" s="352"/>
      <c r="S56" s="352"/>
      <c r="T56" s="352"/>
    </row>
    <row r="57" spans="1:20" s="425" customFormat="1" ht="13.5" customHeight="1" x14ac:dyDescent="0.25">
      <c r="A57" s="351" t="s">
        <v>392</v>
      </c>
      <c r="B57" s="352"/>
      <c r="C57" s="352"/>
      <c r="D57" s="352"/>
      <c r="E57" s="352"/>
      <c r="F57" s="402" t="s">
        <v>354</v>
      </c>
      <c r="G57" s="430"/>
      <c r="H57" s="352" t="s">
        <v>390</v>
      </c>
      <c r="I57" s="352" t="s">
        <v>393</v>
      </c>
      <c r="J57" s="352"/>
      <c r="K57" s="352"/>
      <c r="L57" s="352"/>
      <c r="M57" s="352"/>
      <c r="N57" s="352"/>
      <c r="O57" s="352"/>
      <c r="P57" s="352"/>
      <c r="Q57" s="351"/>
      <c r="R57" s="352"/>
      <c r="S57" s="352"/>
      <c r="T57" s="352"/>
    </row>
    <row r="58" spans="1:20" s="425" customFormat="1" ht="13.5" customHeight="1" x14ac:dyDescent="0.25">
      <c r="A58" s="351" t="s">
        <v>394</v>
      </c>
      <c r="B58" s="352"/>
      <c r="C58" s="352"/>
      <c r="D58" s="352"/>
      <c r="E58" s="352"/>
      <c r="F58" s="402" t="s">
        <v>354</v>
      </c>
      <c r="G58" s="430"/>
      <c r="H58" s="351" t="s">
        <v>390</v>
      </c>
      <c r="I58" s="352" t="s">
        <v>393</v>
      </c>
      <c r="J58" s="352"/>
      <c r="K58" s="352"/>
      <c r="L58" s="352"/>
      <c r="M58" s="352"/>
      <c r="N58" s="352"/>
      <c r="O58" s="352"/>
      <c r="P58" s="352"/>
      <c r="Q58" s="351"/>
      <c r="R58" s="352"/>
      <c r="S58" s="352"/>
      <c r="T58" s="352"/>
    </row>
    <row r="59" spans="1:20" x14ac:dyDescent="0.25">
      <c r="A59" s="351" t="s">
        <v>395</v>
      </c>
      <c r="F59" s="402" t="s">
        <v>354</v>
      </c>
      <c r="G59" s="430"/>
      <c r="H59" s="352" t="s">
        <v>390</v>
      </c>
      <c r="I59" s="352" t="s">
        <v>393</v>
      </c>
      <c r="Q59" s="351"/>
    </row>
    <row r="60" spans="1:20" ht="15.6" x14ac:dyDescent="0.3">
      <c r="A60" s="352"/>
      <c r="K60" s="363"/>
    </row>
    <row r="61" spans="1:20" ht="15.6" x14ac:dyDescent="0.3">
      <c r="A61" s="352"/>
      <c r="K61" s="363"/>
    </row>
    <row r="62" spans="1:20" ht="15.6" x14ac:dyDescent="0.3">
      <c r="A62" s="352"/>
      <c r="K62" s="363"/>
    </row>
    <row r="63" spans="1:20" x14ac:dyDescent="0.25">
      <c r="A63" s="352"/>
    </row>
    <row r="64" spans="1:20" ht="15.6" x14ac:dyDescent="0.3">
      <c r="A64" s="352"/>
      <c r="K64" s="390" t="s">
        <v>399</v>
      </c>
      <c r="L64" s="391"/>
      <c r="M64" s="391"/>
      <c r="N64" s="391"/>
      <c r="O64" s="370" t="s">
        <v>354</v>
      </c>
      <c r="P64" s="392"/>
      <c r="Q64" s="393" t="s">
        <v>396</v>
      </c>
      <c r="S64" s="394"/>
    </row>
    <row r="65" spans="1:19" ht="15.6" x14ac:dyDescent="0.3">
      <c r="B65" s="351"/>
      <c r="C65" s="351"/>
      <c r="D65" s="351"/>
      <c r="E65" s="351"/>
      <c r="F65" s="351"/>
      <c r="G65" s="351"/>
      <c r="H65" s="351"/>
      <c r="I65" s="351"/>
      <c r="J65" s="351"/>
      <c r="K65" s="385" t="s">
        <v>401</v>
      </c>
      <c r="L65" s="395"/>
      <c r="M65" s="395"/>
      <c r="N65" s="395"/>
      <c r="O65" s="396" t="s">
        <v>354</v>
      </c>
      <c r="P65" s="397"/>
      <c r="Q65" s="366" t="s">
        <v>402</v>
      </c>
      <c r="R65" s="398"/>
      <c r="S65" s="399"/>
    </row>
    <row r="66" spans="1:19" ht="15.6" x14ac:dyDescent="0.3">
      <c r="K66" s="400" t="s">
        <v>404</v>
      </c>
      <c r="L66" s="362"/>
      <c r="M66" s="362"/>
      <c r="N66" s="362"/>
      <c r="O66" s="370" t="s">
        <v>354</v>
      </c>
      <c r="P66" s="401"/>
      <c r="Q66" s="380" t="s">
        <v>390</v>
      </c>
      <c r="R66" s="402" t="s">
        <v>369</v>
      </c>
      <c r="S66" s="403"/>
    </row>
    <row r="67" spans="1:19" ht="15.6" x14ac:dyDescent="0.3">
      <c r="K67" s="352" t="s">
        <v>405</v>
      </c>
      <c r="L67" s="362"/>
      <c r="M67" s="362"/>
      <c r="N67" s="362"/>
      <c r="O67" s="370" t="s">
        <v>354</v>
      </c>
      <c r="P67" s="401"/>
      <c r="Q67" s="380" t="s">
        <v>390</v>
      </c>
      <c r="R67" s="402" t="s">
        <v>369</v>
      </c>
      <c r="S67" s="403"/>
    </row>
    <row r="68" spans="1:19" ht="15.6" x14ac:dyDescent="0.3">
      <c r="K68" s="383" t="s">
        <v>406</v>
      </c>
      <c r="L68" s="388"/>
      <c r="M68" s="388"/>
      <c r="N68" s="388"/>
      <c r="O68" s="389" t="s">
        <v>354</v>
      </c>
      <c r="P68" s="406"/>
      <c r="Q68" s="407" t="s">
        <v>390</v>
      </c>
      <c r="R68" s="404" t="s">
        <v>369</v>
      </c>
      <c r="S68" s="405"/>
    </row>
    <row r="69" spans="1:19" x14ac:dyDescent="0.25">
      <c r="A69" s="412"/>
      <c r="B69" s="411"/>
      <c r="C69" s="411"/>
      <c r="D69" s="411"/>
      <c r="E69" s="411"/>
      <c r="F69" s="411"/>
      <c r="G69" s="413"/>
      <c r="H69" s="411"/>
      <c r="I69" s="411"/>
      <c r="J69" s="411"/>
      <c r="K69" s="411"/>
      <c r="L69" s="411"/>
      <c r="M69" s="411"/>
      <c r="N69" s="381"/>
      <c r="O69" s="381"/>
      <c r="P69" s="381"/>
      <c r="Q69" s="381"/>
      <c r="R69" s="381"/>
      <c r="S69" s="381"/>
    </row>
    <row r="75" spans="1:19" x14ac:dyDescent="0.25">
      <c r="K75" s="414"/>
      <c r="L75" s="415" t="s">
        <v>355</v>
      </c>
      <c r="M75" s="402" t="s">
        <v>354</v>
      </c>
      <c r="N75" s="394" t="s">
        <v>356</v>
      </c>
      <c r="P75" s="394"/>
    </row>
    <row r="76" spans="1:19" x14ac:dyDescent="0.25">
      <c r="A76" s="412"/>
      <c r="B76" s="411"/>
      <c r="C76" s="411"/>
      <c r="D76" s="411"/>
      <c r="E76" s="411"/>
      <c r="F76" s="411"/>
      <c r="G76" s="413"/>
      <c r="H76" s="411"/>
      <c r="I76" s="411"/>
      <c r="M76" s="402" t="s">
        <v>354</v>
      </c>
      <c r="N76" s="351" t="s">
        <v>357</v>
      </c>
      <c r="P76" s="394"/>
      <c r="S76" s="381"/>
    </row>
    <row r="77" spans="1:19" x14ac:dyDescent="0.25">
      <c r="M77" s="402" t="s">
        <v>354</v>
      </c>
      <c r="N77" s="351" t="s">
        <v>359</v>
      </c>
      <c r="P77" s="394"/>
    </row>
    <row r="78" spans="1:19" x14ac:dyDescent="0.25">
      <c r="J78" s="351"/>
    </row>
    <row r="79" spans="1:19" x14ac:dyDescent="0.25">
      <c r="J79" s="373" t="s">
        <v>362</v>
      </c>
      <c r="K79" s="418"/>
      <c r="L79" s="419" t="s">
        <v>363</v>
      </c>
      <c r="M79" s="367"/>
      <c r="N79" s="367"/>
      <c r="O79" s="416" t="s">
        <v>364</v>
      </c>
      <c r="P79" s="418"/>
      <c r="Q79" s="419" t="s">
        <v>365</v>
      </c>
      <c r="R79" s="367"/>
    </row>
    <row r="80" spans="1:19" x14ac:dyDescent="0.25">
      <c r="J80" s="373" t="s">
        <v>367</v>
      </c>
      <c r="K80" s="418"/>
      <c r="L80" s="419" t="s">
        <v>368</v>
      </c>
      <c r="M80" s="372">
        <f>K80/2.54</f>
        <v>0</v>
      </c>
      <c r="N80" s="367" t="s">
        <v>369</v>
      </c>
      <c r="O80" s="416" t="s">
        <v>364</v>
      </c>
      <c r="P80" s="417"/>
      <c r="Q80" s="367"/>
      <c r="R80" s="367"/>
    </row>
    <row r="81" spans="1:19" x14ac:dyDescent="0.25">
      <c r="J81" s="367"/>
      <c r="K81" s="374"/>
      <c r="L81" s="420"/>
      <c r="M81" s="420"/>
      <c r="N81" s="420"/>
      <c r="O81" s="375" t="s">
        <v>371</v>
      </c>
      <c r="P81" s="421"/>
      <c r="Q81" s="420" t="s">
        <v>352</v>
      </c>
      <c r="R81" s="376"/>
    </row>
    <row r="82" spans="1:19" x14ac:dyDescent="0.25">
      <c r="J82" s="367"/>
      <c r="K82" s="377"/>
      <c r="L82" s="422"/>
      <c r="M82" s="422"/>
      <c r="N82" s="422"/>
      <c r="O82" s="368" t="s">
        <v>373</v>
      </c>
      <c r="P82" s="423"/>
      <c r="Q82" s="422" t="s">
        <v>352</v>
      </c>
      <c r="R82" s="378"/>
    </row>
    <row r="96" spans="1:19" x14ac:dyDescent="0.25">
      <c r="A96" s="410"/>
      <c r="B96" s="410"/>
      <c r="C96" s="410"/>
      <c r="D96" s="410"/>
      <c r="E96" s="410"/>
      <c r="F96" s="410"/>
      <c r="G96" s="410"/>
      <c r="H96" s="410"/>
      <c r="I96" s="410"/>
      <c r="J96" s="410"/>
      <c r="K96" s="410"/>
      <c r="L96" s="410"/>
      <c r="M96" s="410"/>
      <c r="N96" s="410"/>
      <c r="O96" s="410"/>
      <c r="P96" s="410"/>
      <c r="Q96" s="410"/>
      <c r="R96" s="410"/>
      <c r="S96" s="410"/>
    </row>
    <row r="99" spans="1:19" x14ac:dyDescent="0.25">
      <c r="A99" s="412"/>
      <c r="B99" s="411"/>
      <c r="C99" s="411"/>
      <c r="D99" s="411"/>
      <c r="E99" s="411"/>
      <c r="F99" s="411"/>
      <c r="G99" s="413"/>
      <c r="H99" s="411"/>
      <c r="I99" s="411"/>
      <c r="J99" s="411"/>
      <c r="K99" s="411"/>
      <c r="L99" s="411"/>
      <c r="M99" s="411"/>
      <c r="N99" s="381"/>
      <c r="O99" s="381"/>
      <c r="P99" s="381"/>
      <c r="Q99" s="381"/>
      <c r="R99" s="381"/>
      <c r="S99" s="381"/>
    </row>
    <row r="100" spans="1:19" x14ac:dyDescent="0.25">
      <c r="A100" s="410"/>
      <c r="B100" s="410"/>
      <c r="C100" s="410"/>
      <c r="D100" s="410"/>
      <c r="E100" s="410"/>
      <c r="F100" s="410"/>
      <c r="G100" s="410"/>
      <c r="H100" s="410"/>
      <c r="I100" s="410"/>
      <c r="J100" s="410"/>
      <c r="K100" s="410"/>
      <c r="L100" s="410"/>
      <c r="M100" s="410"/>
      <c r="N100" s="410"/>
      <c r="O100" s="410"/>
      <c r="P100" s="410"/>
      <c r="Q100" s="410"/>
      <c r="R100" s="410"/>
      <c r="S100" s="410"/>
    </row>
    <row r="114" spans="1:19" x14ac:dyDescent="0.25">
      <c r="A114" s="412"/>
      <c r="B114" s="411"/>
      <c r="C114" s="411"/>
      <c r="D114" s="411"/>
      <c r="E114" s="411"/>
      <c r="F114" s="411"/>
      <c r="G114" s="413"/>
      <c r="H114" s="411"/>
      <c r="I114" s="411"/>
      <c r="J114" s="411"/>
      <c r="K114" s="411"/>
      <c r="L114" s="411"/>
      <c r="M114" s="411"/>
      <c r="N114" s="381"/>
      <c r="O114" s="381"/>
      <c r="P114" s="381"/>
      <c r="Q114" s="381"/>
      <c r="R114" s="381"/>
      <c r="S114" s="381"/>
    </row>
    <row r="118" spans="1:19" x14ac:dyDescent="0.25">
      <c r="A118" s="410"/>
      <c r="B118" s="410"/>
      <c r="C118" s="410"/>
      <c r="D118" s="410"/>
      <c r="E118" s="410"/>
      <c r="F118" s="410"/>
      <c r="G118" s="410"/>
      <c r="H118" s="410"/>
      <c r="I118" s="410"/>
      <c r="J118" s="410"/>
      <c r="K118" s="410"/>
      <c r="L118" s="410"/>
      <c r="M118" s="410"/>
      <c r="N118" s="410"/>
      <c r="O118" s="410"/>
      <c r="P118" s="410"/>
      <c r="Q118" s="410"/>
      <c r="R118" s="410"/>
      <c r="S118" s="410"/>
    </row>
    <row r="128" spans="1:19" x14ac:dyDescent="0.25">
      <c r="A128" s="412"/>
      <c r="B128" s="411"/>
      <c r="C128" s="411"/>
      <c r="D128" s="411"/>
      <c r="E128" s="411"/>
      <c r="F128" s="411"/>
      <c r="G128" s="413"/>
      <c r="H128" s="411"/>
      <c r="I128" s="411"/>
      <c r="J128" s="411"/>
      <c r="K128" s="411"/>
      <c r="L128" s="411"/>
      <c r="M128" s="411"/>
      <c r="N128" s="381"/>
      <c r="O128" s="381"/>
      <c r="P128" s="381"/>
      <c r="Q128" s="381"/>
      <c r="R128" s="381"/>
      <c r="S128" s="381"/>
    </row>
    <row r="131" spans="1:19" x14ac:dyDescent="0.25">
      <c r="A131" s="412"/>
      <c r="B131" s="411"/>
      <c r="C131" s="411"/>
      <c r="D131" s="411"/>
      <c r="E131" s="411"/>
      <c r="F131" s="411"/>
      <c r="G131" s="413"/>
      <c r="H131" s="411"/>
      <c r="I131" s="411"/>
      <c r="J131" s="411"/>
      <c r="K131" s="411"/>
      <c r="L131" s="411"/>
      <c r="M131" s="411"/>
      <c r="N131" s="381"/>
      <c r="O131" s="381"/>
      <c r="P131" s="381"/>
      <c r="Q131" s="381"/>
      <c r="R131" s="381"/>
      <c r="S131" s="381"/>
    </row>
    <row r="145" spans="1:19" x14ac:dyDescent="0.25">
      <c r="A145" s="412"/>
      <c r="B145" s="411"/>
      <c r="C145" s="411"/>
      <c r="D145" s="411"/>
      <c r="E145" s="411"/>
      <c r="F145" s="411"/>
      <c r="G145" s="413"/>
      <c r="H145" s="411"/>
      <c r="I145" s="411"/>
      <c r="J145" s="411"/>
      <c r="K145" s="411"/>
      <c r="L145" s="411"/>
      <c r="M145" s="411"/>
      <c r="N145" s="381"/>
      <c r="O145" s="381"/>
      <c r="P145" s="381"/>
      <c r="Q145" s="381"/>
      <c r="R145" s="381"/>
      <c r="S145" s="381"/>
    </row>
    <row r="186" spans="1:19" x14ac:dyDescent="0.25">
      <c r="A186" s="410"/>
      <c r="B186" s="410"/>
      <c r="C186" s="410"/>
      <c r="D186" s="410"/>
      <c r="E186" s="410"/>
      <c r="F186" s="410"/>
      <c r="G186" s="410"/>
      <c r="H186" s="410"/>
      <c r="I186" s="410"/>
      <c r="J186" s="410"/>
      <c r="K186" s="410"/>
      <c r="L186" s="410"/>
      <c r="M186" s="410"/>
      <c r="N186" s="410"/>
      <c r="O186" s="410"/>
      <c r="P186" s="410"/>
      <c r="Q186" s="410"/>
      <c r="R186" s="410"/>
      <c r="S186" s="410"/>
    </row>
    <row r="187" spans="1:19" x14ac:dyDescent="0.25">
      <c r="A187" s="412"/>
      <c r="B187" s="411"/>
      <c r="C187" s="411"/>
      <c r="D187" s="411"/>
      <c r="E187" s="411"/>
      <c r="F187" s="411"/>
      <c r="G187" s="413"/>
      <c r="H187" s="411"/>
      <c r="I187" s="411"/>
      <c r="J187" s="411"/>
      <c r="K187" s="411"/>
      <c r="L187" s="411"/>
      <c r="M187" s="411"/>
      <c r="N187" s="381"/>
      <c r="O187" s="381"/>
      <c r="P187" s="381"/>
      <c r="Q187" s="381"/>
      <c r="R187" s="381"/>
      <c r="S187" s="381"/>
    </row>
    <row r="224" spans="1:19" x14ac:dyDescent="0.25">
      <c r="A224" s="410"/>
      <c r="B224" s="410"/>
      <c r="C224" s="410"/>
      <c r="D224" s="410"/>
      <c r="E224" s="410"/>
      <c r="F224" s="410"/>
      <c r="G224" s="410"/>
      <c r="H224" s="410"/>
      <c r="I224" s="410"/>
      <c r="J224" s="410"/>
      <c r="K224" s="410"/>
      <c r="L224" s="410"/>
      <c r="M224" s="410"/>
      <c r="N224" s="410"/>
      <c r="O224" s="410"/>
      <c r="P224" s="410"/>
      <c r="Q224" s="410"/>
      <c r="R224" s="410"/>
      <c r="S224" s="410"/>
    </row>
    <row r="241" spans="1:19" x14ac:dyDescent="0.25">
      <c r="A241" s="410"/>
      <c r="B241" s="410"/>
      <c r="C241" s="410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0"/>
      <c r="O241" s="410"/>
      <c r="P241" s="410"/>
      <c r="Q241" s="410"/>
      <c r="R241" s="410"/>
      <c r="S241" s="410"/>
    </row>
    <row r="243" spans="1:19" x14ac:dyDescent="0.25">
      <c r="A243" s="410"/>
      <c r="B243" s="410"/>
      <c r="C243" s="410"/>
      <c r="D243" s="410"/>
      <c r="E243" s="410"/>
      <c r="F243" s="410"/>
      <c r="G243" s="410"/>
      <c r="H243" s="410"/>
      <c r="I243" s="410"/>
      <c r="J243" s="410"/>
      <c r="K243" s="410"/>
      <c r="L243" s="410"/>
      <c r="M243" s="410"/>
      <c r="N243" s="410"/>
      <c r="O243" s="410"/>
      <c r="P243" s="410"/>
      <c r="Q243" s="410"/>
      <c r="R243" s="410"/>
      <c r="S243" s="410"/>
    </row>
    <row r="244" spans="1:19" x14ac:dyDescent="0.25">
      <c r="A244" s="410"/>
      <c r="B244" s="410"/>
      <c r="C244" s="410"/>
      <c r="D244" s="410"/>
      <c r="E244" s="410"/>
      <c r="F244" s="410"/>
      <c r="G244" s="410"/>
      <c r="H244" s="410"/>
      <c r="I244" s="410"/>
      <c r="J244" s="410"/>
      <c r="K244" s="410"/>
      <c r="L244" s="410"/>
      <c r="M244" s="410"/>
      <c r="N244" s="410"/>
      <c r="O244" s="410"/>
      <c r="P244" s="410"/>
      <c r="Q244" s="410"/>
      <c r="R244" s="410"/>
      <c r="S244" s="410"/>
    </row>
    <row r="247" spans="1:19" x14ac:dyDescent="0.25">
      <c r="A247" s="412"/>
      <c r="B247" s="411"/>
      <c r="C247" s="411"/>
      <c r="D247" s="411"/>
      <c r="E247" s="411"/>
      <c r="F247" s="411"/>
      <c r="G247" s="413"/>
      <c r="H247" s="411"/>
      <c r="I247" s="411"/>
      <c r="J247" s="411"/>
      <c r="K247" s="411"/>
      <c r="L247" s="411"/>
      <c r="M247" s="411"/>
      <c r="N247" s="381"/>
      <c r="O247" s="381"/>
      <c r="P247" s="381"/>
      <c r="Q247" s="381"/>
      <c r="R247" s="381"/>
      <c r="S247" s="381"/>
    </row>
    <row r="255" spans="1:19" x14ac:dyDescent="0.25">
      <c r="A255" s="410"/>
      <c r="B255" s="410"/>
      <c r="C255" s="410"/>
      <c r="D255" s="410"/>
      <c r="E255" s="410"/>
      <c r="F255" s="410"/>
      <c r="G255" s="410"/>
      <c r="H255" s="410"/>
      <c r="I255" s="410"/>
      <c r="J255" s="410"/>
      <c r="K255" s="410"/>
      <c r="L255" s="410"/>
      <c r="M255" s="410"/>
      <c r="N255" s="410"/>
      <c r="O255" s="410"/>
      <c r="P255" s="410"/>
      <c r="Q255" s="410"/>
      <c r="R255" s="410"/>
      <c r="S255" s="410"/>
    </row>
    <row r="259" spans="1:19" x14ac:dyDescent="0.25">
      <c r="A259" s="412"/>
      <c r="B259" s="411"/>
      <c r="C259" s="411"/>
      <c r="D259" s="411"/>
      <c r="E259" s="411"/>
      <c r="F259" s="411"/>
      <c r="G259" s="413"/>
      <c r="H259" s="411"/>
      <c r="I259" s="411"/>
      <c r="J259" s="411"/>
      <c r="K259" s="411"/>
      <c r="L259" s="411"/>
      <c r="M259" s="411"/>
      <c r="N259" s="381"/>
      <c r="O259" s="381"/>
      <c r="P259" s="381"/>
      <c r="Q259" s="381"/>
      <c r="R259" s="381"/>
      <c r="S259" s="381"/>
    </row>
    <row r="267" spans="1:19" x14ac:dyDescent="0.25">
      <c r="A267" s="410"/>
      <c r="B267" s="410"/>
      <c r="C267" s="410"/>
      <c r="D267" s="410"/>
      <c r="E267" s="410"/>
      <c r="F267" s="410"/>
      <c r="G267" s="410"/>
      <c r="H267" s="410"/>
      <c r="I267" s="410"/>
      <c r="J267" s="410"/>
      <c r="K267" s="410"/>
      <c r="L267" s="410"/>
      <c r="M267" s="410"/>
      <c r="N267" s="410"/>
      <c r="O267" s="410"/>
      <c r="P267" s="410"/>
      <c r="Q267" s="410"/>
      <c r="R267" s="410"/>
      <c r="S267" s="410"/>
    </row>
    <row r="271" spans="1:19" x14ac:dyDescent="0.25">
      <c r="A271" s="410"/>
      <c r="B271" s="410"/>
      <c r="C271" s="410"/>
      <c r="D271" s="410"/>
      <c r="E271" s="410"/>
      <c r="F271" s="410"/>
      <c r="G271" s="410"/>
      <c r="H271" s="410"/>
      <c r="I271" s="410"/>
      <c r="J271" s="410"/>
      <c r="K271" s="410"/>
      <c r="L271" s="410"/>
      <c r="M271" s="410"/>
      <c r="N271" s="410"/>
      <c r="O271" s="410"/>
      <c r="P271" s="410"/>
      <c r="Q271" s="410"/>
      <c r="R271" s="410"/>
      <c r="S271" s="410"/>
    </row>
    <row r="273" spans="1:19" x14ac:dyDescent="0.25">
      <c r="A273" s="412"/>
      <c r="B273" s="411"/>
      <c r="C273" s="411"/>
      <c r="D273" s="411"/>
      <c r="E273" s="411"/>
      <c r="F273" s="411"/>
      <c r="G273" s="413"/>
      <c r="H273" s="411"/>
      <c r="I273" s="411"/>
      <c r="J273" s="411"/>
      <c r="K273" s="411"/>
      <c r="L273" s="411"/>
      <c r="M273" s="411"/>
      <c r="N273" s="381"/>
      <c r="O273" s="381"/>
      <c r="P273" s="381"/>
      <c r="Q273" s="381"/>
      <c r="R273" s="381"/>
      <c r="S273" s="381"/>
    </row>
    <row r="275" spans="1:19" x14ac:dyDescent="0.25">
      <c r="A275" s="410"/>
      <c r="B275" s="410"/>
      <c r="C275" s="410"/>
      <c r="D275" s="410"/>
      <c r="E275" s="410"/>
      <c r="F275" s="410"/>
      <c r="G275" s="410"/>
      <c r="H275" s="410"/>
      <c r="I275" s="410"/>
      <c r="J275" s="410"/>
      <c r="K275" s="410"/>
      <c r="L275" s="410"/>
      <c r="M275" s="410"/>
      <c r="N275" s="410"/>
      <c r="O275" s="410"/>
      <c r="P275" s="410"/>
      <c r="Q275" s="410"/>
      <c r="R275" s="410"/>
      <c r="S275" s="410"/>
    </row>
    <row r="284" spans="1:19" x14ac:dyDescent="0.25">
      <c r="A284" s="410"/>
      <c r="B284" s="410"/>
      <c r="C284" s="410"/>
      <c r="D284" s="410"/>
      <c r="E284" s="410"/>
      <c r="F284" s="410"/>
      <c r="G284" s="410"/>
      <c r="H284" s="410"/>
      <c r="I284" s="410"/>
      <c r="J284" s="410"/>
      <c r="K284" s="410"/>
      <c r="L284" s="410"/>
      <c r="M284" s="410"/>
      <c r="N284" s="410"/>
      <c r="O284" s="410"/>
      <c r="P284" s="410"/>
      <c r="Q284" s="410"/>
      <c r="R284" s="410"/>
      <c r="S284" s="410"/>
    </row>
    <row r="288" spans="1:19" x14ac:dyDescent="0.25">
      <c r="A288" s="412"/>
      <c r="B288" s="411"/>
      <c r="C288" s="411"/>
      <c r="D288" s="411"/>
      <c r="E288" s="411"/>
      <c r="F288" s="411"/>
      <c r="G288" s="413"/>
      <c r="H288" s="411"/>
      <c r="I288" s="411"/>
      <c r="J288" s="411"/>
      <c r="K288" s="411"/>
      <c r="L288" s="411"/>
      <c r="M288" s="411"/>
      <c r="N288" s="381"/>
      <c r="O288" s="381"/>
      <c r="P288" s="381"/>
      <c r="Q288" s="381"/>
      <c r="R288" s="381"/>
      <c r="S288" s="381"/>
    </row>
    <row r="315" spans="1:19" x14ac:dyDescent="0.25">
      <c r="A315" s="410"/>
      <c r="B315" s="410"/>
      <c r="C315" s="410"/>
      <c r="D315" s="410"/>
      <c r="E315" s="410"/>
      <c r="F315" s="410"/>
      <c r="G315" s="410"/>
      <c r="H315" s="410"/>
      <c r="I315" s="410"/>
      <c r="J315" s="410"/>
      <c r="K315" s="410"/>
      <c r="L315" s="410"/>
      <c r="M315" s="410"/>
      <c r="N315" s="410"/>
      <c r="O315" s="410"/>
      <c r="P315" s="410"/>
      <c r="Q315" s="410"/>
      <c r="R315" s="410"/>
      <c r="S315" s="410"/>
    </row>
    <row r="317" spans="1:19" x14ac:dyDescent="0.25">
      <c r="A317" s="410"/>
      <c r="B317" s="410"/>
      <c r="C317" s="410"/>
      <c r="D317" s="410"/>
      <c r="E317" s="410"/>
      <c r="F317" s="410"/>
      <c r="G317" s="410"/>
      <c r="H317" s="410"/>
      <c r="I317" s="410"/>
      <c r="J317" s="410"/>
      <c r="K317" s="410"/>
      <c r="L317" s="410"/>
      <c r="M317" s="410"/>
      <c r="N317" s="410"/>
      <c r="O317" s="410"/>
      <c r="P317" s="410"/>
      <c r="Q317" s="410"/>
      <c r="R317" s="410"/>
      <c r="S317" s="410"/>
    </row>
    <row r="360" spans="1:19" x14ac:dyDescent="0.25">
      <c r="A360" s="410"/>
      <c r="B360" s="410"/>
      <c r="C360" s="410"/>
      <c r="D360" s="410"/>
      <c r="E360" s="410"/>
      <c r="F360" s="410"/>
      <c r="G360" s="410"/>
      <c r="H360" s="410"/>
      <c r="I360" s="410"/>
      <c r="J360" s="410"/>
      <c r="K360" s="410"/>
      <c r="L360" s="410"/>
      <c r="M360" s="410"/>
      <c r="N360" s="410"/>
      <c r="O360" s="410"/>
      <c r="P360" s="410"/>
      <c r="Q360" s="410"/>
      <c r="R360" s="410"/>
      <c r="S360" s="410"/>
    </row>
    <row r="361" spans="1:19" x14ac:dyDescent="0.25">
      <c r="A361" s="410"/>
      <c r="B361" s="410"/>
      <c r="C361" s="410"/>
      <c r="D361" s="410"/>
      <c r="E361" s="410"/>
      <c r="F361" s="410"/>
      <c r="G361" s="410"/>
      <c r="H361" s="410"/>
      <c r="I361" s="410"/>
      <c r="J361" s="410"/>
      <c r="K361" s="410"/>
      <c r="L361" s="410"/>
      <c r="M361" s="410"/>
      <c r="N361" s="410"/>
      <c r="O361" s="410"/>
      <c r="P361" s="410"/>
      <c r="Q361" s="410"/>
      <c r="R361" s="410"/>
      <c r="S361" s="410"/>
    </row>
    <row r="362" spans="1:19" x14ac:dyDescent="0.25">
      <c r="A362" s="410"/>
      <c r="B362" s="410"/>
      <c r="C362" s="410"/>
      <c r="D362" s="410"/>
      <c r="E362" s="410"/>
      <c r="F362" s="410"/>
      <c r="G362" s="410"/>
      <c r="H362" s="410"/>
      <c r="I362" s="410"/>
      <c r="J362" s="410"/>
      <c r="K362" s="410"/>
      <c r="L362" s="410"/>
      <c r="M362" s="410"/>
      <c r="N362" s="410"/>
      <c r="O362" s="410"/>
      <c r="P362" s="410"/>
      <c r="Q362" s="410"/>
      <c r="R362" s="410"/>
      <c r="S362" s="410"/>
    </row>
    <row r="370" spans="1:19" x14ac:dyDescent="0.25">
      <c r="A370" s="410"/>
      <c r="B370" s="410"/>
      <c r="C370" s="410"/>
      <c r="D370" s="410"/>
      <c r="E370" s="410"/>
      <c r="F370" s="410"/>
      <c r="G370" s="410"/>
      <c r="H370" s="410"/>
      <c r="I370" s="410"/>
      <c r="J370" s="410"/>
      <c r="K370" s="410"/>
      <c r="L370" s="410"/>
      <c r="M370" s="410"/>
      <c r="N370" s="410"/>
      <c r="O370" s="410"/>
      <c r="P370" s="410"/>
      <c r="Q370" s="410"/>
      <c r="R370" s="410"/>
      <c r="S370" s="410"/>
    </row>
    <row r="391" spans="1:19" x14ac:dyDescent="0.25">
      <c r="A391" s="410"/>
      <c r="B391" s="410"/>
      <c r="C391" s="410"/>
      <c r="D391" s="410"/>
      <c r="E391" s="410"/>
      <c r="F391" s="410"/>
      <c r="G391" s="410"/>
      <c r="H391" s="410"/>
      <c r="I391" s="410"/>
      <c r="J391" s="410"/>
      <c r="K391" s="410"/>
      <c r="L391" s="410"/>
      <c r="M391" s="410"/>
      <c r="N391" s="410"/>
      <c r="O391" s="410"/>
      <c r="P391" s="410"/>
      <c r="Q391" s="410"/>
      <c r="R391" s="410"/>
      <c r="S391" s="410"/>
    </row>
    <row r="401" spans="1:19" x14ac:dyDescent="0.25">
      <c r="A401" s="410"/>
      <c r="B401" s="410"/>
      <c r="C401" s="410"/>
      <c r="D401" s="410"/>
      <c r="E401" s="410"/>
      <c r="F401" s="410"/>
      <c r="G401" s="410"/>
      <c r="H401" s="410"/>
      <c r="I401" s="410"/>
      <c r="J401" s="410"/>
      <c r="K401" s="410"/>
      <c r="L401" s="410"/>
      <c r="M401" s="410"/>
      <c r="N401" s="410"/>
      <c r="O401" s="410"/>
      <c r="P401" s="410"/>
      <c r="Q401" s="410"/>
      <c r="R401" s="410"/>
      <c r="S401" s="410"/>
    </row>
    <row r="403" spans="1:19" x14ac:dyDescent="0.25">
      <c r="A403" s="410"/>
      <c r="B403" s="410"/>
      <c r="C403" s="410"/>
      <c r="D403" s="410"/>
      <c r="E403" s="410"/>
      <c r="F403" s="410"/>
      <c r="G403" s="410"/>
      <c r="H403" s="410"/>
      <c r="I403" s="410"/>
      <c r="J403" s="410"/>
      <c r="K403" s="410"/>
      <c r="L403" s="410"/>
      <c r="M403" s="410"/>
      <c r="N403" s="410"/>
      <c r="O403" s="410"/>
      <c r="P403" s="410"/>
      <c r="Q403" s="410"/>
      <c r="R403" s="410"/>
      <c r="S403" s="410"/>
    </row>
    <row r="404" spans="1:19" x14ac:dyDescent="0.25">
      <c r="A404" s="410"/>
      <c r="B404" s="410"/>
      <c r="C404" s="410"/>
      <c r="D404" s="410"/>
      <c r="E404" s="410"/>
      <c r="F404" s="410"/>
      <c r="G404" s="410"/>
      <c r="H404" s="410"/>
      <c r="I404" s="410"/>
      <c r="J404" s="410"/>
      <c r="K404" s="410"/>
      <c r="L404" s="410"/>
      <c r="M404" s="410"/>
      <c r="N404" s="410"/>
      <c r="O404" s="410"/>
      <c r="P404" s="410"/>
      <c r="Q404" s="410"/>
      <c r="R404" s="410"/>
      <c r="S404" s="410"/>
    </row>
    <row r="405" spans="1:19" x14ac:dyDescent="0.25">
      <c r="A405" s="410"/>
      <c r="B405" s="410"/>
      <c r="C405" s="410"/>
      <c r="D405" s="410"/>
      <c r="E405" s="410"/>
      <c r="F405" s="410"/>
      <c r="G405" s="410"/>
      <c r="H405" s="410"/>
      <c r="I405" s="410"/>
      <c r="J405" s="410"/>
      <c r="K405" s="410"/>
      <c r="L405" s="410"/>
      <c r="M405" s="410"/>
      <c r="N405" s="410"/>
      <c r="O405" s="410"/>
      <c r="P405" s="410"/>
      <c r="Q405" s="410"/>
      <c r="R405" s="410"/>
      <c r="S405" s="410"/>
    </row>
    <row r="406" spans="1:19" x14ac:dyDescent="0.25">
      <c r="A406" s="410"/>
      <c r="B406" s="410"/>
      <c r="C406" s="410"/>
      <c r="D406" s="410"/>
      <c r="E406" s="410"/>
      <c r="F406" s="410"/>
      <c r="G406" s="410"/>
      <c r="H406" s="410"/>
      <c r="I406" s="410"/>
      <c r="J406" s="410"/>
      <c r="K406" s="410"/>
      <c r="L406" s="410"/>
      <c r="M406" s="410"/>
      <c r="N406" s="410"/>
      <c r="O406" s="410"/>
      <c r="P406" s="410"/>
      <c r="Q406" s="410"/>
      <c r="R406" s="410"/>
      <c r="S406" s="410"/>
    </row>
    <row r="407" spans="1:19" x14ac:dyDescent="0.25">
      <c r="A407" s="410"/>
      <c r="B407" s="410"/>
      <c r="C407" s="410"/>
      <c r="D407" s="410"/>
      <c r="E407" s="410"/>
      <c r="F407" s="410"/>
      <c r="G407" s="410"/>
      <c r="H407" s="410"/>
      <c r="I407" s="410"/>
      <c r="J407" s="410"/>
      <c r="K407" s="410"/>
      <c r="L407" s="410"/>
      <c r="M407" s="410"/>
      <c r="N407" s="410"/>
      <c r="O407" s="410"/>
      <c r="P407" s="410"/>
      <c r="Q407" s="410"/>
      <c r="R407" s="410"/>
      <c r="S407" s="410"/>
    </row>
    <row r="408" spans="1:19" x14ac:dyDescent="0.25">
      <c r="A408" s="410"/>
      <c r="B408" s="410"/>
      <c r="C408" s="410"/>
      <c r="D408" s="410"/>
      <c r="E408" s="410"/>
      <c r="F408" s="410"/>
      <c r="G408" s="410"/>
      <c r="H408" s="410"/>
      <c r="I408" s="410"/>
      <c r="J408" s="410"/>
      <c r="K408" s="410"/>
      <c r="L408" s="410"/>
      <c r="M408" s="410"/>
      <c r="N408" s="410"/>
      <c r="O408" s="410"/>
      <c r="P408" s="410"/>
      <c r="Q408" s="410"/>
      <c r="R408" s="410"/>
      <c r="S408" s="410"/>
    </row>
    <row r="409" spans="1:19" x14ac:dyDescent="0.25">
      <c r="A409" s="410"/>
      <c r="B409" s="410"/>
      <c r="C409" s="410"/>
      <c r="D409" s="410"/>
      <c r="E409" s="410"/>
      <c r="F409" s="410"/>
      <c r="G409" s="410"/>
      <c r="H409" s="410"/>
      <c r="I409" s="410"/>
      <c r="J409" s="410"/>
      <c r="K409" s="410"/>
      <c r="L409" s="410"/>
      <c r="M409" s="410"/>
      <c r="N409" s="410"/>
      <c r="O409" s="410"/>
      <c r="P409" s="410"/>
      <c r="Q409" s="410"/>
      <c r="R409" s="410"/>
      <c r="S409" s="410"/>
    </row>
    <row r="411" spans="1:19" ht="15.6" x14ac:dyDescent="0.3">
      <c r="A411" s="352"/>
      <c r="K411" s="363"/>
    </row>
    <row r="412" spans="1:19" x14ac:dyDescent="0.25">
      <c r="A412" s="352"/>
    </row>
    <row r="413" spans="1:19" x14ac:dyDescent="0.25">
      <c r="A413" s="352"/>
    </row>
    <row r="414" spans="1:19" x14ac:dyDescent="0.25">
      <c r="A414" s="410"/>
      <c r="B414" s="410"/>
      <c r="C414" s="410"/>
      <c r="D414" s="410"/>
      <c r="E414" s="410"/>
      <c r="F414" s="410"/>
      <c r="G414" s="410"/>
      <c r="H414" s="410"/>
      <c r="I414" s="410"/>
      <c r="J414" s="410"/>
      <c r="K414" s="410"/>
      <c r="L414" s="410"/>
      <c r="M414" s="410"/>
      <c r="N414" s="410"/>
      <c r="O414" s="410"/>
      <c r="P414" s="410"/>
      <c r="Q414" s="410"/>
      <c r="R414" s="410"/>
      <c r="S414" s="410"/>
    </row>
    <row r="421" spans="1:19" x14ac:dyDescent="0.25">
      <c r="A421" s="410"/>
      <c r="B421" s="410"/>
      <c r="C421" s="410"/>
      <c r="D421" s="410"/>
      <c r="E421" s="410"/>
      <c r="F421" s="410"/>
      <c r="G421" s="410"/>
      <c r="H421" s="410"/>
      <c r="I421" s="410"/>
      <c r="J421" s="410"/>
      <c r="K421" s="410"/>
      <c r="L421" s="410"/>
      <c r="M421" s="410"/>
      <c r="N421" s="410"/>
      <c r="O421" s="410"/>
      <c r="P421" s="410"/>
      <c r="Q421" s="410"/>
      <c r="R421" s="410"/>
      <c r="S421" s="410"/>
    </row>
    <row r="425" spans="1:19" x14ac:dyDescent="0.25">
      <c r="A425" s="410"/>
      <c r="B425" s="410"/>
      <c r="C425" s="410"/>
      <c r="D425" s="410"/>
      <c r="E425" s="410"/>
      <c r="F425" s="410"/>
      <c r="G425" s="410"/>
      <c r="H425" s="410"/>
      <c r="I425" s="410"/>
      <c r="J425" s="410"/>
      <c r="K425" s="410"/>
      <c r="L425" s="410"/>
      <c r="M425" s="410"/>
      <c r="N425" s="410"/>
      <c r="O425" s="410"/>
      <c r="P425" s="410"/>
      <c r="Q425" s="410"/>
      <c r="R425" s="410"/>
      <c r="S425" s="410"/>
    </row>
    <row r="426" spans="1:19" x14ac:dyDescent="0.25">
      <c r="A426" s="410"/>
      <c r="B426" s="410"/>
      <c r="C426" s="410"/>
      <c r="D426" s="410"/>
      <c r="E426" s="410"/>
      <c r="F426" s="410"/>
      <c r="G426" s="410"/>
      <c r="H426" s="410"/>
      <c r="I426" s="410"/>
      <c r="J426" s="410"/>
      <c r="K426" s="410"/>
      <c r="L426" s="410"/>
      <c r="M426" s="410"/>
      <c r="N426" s="410"/>
      <c r="O426" s="410"/>
      <c r="P426" s="410"/>
      <c r="Q426" s="410"/>
      <c r="R426" s="410"/>
      <c r="S426" s="410"/>
    </row>
    <row r="429" spans="1:19" x14ac:dyDescent="0.25">
      <c r="A429" s="410"/>
      <c r="B429" s="410"/>
      <c r="C429" s="410"/>
      <c r="D429" s="410"/>
      <c r="E429" s="410"/>
      <c r="F429" s="410"/>
      <c r="G429" s="410"/>
      <c r="H429" s="410"/>
      <c r="I429" s="410"/>
      <c r="J429" s="410"/>
      <c r="K429" s="410"/>
      <c r="L429" s="410"/>
      <c r="M429" s="410"/>
      <c r="N429" s="410"/>
      <c r="O429" s="410"/>
      <c r="P429" s="410"/>
      <c r="Q429" s="410"/>
      <c r="R429" s="410"/>
      <c r="S429" s="410"/>
    </row>
    <row r="430" spans="1:19" x14ac:dyDescent="0.25">
      <c r="A430" s="410"/>
      <c r="B430" s="410"/>
      <c r="C430" s="410"/>
      <c r="D430" s="410"/>
      <c r="E430" s="410"/>
      <c r="F430" s="410"/>
      <c r="G430" s="410"/>
      <c r="H430" s="410"/>
      <c r="I430" s="410"/>
      <c r="J430" s="410"/>
      <c r="K430" s="410"/>
      <c r="L430" s="410"/>
      <c r="M430" s="410"/>
      <c r="N430" s="410"/>
      <c r="O430" s="410"/>
      <c r="P430" s="410"/>
      <c r="Q430" s="410"/>
      <c r="R430" s="410"/>
      <c r="S430" s="410"/>
    </row>
    <row r="431" spans="1:19" x14ac:dyDescent="0.25">
      <c r="A431" s="410"/>
      <c r="B431" s="410"/>
      <c r="C431" s="410"/>
      <c r="D431" s="410"/>
      <c r="E431" s="410"/>
      <c r="F431" s="410"/>
      <c r="G431" s="410"/>
      <c r="H431" s="410"/>
      <c r="I431" s="410"/>
      <c r="J431" s="410"/>
      <c r="K431" s="410"/>
      <c r="L431" s="410"/>
      <c r="M431" s="410"/>
      <c r="N431" s="410"/>
      <c r="O431" s="410"/>
      <c r="P431" s="410"/>
      <c r="Q431" s="410"/>
      <c r="R431" s="410"/>
      <c r="S431" s="410"/>
    </row>
    <row r="432" spans="1:19" x14ac:dyDescent="0.25">
      <c r="A432" s="412"/>
      <c r="B432" s="411"/>
      <c r="C432" s="411"/>
      <c r="D432" s="411"/>
      <c r="E432" s="411"/>
      <c r="F432" s="411"/>
      <c r="G432" s="413"/>
      <c r="H432" s="411"/>
      <c r="I432" s="411"/>
      <c r="J432" s="411"/>
      <c r="K432" s="411"/>
      <c r="L432" s="411"/>
      <c r="M432" s="411"/>
      <c r="N432" s="381"/>
      <c r="O432" s="381"/>
      <c r="P432" s="381"/>
      <c r="Q432" s="381"/>
      <c r="R432" s="381"/>
      <c r="S432" s="381"/>
    </row>
    <row r="433" spans="1:19" x14ac:dyDescent="0.25">
      <c r="A433" s="410"/>
      <c r="B433" s="410"/>
      <c r="C433" s="410"/>
      <c r="D433" s="410"/>
      <c r="E433" s="410"/>
      <c r="F433" s="410"/>
      <c r="G433" s="410"/>
      <c r="H433" s="410"/>
      <c r="I433" s="410"/>
      <c r="J433" s="410"/>
      <c r="K433" s="410"/>
      <c r="L433" s="410"/>
      <c r="M433" s="410"/>
      <c r="N433" s="410"/>
      <c r="O433" s="410"/>
      <c r="P433" s="410"/>
      <c r="Q433" s="410"/>
      <c r="R433" s="410"/>
      <c r="S433" s="410"/>
    </row>
    <row r="435" spans="1:19" x14ac:dyDescent="0.25">
      <c r="A435" s="412"/>
      <c r="B435" s="411"/>
      <c r="C435" s="411"/>
      <c r="D435" s="411"/>
      <c r="E435" s="411"/>
      <c r="F435" s="411"/>
      <c r="G435" s="413"/>
      <c r="H435" s="411"/>
      <c r="I435" s="411"/>
      <c r="J435" s="411"/>
      <c r="K435" s="411"/>
      <c r="L435" s="411"/>
      <c r="M435" s="411"/>
      <c r="N435" s="381"/>
      <c r="O435" s="381"/>
      <c r="P435" s="381"/>
      <c r="Q435" s="381"/>
      <c r="R435" s="381"/>
      <c r="S435" s="381"/>
    </row>
    <row r="445" spans="1:19" x14ac:dyDescent="0.25">
      <c r="A445" s="410"/>
      <c r="B445" s="410"/>
      <c r="C445" s="410"/>
      <c r="D445" s="410"/>
      <c r="E445" s="410"/>
      <c r="F445" s="410"/>
      <c r="G445" s="410"/>
      <c r="H445" s="410"/>
      <c r="I445" s="410"/>
      <c r="J445" s="410"/>
      <c r="K445" s="410"/>
      <c r="L445" s="410"/>
      <c r="M445" s="410"/>
      <c r="N445" s="410"/>
      <c r="O445" s="410"/>
      <c r="P445" s="410"/>
      <c r="Q445" s="410"/>
      <c r="R445" s="410"/>
      <c r="S445" s="410"/>
    </row>
    <row r="455" spans="1:19" x14ac:dyDescent="0.25">
      <c r="A455" s="410"/>
      <c r="B455" s="410"/>
      <c r="C455" s="410"/>
      <c r="D455" s="410"/>
      <c r="E455" s="410"/>
      <c r="F455" s="410"/>
      <c r="G455" s="410"/>
      <c r="H455" s="410"/>
      <c r="I455" s="410"/>
      <c r="J455" s="410"/>
      <c r="K455" s="410"/>
      <c r="L455" s="410"/>
      <c r="M455" s="410"/>
      <c r="N455" s="410"/>
      <c r="O455" s="410"/>
      <c r="P455" s="410"/>
      <c r="Q455" s="410"/>
      <c r="R455" s="410"/>
      <c r="S455" s="410"/>
    </row>
    <row r="465" spans="1:19" x14ac:dyDescent="0.25">
      <c r="A465" s="352"/>
      <c r="G465" s="352"/>
    </row>
    <row r="466" spans="1:19" x14ac:dyDescent="0.25">
      <c r="A466" s="352"/>
      <c r="G466" s="352"/>
    </row>
    <row r="467" spans="1:19" x14ac:dyDescent="0.25">
      <c r="A467" s="352"/>
      <c r="G467" s="352"/>
    </row>
    <row r="468" spans="1:19" x14ac:dyDescent="0.25">
      <c r="A468" s="352"/>
      <c r="G468" s="352"/>
    </row>
    <row r="469" spans="1:19" x14ac:dyDescent="0.25">
      <c r="A469" s="352"/>
      <c r="G469" s="352"/>
    </row>
    <row r="470" spans="1:19" x14ac:dyDescent="0.25">
      <c r="A470" s="352"/>
      <c r="G470" s="352"/>
    </row>
    <row r="471" spans="1:19" x14ac:dyDescent="0.25">
      <c r="A471" s="352"/>
      <c r="G471" s="352"/>
    </row>
    <row r="472" spans="1:19" x14ac:dyDescent="0.25">
      <c r="A472" s="352"/>
      <c r="G472" s="352"/>
    </row>
    <row r="474" spans="1:19" x14ac:dyDescent="0.25">
      <c r="A474" s="410"/>
      <c r="B474" s="410"/>
      <c r="C474" s="410"/>
      <c r="D474" s="410"/>
      <c r="E474" s="410"/>
      <c r="F474" s="410"/>
      <c r="G474" s="410"/>
      <c r="H474" s="410"/>
      <c r="I474" s="410"/>
      <c r="J474" s="410"/>
      <c r="K474" s="410"/>
      <c r="L474" s="410"/>
      <c r="M474" s="410"/>
      <c r="N474" s="410"/>
      <c r="O474" s="410"/>
      <c r="P474" s="410"/>
      <c r="Q474" s="410"/>
      <c r="R474" s="410"/>
      <c r="S474" s="410"/>
    </row>
    <row r="475" spans="1:19" x14ac:dyDescent="0.25">
      <c r="A475" s="410"/>
      <c r="B475" s="410"/>
      <c r="C475" s="410"/>
      <c r="D475" s="410"/>
      <c r="E475" s="410"/>
      <c r="F475" s="410"/>
      <c r="G475" s="410"/>
      <c r="H475" s="410"/>
      <c r="I475" s="410"/>
      <c r="J475" s="410"/>
      <c r="K475" s="410"/>
      <c r="L475" s="410"/>
      <c r="M475" s="410"/>
      <c r="N475" s="410"/>
      <c r="O475" s="410"/>
      <c r="P475" s="410"/>
      <c r="Q475" s="410"/>
      <c r="R475" s="410"/>
      <c r="S475" s="410"/>
    </row>
    <row r="476" spans="1:19" x14ac:dyDescent="0.25">
      <c r="A476" s="410"/>
      <c r="B476" s="410"/>
      <c r="C476" s="410"/>
      <c r="D476" s="410"/>
      <c r="E476" s="410"/>
      <c r="F476" s="410"/>
      <c r="G476" s="410"/>
      <c r="H476" s="410"/>
      <c r="I476" s="410"/>
      <c r="J476" s="410"/>
      <c r="K476" s="410"/>
      <c r="L476" s="410"/>
      <c r="M476" s="410"/>
      <c r="N476" s="410"/>
      <c r="O476" s="410"/>
      <c r="P476" s="410"/>
      <c r="Q476" s="410"/>
      <c r="R476" s="410"/>
      <c r="S476" s="410"/>
    </row>
    <row r="477" spans="1:19" x14ac:dyDescent="0.25">
      <c r="A477" s="410"/>
      <c r="B477" s="410"/>
      <c r="C477" s="410"/>
      <c r="D477" s="410"/>
      <c r="E477" s="410"/>
      <c r="F477" s="410"/>
      <c r="G477" s="410"/>
      <c r="H477" s="410"/>
      <c r="I477" s="410"/>
      <c r="J477" s="410"/>
      <c r="K477" s="410"/>
      <c r="L477" s="410"/>
      <c r="M477" s="410"/>
      <c r="N477" s="410"/>
      <c r="O477" s="410"/>
      <c r="P477" s="410"/>
      <c r="Q477" s="410"/>
      <c r="R477" s="410"/>
      <c r="S477" s="410"/>
    </row>
    <row r="478" spans="1:19" x14ac:dyDescent="0.25">
      <c r="A478" s="410"/>
      <c r="B478" s="410"/>
      <c r="C478" s="410"/>
      <c r="D478" s="410"/>
      <c r="E478" s="410"/>
      <c r="F478" s="410"/>
      <c r="G478" s="410"/>
      <c r="H478" s="410"/>
      <c r="I478" s="410"/>
      <c r="J478" s="410"/>
      <c r="K478" s="410"/>
      <c r="L478" s="410"/>
      <c r="M478" s="410"/>
      <c r="N478" s="410"/>
      <c r="O478" s="410"/>
      <c r="P478" s="410"/>
      <c r="Q478" s="410"/>
      <c r="R478" s="410"/>
      <c r="S478" s="410"/>
    </row>
    <row r="479" spans="1:19" x14ac:dyDescent="0.25">
      <c r="A479" s="410"/>
      <c r="B479" s="410"/>
      <c r="C479" s="410"/>
      <c r="D479" s="410"/>
      <c r="E479" s="410"/>
      <c r="F479" s="410"/>
      <c r="G479" s="410"/>
      <c r="H479" s="410"/>
      <c r="I479" s="410"/>
      <c r="J479" s="410"/>
      <c r="K479" s="410"/>
      <c r="L479" s="410"/>
      <c r="M479" s="410"/>
      <c r="N479" s="410"/>
      <c r="O479" s="410"/>
      <c r="P479" s="410"/>
      <c r="Q479" s="410"/>
      <c r="R479" s="410"/>
      <c r="S479" s="410"/>
    </row>
    <row r="480" spans="1:19" x14ac:dyDescent="0.25">
      <c r="A480" s="410"/>
      <c r="B480" s="410"/>
      <c r="C480" s="410"/>
      <c r="D480" s="410"/>
      <c r="E480" s="410"/>
      <c r="F480" s="410"/>
      <c r="G480" s="410"/>
      <c r="H480" s="410"/>
      <c r="I480" s="410"/>
      <c r="J480" s="410"/>
      <c r="K480" s="410"/>
      <c r="L480" s="410"/>
      <c r="M480" s="410"/>
      <c r="N480" s="410"/>
      <c r="O480" s="410"/>
      <c r="P480" s="410"/>
      <c r="Q480" s="410"/>
      <c r="R480" s="410"/>
      <c r="S480" s="410"/>
    </row>
    <row r="481" spans="1:19" x14ac:dyDescent="0.25">
      <c r="A481" s="410"/>
      <c r="B481" s="410"/>
      <c r="C481" s="410"/>
      <c r="D481" s="410"/>
      <c r="E481" s="410"/>
      <c r="F481" s="410"/>
      <c r="G481" s="410"/>
      <c r="H481" s="410"/>
      <c r="I481" s="410"/>
      <c r="J481" s="410"/>
      <c r="K481" s="410"/>
      <c r="L481" s="410"/>
      <c r="M481" s="410"/>
      <c r="N481" s="410"/>
      <c r="O481" s="410"/>
      <c r="P481" s="410"/>
      <c r="Q481" s="410"/>
      <c r="R481" s="410"/>
      <c r="S481" s="410"/>
    </row>
    <row r="482" spans="1:19" x14ac:dyDescent="0.25">
      <c r="A482" s="410"/>
      <c r="B482" s="410"/>
      <c r="C482" s="410"/>
      <c r="D482" s="410"/>
      <c r="E482" s="410"/>
      <c r="F482" s="410"/>
      <c r="G482" s="410"/>
      <c r="H482" s="410"/>
      <c r="I482" s="410"/>
      <c r="J482" s="410"/>
      <c r="K482" s="410"/>
      <c r="L482" s="410"/>
      <c r="M482" s="410"/>
      <c r="N482" s="410"/>
      <c r="O482" s="410"/>
      <c r="P482" s="410"/>
      <c r="Q482" s="410"/>
      <c r="R482" s="410"/>
      <c r="S482" s="410"/>
    </row>
    <row r="483" spans="1:19" x14ac:dyDescent="0.25">
      <c r="A483" s="410"/>
      <c r="B483" s="410"/>
      <c r="C483" s="410"/>
      <c r="D483" s="410"/>
      <c r="E483" s="410"/>
      <c r="F483" s="410"/>
      <c r="G483" s="410"/>
      <c r="H483" s="410"/>
      <c r="I483" s="410"/>
      <c r="J483" s="410"/>
      <c r="K483" s="410"/>
      <c r="L483" s="410"/>
      <c r="M483" s="410"/>
      <c r="N483" s="410"/>
      <c r="O483" s="410"/>
      <c r="P483" s="410"/>
      <c r="Q483" s="410"/>
      <c r="R483" s="410"/>
      <c r="S483" s="410"/>
    </row>
    <row r="484" spans="1:19" x14ac:dyDescent="0.25">
      <c r="A484" s="410"/>
      <c r="B484" s="410"/>
      <c r="C484" s="410"/>
      <c r="D484" s="410"/>
      <c r="E484" s="410"/>
      <c r="F484" s="410"/>
      <c r="G484" s="410"/>
      <c r="H484" s="410"/>
      <c r="I484" s="410"/>
      <c r="J484" s="410"/>
      <c r="K484" s="410"/>
      <c r="L484" s="410"/>
      <c r="M484" s="410"/>
      <c r="N484" s="410"/>
      <c r="O484" s="410"/>
      <c r="P484" s="410"/>
      <c r="Q484" s="410"/>
      <c r="R484" s="410"/>
      <c r="S484" s="410"/>
    </row>
    <row r="485" spans="1:19" x14ac:dyDescent="0.25">
      <c r="A485" s="410"/>
      <c r="B485" s="410"/>
      <c r="C485" s="410"/>
      <c r="D485" s="410"/>
      <c r="E485" s="410"/>
      <c r="F485" s="410"/>
      <c r="G485" s="410"/>
      <c r="H485" s="410"/>
      <c r="I485" s="410"/>
      <c r="J485" s="410"/>
      <c r="K485" s="410"/>
      <c r="L485" s="410"/>
      <c r="M485" s="410"/>
      <c r="N485" s="410"/>
      <c r="O485" s="410"/>
      <c r="P485" s="410"/>
      <c r="Q485" s="410"/>
      <c r="R485" s="410"/>
      <c r="S485" s="410"/>
    </row>
    <row r="486" spans="1:19" x14ac:dyDescent="0.25">
      <c r="A486" s="410"/>
      <c r="B486" s="410"/>
      <c r="C486" s="410"/>
      <c r="D486" s="410"/>
      <c r="E486" s="410"/>
      <c r="F486" s="410"/>
      <c r="G486" s="410"/>
      <c r="H486" s="410"/>
      <c r="I486" s="410"/>
      <c r="J486" s="410"/>
      <c r="K486" s="410"/>
      <c r="L486" s="410"/>
      <c r="M486" s="410"/>
      <c r="N486" s="410"/>
      <c r="O486" s="410"/>
      <c r="P486" s="410"/>
      <c r="Q486" s="410"/>
      <c r="R486" s="410"/>
      <c r="S486" s="410"/>
    </row>
    <row r="487" spans="1:19" x14ac:dyDescent="0.25">
      <c r="A487" s="410"/>
      <c r="B487" s="410"/>
      <c r="C487" s="410"/>
      <c r="D487" s="410"/>
      <c r="E487" s="410"/>
      <c r="F487" s="410"/>
      <c r="G487" s="410"/>
      <c r="H487" s="410"/>
      <c r="I487" s="410"/>
      <c r="J487" s="410"/>
      <c r="K487" s="410"/>
      <c r="L487" s="410"/>
      <c r="M487" s="410"/>
      <c r="N487" s="410"/>
      <c r="O487" s="410"/>
      <c r="P487" s="410"/>
      <c r="Q487" s="410"/>
      <c r="R487" s="410"/>
      <c r="S487" s="410"/>
    </row>
    <row r="488" spans="1:19" x14ac:dyDescent="0.25">
      <c r="A488" s="410"/>
      <c r="B488" s="410"/>
      <c r="C488" s="410"/>
      <c r="D488" s="410"/>
      <c r="E488" s="410"/>
      <c r="F488" s="410"/>
      <c r="G488" s="410"/>
      <c r="H488" s="410"/>
      <c r="I488" s="410"/>
      <c r="J488" s="410"/>
      <c r="K488" s="410"/>
      <c r="L488" s="410"/>
      <c r="M488" s="410"/>
      <c r="N488" s="410"/>
      <c r="O488" s="410"/>
      <c r="P488" s="410"/>
      <c r="Q488" s="410"/>
      <c r="R488" s="410"/>
      <c r="S488" s="410"/>
    </row>
    <row r="489" spans="1:19" x14ac:dyDescent="0.25">
      <c r="A489" s="410"/>
      <c r="B489" s="410"/>
      <c r="C489" s="410"/>
      <c r="D489" s="410"/>
      <c r="E489" s="410"/>
      <c r="F489" s="410"/>
      <c r="G489" s="410"/>
      <c r="H489" s="410"/>
      <c r="I489" s="410"/>
      <c r="J489" s="410"/>
      <c r="K489" s="410"/>
      <c r="L489" s="410"/>
      <c r="M489" s="410"/>
      <c r="N489" s="410"/>
      <c r="O489" s="410"/>
      <c r="P489" s="410"/>
      <c r="Q489" s="410"/>
      <c r="R489" s="410"/>
      <c r="S489" s="410"/>
    </row>
    <row r="495" spans="1:19" x14ac:dyDescent="0.25">
      <c r="A495" s="410"/>
      <c r="B495" s="410"/>
      <c r="C495" s="410"/>
      <c r="D495" s="410"/>
      <c r="E495" s="410"/>
      <c r="F495" s="410"/>
      <c r="G495" s="410"/>
      <c r="H495" s="410"/>
      <c r="I495" s="410"/>
      <c r="J495" s="410"/>
      <c r="K495" s="410"/>
      <c r="L495" s="410"/>
      <c r="M495" s="410"/>
      <c r="N495" s="410"/>
      <c r="O495" s="410"/>
      <c r="P495" s="410"/>
      <c r="Q495" s="410"/>
      <c r="R495" s="410"/>
      <c r="S495" s="410"/>
    </row>
    <row r="498" spans="1:19" x14ac:dyDescent="0.25">
      <c r="A498" s="410"/>
      <c r="B498" s="410"/>
      <c r="C498" s="410"/>
      <c r="D498" s="410"/>
      <c r="E498" s="410"/>
      <c r="F498" s="410"/>
      <c r="G498" s="410"/>
      <c r="H498" s="410"/>
      <c r="I498" s="410"/>
      <c r="J498" s="410"/>
      <c r="K498" s="410"/>
      <c r="L498" s="410"/>
      <c r="M498" s="410"/>
      <c r="N498" s="410"/>
      <c r="O498" s="410"/>
      <c r="P498" s="410"/>
      <c r="Q498" s="410"/>
      <c r="R498" s="410"/>
      <c r="S498" s="410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8CCE6-F989-44A7-B890-5887E2E6225B}">
  <dimension ref="A5:C21"/>
  <sheetViews>
    <sheetView workbookViewId="0">
      <selection activeCell="C14" sqref="C14"/>
    </sheetView>
  </sheetViews>
  <sheetFormatPr baseColWidth="10" defaultRowHeight="14.4" x14ac:dyDescent="0.3"/>
  <sheetData>
    <row r="5" spans="1:3" ht="15" thickBot="1" x14ac:dyDescent="0.35"/>
    <row r="6" spans="1:3" ht="15" thickBot="1" x14ac:dyDescent="0.35">
      <c r="A6" s="275"/>
      <c r="B6" s="276" t="s">
        <v>204</v>
      </c>
      <c r="C6" s="277" t="s">
        <v>5</v>
      </c>
    </row>
    <row r="7" spans="1:3" x14ac:dyDescent="0.3">
      <c r="A7" s="278" t="s">
        <v>218</v>
      </c>
      <c r="B7" s="279" t="s">
        <v>205</v>
      </c>
      <c r="C7" s="280">
        <v>0.96</v>
      </c>
    </row>
    <row r="8" spans="1:3" x14ac:dyDescent="0.3">
      <c r="A8" s="278" t="s">
        <v>203</v>
      </c>
      <c r="B8" s="279" t="s">
        <v>206</v>
      </c>
      <c r="C8" s="280">
        <v>0.97</v>
      </c>
    </row>
    <row r="9" spans="1:3" x14ac:dyDescent="0.3">
      <c r="A9" s="278" t="s">
        <v>233</v>
      </c>
      <c r="B9" s="279" t="s">
        <v>206</v>
      </c>
      <c r="C9" s="280">
        <v>0.97</v>
      </c>
    </row>
    <row r="10" spans="1:3" x14ac:dyDescent="0.3">
      <c r="A10" s="278" t="s">
        <v>211</v>
      </c>
      <c r="B10" s="279" t="s">
        <v>212</v>
      </c>
      <c r="C10" s="280">
        <v>0.98</v>
      </c>
    </row>
    <row r="11" spans="1:3" x14ac:dyDescent="0.3">
      <c r="A11" s="278" t="s">
        <v>213</v>
      </c>
      <c r="B11" s="279" t="s">
        <v>207</v>
      </c>
      <c r="C11" s="280">
        <v>0.99</v>
      </c>
    </row>
    <row r="12" spans="1:3" x14ac:dyDescent="0.3">
      <c r="A12" s="278" t="s">
        <v>222</v>
      </c>
      <c r="B12" s="279" t="s">
        <v>223</v>
      </c>
      <c r="C12" s="280">
        <v>0.99</v>
      </c>
    </row>
    <row r="13" spans="1:3" x14ac:dyDescent="0.3">
      <c r="A13" s="278" t="s">
        <v>214</v>
      </c>
      <c r="B13" s="279" t="s">
        <v>208</v>
      </c>
      <c r="C13" s="280">
        <v>1</v>
      </c>
    </row>
    <row r="14" spans="1:3" x14ac:dyDescent="0.3">
      <c r="A14" s="278" t="s">
        <v>216</v>
      </c>
      <c r="B14" s="279" t="s">
        <v>217</v>
      </c>
      <c r="C14" s="280">
        <v>1.02</v>
      </c>
    </row>
    <row r="15" spans="1:3" x14ac:dyDescent="0.3">
      <c r="A15" s="278" t="s">
        <v>219</v>
      </c>
      <c r="B15" s="279" t="s">
        <v>220</v>
      </c>
      <c r="C15" s="280"/>
    </row>
    <row r="16" spans="1:3" x14ac:dyDescent="0.3">
      <c r="A16" s="278" t="s">
        <v>578</v>
      </c>
      <c r="B16" s="279" t="s">
        <v>579</v>
      </c>
      <c r="C16" s="280">
        <v>1.02</v>
      </c>
    </row>
    <row r="17" spans="1:3" x14ac:dyDescent="0.3">
      <c r="A17" s="278" t="s">
        <v>215</v>
      </c>
      <c r="B17" s="279" t="s">
        <v>209</v>
      </c>
      <c r="C17" s="280">
        <v>1.03</v>
      </c>
    </row>
    <row r="18" spans="1:3" x14ac:dyDescent="0.3">
      <c r="A18" s="278" t="s">
        <v>252</v>
      </c>
      <c r="B18" s="279" t="s">
        <v>210</v>
      </c>
      <c r="C18" s="280">
        <v>1.05</v>
      </c>
    </row>
    <row r="19" spans="1:3" x14ac:dyDescent="0.3">
      <c r="A19" s="278"/>
      <c r="B19" s="279"/>
      <c r="C19" s="280"/>
    </row>
    <row r="20" spans="1:3" ht="15" thickBot="1" x14ac:dyDescent="0.35">
      <c r="A20" s="281"/>
      <c r="B20" s="282"/>
      <c r="C20" s="283"/>
    </row>
    <row r="21" spans="1:3" ht="15" thickTop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FEAE6-A5FB-47A8-B36E-F04B08D22CCC}">
  <dimension ref="A3:B144"/>
  <sheetViews>
    <sheetView workbookViewId="0">
      <selection activeCell="A6" sqref="A6"/>
    </sheetView>
  </sheetViews>
  <sheetFormatPr baseColWidth="10" defaultRowHeight="14.4" x14ac:dyDescent="0.3"/>
  <sheetData>
    <row r="3" spans="1:1" ht="20.399999999999999" x14ac:dyDescent="0.3">
      <c r="A3" s="349" t="s">
        <v>268</v>
      </c>
    </row>
    <row r="4" spans="1:1" ht="20.399999999999999" x14ac:dyDescent="0.3">
      <c r="A4" s="349" t="s">
        <v>269</v>
      </c>
    </row>
    <row r="5" spans="1:1" ht="17.399999999999999" x14ac:dyDescent="0.3">
      <c r="A5" s="350" t="s">
        <v>270</v>
      </c>
    </row>
    <row r="6" spans="1:1" ht="15.6" x14ac:dyDescent="0.3">
      <c r="A6" s="344"/>
    </row>
    <row r="7" spans="1:1" ht="15.6" x14ac:dyDescent="0.3">
      <c r="A7" s="344" t="s">
        <v>271</v>
      </c>
    </row>
    <row r="8" spans="1:1" ht="15.6" x14ac:dyDescent="0.3">
      <c r="A8" s="343"/>
    </row>
    <row r="9" spans="1:1" ht="15.6" x14ac:dyDescent="0.3">
      <c r="A9" s="344" t="s">
        <v>272</v>
      </c>
    </row>
    <row r="10" spans="1:1" ht="15.6" x14ac:dyDescent="0.3">
      <c r="A10" s="344"/>
    </row>
    <row r="11" spans="1:1" ht="15.6" x14ac:dyDescent="0.3">
      <c r="A11" s="344" t="s">
        <v>273</v>
      </c>
    </row>
    <row r="12" spans="1:1" ht="15.6" x14ac:dyDescent="0.3">
      <c r="A12" s="344"/>
    </row>
    <row r="13" spans="1:1" ht="15.6" x14ac:dyDescent="0.3">
      <c r="A13" s="344" t="s">
        <v>274</v>
      </c>
    </row>
    <row r="14" spans="1:1" ht="15.6" x14ac:dyDescent="0.3">
      <c r="A14" s="344"/>
    </row>
    <row r="15" spans="1:1" ht="15.6" x14ac:dyDescent="0.3">
      <c r="A15" s="344" t="s">
        <v>275</v>
      </c>
    </row>
    <row r="16" spans="1:1" ht="15.6" x14ac:dyDescent="0.3">
      <c r="A16" s="344"/>
    </row>
    <row r="17" spans="1:1" ht="15.6" x14ac:dyDescent="0.3">
      <c r="A17" s="344" t="s">
        <v>276</v>
      </c>
    </row>
    <row r="18" spans="1:1" ht="15.6" x14ac:dyDescent="0.3">
      <c r="A18" s="343"/>
    </row>
    <row r="19" spans="1:1" ht="15.6" x14ac:dyDescent="0.3">
      <c r="A19" s="345" t="s">
        <v>277</v>
      </c>
    </row>
    <row r="20" spans="1:1" ht="15.6" x14ac:dyDescent="0.3">
      <c r="A20" s="343"/>
    </row>
    <row r="21" spans="1:1" ht="15.6" x14ac:dyDescent="0.3">
      <c r="A21" s="343" t="s">
        <v>278</v>
      </c>
    </row>
    <row r="22" spans="1:1" ht="15.6" x14ac:dyDescent="0.3">
      <c r="A22" s="343"/>
    </row>
    <row r="23" spans="1:1" ht="15.6" x14ac:dyDescent="0.3">
      <c r="A23" s="343" t="s">
        <v>279</v>
      </c>
    </row>
    <row r="24" spans="1:1" ht="15.6" x14ac:dyDescent="0.3">
      <c r="A24" s="343"/>
    </row>
    <row r="25" spans="1:1" ht="15.6" x14ac:dyDescent="0.3">
      <c r="A25" s="343" t="s">
        <v>280</v>
      </c>
    </row>
    <row r="26" spans="1:1" ht="15.6" x14ac:dyDescent="0.3">
      <c r="A26" s="343"/>
    </row>
    <row r="27" spans="1:1" ht="15.6" x14ac:dyDescent="0.3">
      <c r="A27" s="343" t="s">
        <v>281</v>
      </c>
    </row>
    <row r="28" spans="1:1" ht="15.6" x14ac:dyDescent="0.3">
      <c r="A28" s="343"/>
    </row>
    <row r="29" spans="1:1" ht="15.6" x14ac:dyDescent="0.3">
      <c r="A29" s="343" t="s">
        <v>282</v>
      </c>
    </row>
    <row r="30" spans="1:1" ht="15.6" x14ac:dyDescent="0.3">
      <c r="A30" s="344"/>
    </row>
    <row r="31" spans="1:1" ht="15.6" x14ac:dyDescent="0.3">
      <c r="A31" s="345" t="s">
        <v>283</v>
      </c>
    </row>
    <row r="32" spans="1:1" ht="15.6" x14ac:dyDescent="0.3">
      <c r="A32" s="343"/>
    </row>
    <row r="33" spans="1:1" ht="15.6" x14ac:dyDescent="0.3">
      <c r="A33" s="343" t="s">
        <v>278</v>
      </c>
    </row>
    <row r="34" spans="1:1" ht="15.6" x14ac:dyDescent="0.3">
      <c r="A34" s="343"/>
    </row>
    <row r="35" spans="1:1" ht="15.6" x14ac:dyDescent="0.3">
      <c r="A35" s="343" t="s">
        <v>284</v>
      </c>
    </row>
    <row r="36" spans="1:1" ht="15.6" x14ac:dyDescent="0.3">
      <c r="A36" s="343"/>
    </row>
    <row r="37" spans="1:1" ht="15.6" x14ac:dyDescent="0.3">
      <c r="A37" s="343" t="s">
        <v>285</v>
      </c>
    </row>
    <row r="38" spans="1:1" ht="15.6" x14ac:dyDescent="0.3">
      <c r="A38" s="344"/>
    </row>
    <row r="39" spans="1:1" ht="15.6" x14ac:dyDescent="0.3">
      <c r="A39" s="345" t="s">
        <v>286</v>
      </c>
    </row>
    <row r="40" spans="1:1" ht="15.6" x14ac:dyDescent="0.3">
      <c r="A40" s="343" t="s">
        <v>287</v>
      </c>
    </row>
    <row r="41" spans="1:1" x14ac:dyDescent="0.3">
      <c r="A41" s="346" t="s">
        <v>288</v>
      </c>
    </row>
    <row r="42" spans="1:1" ht="15.6" x14ac:dyDescent="0.3">
      <c r="A42" s="343"/>
    </row>
    <row r="43" spans="1:1" ht="15.6" x14ac:dyDescent="0.3">
      <c r="A43" s="343" t="s">
        <v>289</v>
      </c>
    </row>
    <row r="44" spans="1:1" ht="15.6" x14ac:dyDescent="0.3">
      <c r="A44" s="343"/>
    </row>
    <row r="45" spans="1:1" ht="15.6" x14ac:dyDescent="0.3">
      <c r="A45" s="343" t="s">
        <v>290</v>
      </c>
    </row>
    <row r="46" spans="1:1" ht="15.6" x14ac:dyDescent="0.3">
      <c r="A46" s="343"/>
    </row>
    <row r="47" spans="1:1" ht="15.6" x14ac:dyDescent="0.3">
      <c r="A47" s="343" t="s">
        <v>291</v>
      </c>
    </row>
    <row r="48" spans="1:1" ht="15.6" x14ac:dyDescent="0.3">
      <c r="A48" s="344"/>
    </row>
    <row r="49" spans="1:1" ht="15.6" x14ac:dyDescent="0.3">
      <c r="A49" s="347" t="s">
        <v>292</v>
      </c>
    </row>
    <row r="50" spans="1:1" ht="15.6" x14ac:dyDescent="0.3">
      <c r="A50" s="343" t="s">
        <v>293</v>
      </c>
    </row>
    <row r="51" spans="1:1" ht="15.6" x14ac:dyDescent="0.3">
      <c r="A51" s="343"/>
    </row>
    <row r="52" spans="1:1" ht="15.6" x14ac:dyDescent="0.3">
      <c r="A52" s="344"/>
    </row>
    <row r="54" spans="1:1" ht="15.6" x14ac:dyDescent="0.3">
      <c r="A54" s="344"/>
    </row>
    <row r="55" spans="1:1" ht="15.6" x14ac:dyDescent="0.3">
      <c r="A55" s="344"/>
    </row>
    <row r="56" spans="1:1" ht="15.6" x14ac:dyDescent="0.3">
      <c r="A56" s="345" t="s">
        <v>294</v>
      </c>
    </row>
    <row r="57" spans="1:1" ht="15.6" x14ac:dyDescent="0.3">
      <c r="A57" s="344" t="s">
        <v>295</v>
      </c>
    </row>
    <row r="58" spans="1:1" ht="15.6" x14ac:dyDescent="0.3">
      <c r="A58" s="344"/>
    </row>
    <row r="59" spans="1:1" ht="15.6" x14ac:dyDescent="0.3">
      <c r="A59" s="344" t="s">
        <v>296</v>
      </c>
    </row>
    <row r="60" spans="1:1" ht="15.6" x14ac:dyDescent="0.3">
      <c r="A60" s="344"/>
    </row>
    <row r="61" spans="1:1" ht="15.6" x14ac:dyDescent="0.3">
      <c r="A61" s="344" t="s">
        <v>297</v>
      </c>
    </row>
    <row r="62" spans="1:1" ht="15.6" x14ac:dyDescent="0.3">
      <c r="A62" s="344"/>
    </row>
    <row r="63" spans="1:1" ht="15.6" x14ac:dyDescent="0.3">
      <c r="A63" s="344" t="s">
        <v>298</v>
      </c>
    </row>
    <row r="64" spans="1:1" ht="15.6" x14ac:dyDescent="0.3">
      <c r="A64" s="344"/>
    </row>
    <row r="65" spans="1:2" ht="16.2" x14ac:dyDescent="0.3">
      <c r="A65" s="344" t="s">
        <v>299</v>
      </c>
    </row>
    <row r="66" spans="1:2" ht="15.6" x14ac:dyDescent="0.3">
      <c r="A66" s="344"/>
    </row>
    <row r="67" spans="1:2" ht="15.6" x14ac:dyDescent="0.3">
      <c r="A67" s="344" t="s">
        <v>300</v>
      </c>
    </row>
    <row r="68" spans="1:2" ht="15.6" x14ac:dyDescent="0.3">
      <c r="A68" s="343"/>
    </row>
    <row r="69" spans="1:2" ht="15.6" x14ac:dyDescent="0.3">
      <c r="A69" s="344" t="s">
        <v>301</v>
      </c>
    </row>
    <row r="70" spans="1:2" ht="15.6" x14ac:dyDescent="0.3">
      <c r="A70" s="344"/>
    </row>
    <row r="71" spans="1:2" ht="15.6" x14ac:dyDescent="0.3">
      <c r="A71" s="344" t="s">
        <v>302</v>
      </c>
    </row>
    <row r="72" spans="1:2" ht="15.6" x14ac:dyDescent="0.3">
      <c r="A72" s="343"/>
    </row>
    <row r="73" spans="1:2" ht="15.6" x14ac:dyDescent="0.3">
      <c r="A73" s="344" t="s">
        <v>303</v>
      </c>
    </row>
    <row r="74" spans="1:2" ht="15.6" x14ac:dyDescent="0.3">
      <c r="A74" s="343" t="s">
        <v>304</v>
      </c>
    </row>
    <row r="75" spans="1:2" ht="15.6" x14ac:dyDescent="0.3">
      <c r="A75" s="344"/>
    </row>
    <row r="76" spans="1:2" ht="15.6" x14ac:dyDescent="0.3">
      <c r="A76" s="344"/>
    </row>
    <row r="77" spans="1:2" ht="15.6" x14ac:dyDescent="0.3">
      <c r="A77" s="345" t="s">
        <v>305</v>
      </c>
    </row>
    <row r="78" spans="1:2" ht="15.6" x14ac:dyDescent="0.3">
      <c r="A78" s="344"/>
    </row>
    <row r="79" spans="1:2" ht="15.6" x14ac:dyDescent="0.3">
      <c r="A79" s="344" t="s">
        <v>306</v>
      </c>
      <c r="B79" s="343" t="s">
        <v>307</v>
      </c>
    </row>
    <row r="80" spans="1:2" ht="15.6" x14ac:dyDescent="0.3">
      <c r="A80" s="344"/>
    </row>
    <row r="81" spans="1:2" ht="15.6" x14ac:dyDescent="0.3">
      <c r="A81" s="344" t="s">
        <v>308</v>
      </c>
    </row>
    <row r="82" spans="1:2" ht="15.6" x14ac:dyDescent="0.3">
      <c r="A82" s="344"/>
    </row>
    <row r="83" spans="1:2" ht="15.6" x14ac:dyDescent="0.3">
      <c r="A83" s="344" t="s">
        <v>309</v>
      </c>
    </row>
    <row r="84" spans="1:2" ht="15.6" x14ac:dyDescent="0.3">
      <c r="A84" s="344"/>
    </row>
    <row r="85" spans="1:2" ht="15.6" x14ac:dyDescent="0.3">
      <c r="A85" s="344" t="s">
        <v>310</v>
      </c>
    </row>
    <row r="86" spans="1:2" ht="15.6" x14ac:dyDescent="0.3">
      <c r="A86" s="343"/>
    </row>
    <row r="87" spans="1:2" ht="15.6" x14ac:dyDescent="0.3">
      <c r="A87" s="343" t="s">
        <v>311</v>
      </c>
    </row>
    <row r="88" spans="1:2" ht="15.6" x14ac:dyDescent="0.3">
      <c r="A88" s="343"/>
    </row>
    <row r="89" spans="1:2" ht="15.6" x14ac:dyDescent="0.3">
      <c r="A89" s="343" t="s">
        <v>312</v>
      </c>
    </row>
    <row r="90" spans="1:2" ht="15.6" x14ac:dyDescent="0.3">
      <c r="B90" s="343" t="s">
        <v>313</v>
      </c>
    </row>
    <row r="91" spans="1:2" ht="15.6" x14ac:dyDescent="0.3">
      <c r="A91" s="344"/>
    </row>
    <row r="92" spans="1:2" ht="15.6" x14ac:dyDescent="0.3">
      <c r="A92" s="344" t="s">
        <v>314</v>
      </c>
    </row>
    <row r="93" spans="1:2" x14ac:dyDescent="0.3">
      <c r="B93" s="346" t="s">
        <v>315</v>
      </c>
    </row>
    <row r="94" spans="1:2" ht="15.6" x14ac:dyDescent="0.3">
      <c r="A94" s="343" t="s">
        <v>316</v>
      </c>
    </row>
    <row r="95" spans="1:2" ht="15.6" x14ac:dyDescent="0.3">
      <c r="A95" s="344"/>
    </row>
    <row r="96" spans="1:2" ht="15.6" x14ac:dyDescent="0.3">
      <c r="A96" s="344" t="s">
        <v>317</v>
      </c>
    </row>
    <row r="97" spans="1:1" ht="15.6" x14ac:dyDescent="0.3">
      <c r="A97" s="344"/>
    </row>
    <row r="98" spans="1:1" ht="15.6" x14ac:dyDescent="0.3">
      <c r="A98" s="344" t="s">
        <v>318</v>
      </c>
    </row>
    <row r="99" spans="1:1" ht="15.6" x14ac:dyDescent="0.3">
      <c r="A99" s="344"/>
    </row>
    <row r="100" spans="1:1" ht="15.6" x14ac:dyDescent="0.3">
      <c r="A100" s="344" t="s">
        <v>319</v>
      </c>
    </row>
    <row r="101" spans="1:1" ht="15.6" x14ac:dyDescent="0.3">
      <c r="A101" s="344"/>
    </row>
    <row r="102" spans="1:1" ht="15.6" x14ac:dyDescent="0.3">
      <c r="A102" s="344" t="s">
        <v>320</v>
      </c>
    </row>
    <row r="103" spans="1:1" ht="15.6" x14ac:dyDescent="0.3">
      <c r="A103" s="344"/>
    </row>
    <row r="104" spans="1:1" ht="15.6" x14ac:dyDescent="0.3">
      <c r="A104" s="344" t="s">
        <v>321</v>
      </c>
    </row>
    <row r="105" spans="1:1" ht="15.6" x14ac:dyDescent="0.3">
      <c r="A105" s="344"/>
    </row>
    <row r="106" spans="1:1" ht="15.6" x14ac:dyDescent="0.3">
      <c r="A106" s="344" t="s">
        <v>322</v>
      </c>
    </row>
    <row r="107" spans="1:1" ht="15.6" x14ac:dyDescent="0.3">
      <c r="A107" s="344"/>
    </row>
    <row r="108" spans="1:1" ht="15.6" x14ac:dyDescent="0.3">
      <c r="A108" s="344" t="s">
        <v>323</v>
      </c>
    </row>
    <row r="109" spans="1:1" ht="15.6" x14ac:dyDescent="0.3">
      <c r="A109" s="344"/>
    </row>
    <row r="110" spans="1:1" ht="15.6" x14ac:dyDescent="0.3">
      <c r="A110" s="344" t="s">
        <v>324</v>
      </c>
    </row>
    <row r="111" spans="1:1" ht="15.6" x14ac:dyDescent="0.3">
      <c r="A111" s="344"/>
    </row>
    <row r="112" spans="1:1" ht="15.6" x14ac:dyDescent="0.3">
      <c r="A112" s="344" t="s">
        <v>324</v>
      </c>
    </row>
    <row r="113" spans="1:1" ht="15.6" x14ac:dyDescent="0.3">
      <c r="A113" s="343" t="s">
        <v>325</v>
      </c>
    </row>
    <row r="114" spans="1:1" ht="15.6" x14ac:dyDescent="0.3">
      <c r="A114" s="344"/>
    </row>
    <row r="115" spans="1:1" ht="15.6" x14ac:dyDescent="0.3">
      <c r="A115" s="344" t="s">
        <v>326</v>
      </c>
    </row>
    <row r="116" spans="1:1" ht="15.6" x14ac:dyDescent="0.3">
      <c r="A116" s="344"/>
    </row>
    <row r="117" spans="1:1" ht="15.6" x14ac:dyDescent="0.3">
      <c r="A117" s="344" t="s">
        <v>327</v>
      </c>
    </row>
    <row r="118" spans="1:1" ht="15.6" x14ac:dyDescent="0.3">
      <c r="A118" s="344"/>
    </row>
    <row r="119" spans="1:1" ht="15.6" x14ac:dyDescent="0.3">
      <c r="A119" s="344" t="s">
        <v>328</v>
      </c>
    </row>
    <row r="120" spans="1:1" ht="15.6" x14ac:dyDescent="0.3">
      <c r="A120" s="344"/>
    </row>
    <row r="121" spans="1:1" ht="15.6" x14ac:dyDescent="0.3">
      <c r="A121" s="345" t="s">
        <v>329</v>
      </c>
    </row>
    <row r="122" spans="1:1" ht="15.6" x14ac:dyDescent="0.3">
      <c r="A122" s="344"/>
    </row>
    <row r="123" spans="1:1" ht="15.6" x14ac:dyDescent="0.3">
      <c r="A123" s="345" t="s">
        <v>330</v>
      </c>
    </row>
    <row r="124" spans="1:1" ht="15.6" x14ac:dyDescent="0.3">
      <c r="A124" s="343" t="s">
        <v>331</v>
      </c>
    </row>
    <row r="125" spans="1:1" ht="15.6" x14ac:dyDescent="0.3">
      <c r="A125" s="343" t="s">
        <v>332</v>
      </c>
    </row>
    <row r="126" spans="1:1" ht="15.6" x14ac:dyDescent="0.3">
      <c r="A126" s="343" t="s">
        <v>333</v>
      </c>
    </row>
    <row r="127" spans="1:1" x14ac:dyDescent="0.3">
      <c r="A127" s="346" t="s">
        <v>334</v>
      </c>
    </row>
    <row r="128" spans="1:1" ht="15.6" x14ac:dyDescent="0.3">
      <c r="A128" s="344" t="s">
        <v>335</v>
      </c>
    </row>
    <row r="129" spans="1:1" x14ac:dyDescent="0.3">
      <c r="A129" s="346" t="s">
        <v>336</v>
      </c>
    </row>
    <row r="130" spans="1:1" ht="15.6" x14ac:dyDescent="0.3">
      <c r="A130" s="344"/>
    </row>
    <row r="131" spans="1:1" ht="15.6" x14ac:dyDescent="0.3">
      <c r="A131" s="345" t="s">
        <v>337</v>
      </c>
    </row>
    <row r="132" spans="1:1" ht="15.6" x14ac:dyDescent="0.3">
      <c r="A132" s="343" t="s">
        <v>338</v>
      </c>
    </row>
    <row r="133" spans="1:1" ht="15.6" x14ac:dyDescent="0.3">
      <c r="A133" s="343" t="s">
        <v>339</v>
      </c>
    </row>
    <row r="134" spans="1:1" ht="15.6" x14ac:dyDescent="0.3">
      <c r="A134" s="343"/>
    </row>
    <row r="135" spans="1:1" ht="15.6" x14ac:dyDescent="0.3">
      <c r="A135" s="345" t="s">
        <v>340</v>
      </c>
    </row>
    <row r="136" spans="1:1" ht="15.6" x14ac:dyDescent="0.3">
      <c r="A136" s="343" t="s">
        <v>341</v>
      </c>
    </row>
    <row r="137" spans="1:1" ht="15.6" x14ac:dyDescent="0.3">
      <c r="A137" s="343" t="s">
        <v>342</v>
      </c>
    </row>
    <row r="138" spans="1:1" ht="16.8" x14ac:dyDescent="0.3">
      <c r="A138" s="348" t="s">
        <v>343</v>
      </c>
    </row>
    <row r="139" spans="1:1" ht="15.6" x14ac:dyDescent="0.3">
      <c r="A139" s="343" t="s">
        <v>344</v>
      </c>
    </row>
    <row r="140" spans="1:1" ht="16.8" x14ac:dyDescent="0.3">
      <c r="A140" s="348" t="s">
        <v>345</v>
      </c>
    </row>
    <row r="141" spans="1:1" ht="15.6" x14ac:dyDescent="0.3">
      <c r="A141" s="343" t="s">
        <v>346</v>
      </c>
    </row>
    <row r="142" spans="1:1" ht="15.6" x14ac:dyDescent="0.3">
      <c r="A142" s="344" t="s">
        <v>347</v>
      </c>
    </row>
    <row r="143" spans="1:1" ht="15.6" x14ac:dyDescent="0.3">
      <c r="A143" s="343"/>
    </row>
    <row r="144" spans="1:1" ht="15.6" x14ac:dyDescent="0.3">
      <c r="A144" s="343" t="s">
        <v>348</v>
      </c>
    </row>
  </sheetData>
  <hyperlinks>
    <hyperlink ref="A41" r:id="rId1" display="http://www.jul-nielsen.no/TBF.html" xr:uid="{1D2B7E2D-CA34-4C82-BADE-43953F046129}"/>
    <hyperlink ref="B93" r:id="rId2" display="http://www.jul-nielsen.no/TBF.html" xr:uid="{05EEDFD8-2579-4F44-AB90-5D6E25EB4D7B}"/>
    <hyperlink ref="A127" r:id="rId3" display="http://www.jul-nielsen.no/TBF.html" xr:uid="{C466B276-116E-40A7-9D15-9C533BC8B96A}"/>
    <hyperlink ref="A129" r:id="rId4" display="http://www.trebatfestivalen.no/seilregatta/" xr:uid="{7D8E002F-157A-4693-B284-4EC3007835A4}"/>
  </hyperlinks>
  <pageMargins left="0.7" right="0.7" top="0.75" bottom="0.75" header="0.3" footer="0.3"/>
  <pageSetup paperSize="9"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474A-BE71-41BE-803E-FC46CE469E45}">
  <dimension ref="A2:D43"/>
  <sheetViews>
    <sheetView workbookViewId="0">
      <selection activeCell="B11" sqref="B11"/>
    </sheetView>
  </sheetViews>
  <sheetFormatPr baseColWidth="10" defaultRowHeight="14.4" x14ac:dyDescent="0.3"/>
  <sheetData>
    <row r="2" spans="1:4" ht="15.6" x14ac:dyDescent="0.3">
      <c r="A2" s="558" t="s">
        <v>763</v>
      </c>
    </row>
    <row r="3" spans="1:4" ht="15.6" x14ac:dyDescent="0.3">
      <c r="A3" s="558" t="s">
        <v>764</v>
      </c>
    </row>
    <row r="4" spans="1:4" ht="15.6" x14ac:dyDescent="0.3">
      <c r="A4" s="558" t="s">
        <v>765</v>
      </c>
      <c r="D4" s="558" t="s">
        <v>801</v>
      </c>
    </row>
    <row r="5" spans="1:4" ht="15.6" x14ac:dyDescent="0.3">
      <c r="A5" s="558" t="s">
        <v>766</v>
      </c>
      <c r="D5" s="558" t="s">
        <v>797</v>
      </c>
    </row>
    <row r="6" spans="1:4" ht="15.6" x14ac:dyDescent="0.3">
      <c r="A6" s="558" t="s">
        <v>767</v>
      </c>
      <c r="D6" s="558" t="s">
        <v>802</v>
      </c>
    </row>
    <row r="7" spans="1:4" ht="15.6" x14ac:dyDescent="0.3">
      <c r="A7" s="558" t="s">
        <v>768</v>
      </c>
      <c r="D7" s="558" t="s">
        <v>788</v>
      </c>
    </row>
    <row r="8" spans="1:4" ht="15.6" x14ac:dyDescent="0.3">
      <c r="A8" s="558" t="s">
        <v>769</v>
      </c>
      <c r="D8" s="558" t="s">
        <v>803</v>
      </c>
    </row>
    <row r="9" spans="1:4" ht="15.6" x14ac:dyDescent="0.3">
      <c r="A9" s="558" t="s">
        <v>770</v>
      </c>
      <c r="D9" s="558" t="s">
        <v>768</v>
      </c>
    </row>
    <row r="10" spans="1:4" ht="15.6" x14ac:dyDescent="0.3">
      <c r="A10" s="558" t="s">
        <v>771</v>
      </c>
      <c r="D10" s="558" t="s">
        <v>804</v>
      </c>
    </row>
    <row r="11" spans="1:4" ht="15.6" x14ac:dyDescent="0.3">
      <c r="A11" s="558" t="s">
        <v>772</v>
      </c>
      <c r="D11" s="558" t="s">
        <v>797</v>
      </c>
    </row>
    <row r="12" spans="1:4" ht="15.6" x14ac:dyDescent="0.3">
      <c r="A12" s="558" t="s">
        <v>773</v>
      </c>
      <c r="D12" s="558" t="s">
        <v>805</v>
      </c>
    </row>
    <row r="13" spans="1:4" ht="15.6" x14ac:dyDescent="0.3">
      <c r="A13" s="558" t="s">
        <v>774</v>
      </c>
      <c r="D13" s="558" t="s">
        <v>795</v>
      </c>
    </row>
    <row r="14" spans="1:4" ht="15.6" x14ac:dyDescent="0.3">
      <c r="A14" s="558" t="s">
        <v>775</v>
      </c>
      <c r="D14" s="558" t="s">
        <v>806</v>
      </c>
    </row>
    <row r="15" spans="1:4" ht="15.6" x14ac:dyDescent="0.3">
      <c r="A15" s="558" t="s">
        <v>776</v>
      </c>
      <c r="D15" s="558" t="s">
        <v>795</v>
      </c>
    </row>
    <row r="16" spans="1:4" ht="15.6" x14ac:dyDescent="0.3">
      <c r="A16" s="558" t="s">
        <v>777</v>
      </c>
      <c r="D16" s="558" t="s">
        <v>807</v>
      </c>
    </row>
    <row r="17" spans="1:4" ht="15.6" x14ac:dyDescent="0.3">
      <c r="A17" s="558" t="s">
        <v>778</v>
      </c>
      <c r="D17" s="558" t="s">
        <v>778</v>
      </c>
    </row>
    <row r="18" spans="1:4" ht="15.6" x14ac:dyDescent="0.3">
      <c r="A18" s="558" t="s">
        <v>779</v>
      </c>
      <c r="D18" s="558" t="s">
        <v>808</v>
      </c>
    </row>
    <row r="19" spans="1:4" ht="15.6" x14ac:dyDescent="0.3">
      <c r="A19" s="558" t="s">
        <v>780</v>
      </c>
      <c r="D19" s="558" t="s">
        <v>809</v>
      </c>
    </row>
    <row r="20" spans="1:4" ht="15.6" x14ac:dyDescent="0.3">
      <c r="A20" s="558" t="s">
        <v>779</v>
      </c>
      <c r="D20" s="558" t="s">
        <v>810</v>
      </c>
    </row>
    <row r="21" spans="1:4" ht="15.6" x14ac:dyDescent="0.3">
      <c r="A21" s="558" t="s">
        <v>781</v>
      </c>
      <c r="D21" s="558" t="s">
        <v>795</v>
      </c>
    </row>
    <row r="22" spans="1:4" ht="15.6" x14ac:dyDescent="0.3">
      <c r="A22" s="558" t="s">
        <v>782</v>
      </c>
      <c r="D22" s="558" t="s">
        <v>811</v>
      </c>
    </row>
    <row r="23" spans="1:4" ht="15.6" x14ac:dyDescent="0.3">
      <c r="A23" s="558" t="s">
        <v>783</v>
      </c>
      <c r="D23" s="558" t="s">
        <v>797</v>
      </c>
    </row>
    <row r="24" spans="1:4" ht="15.6" x14ac:dyDescent="0.3">
      <c r="A24" s="558" t="s">
        <v>784</v>
      </c>
      <c r="D24" s="558" t="s">
        <v>812</v>
      </c>
    </row>
    <row r="25" spans="1:4" ht="15.6" x14ac:dyDescent="0.3">
      <c r="A25" s="558" t="s">
        <v>785</v>
      </c>
      <c r="D25" s="558" t="s">
        <v>809</v>
      </c>
    </row>
    <row r="26" spans="1:4" ht="15.6" x14ac:dyDescent="0.3">
      <c r="A26" s="558" t="s">
        <v>786</v>
      </c>
      <c r="D26" s="558" t="s">
        <v>813</v>
      </c>
    </row>
    <row r="27" spans="1:4" ht="15.6" x14ac:dyDescent="0.3">
      <c r="A27" s="558" t="s">
        <v>787</v>
      </c>
      <c r="D27" s="558" t="s">
        <v>774</v>
      </c>
    </row>
    <row r="28" spans="1:4" ht="15.6" x14ac:dyDescent="0.3">
      <c r="A28" s="558" t="s">
        <v>786</v>
      </c>
      <c r="D28" s="558" t="s">
        <v>814</v>
      </c>
    </row>
    <row r="29" spans="1:4" ht="15.6" x14ac:dyDescent="0.3">
      <c r="A29" s="558" t="s">
        <v>788</v>
      </c>
      <c r="D29" s="558" t="s">
        <v>783</v>
      </c>
    </row>
    <row r="30" spans="1:4" ht="15.6" x14ac:dyDescent="0.3">
      <c r="A30" s="558" t="s">
        <v>789</v>
      </c>
      <c r="D30" s="558" t="s">
        <v>815</v>
      </c>
    </row>
    <row r="31" spans="1:4" ht="15.6" x14ac:dyDescent="0.3">
      <c r="A31" s="558" t="s">
        <v>790</v>
      </c>
      <c r="D31" s="558" t="s">
        <v>792</v>
      </c>
    </row>
    <row r="32" spans="1:4" ht="15.6" x14ac:dyDescent="0.3">
      <c r="A32" s="558" t="s">
        <v>791</v>
      </c>
      <c r="D32" s="558" t="s">
        <v>816</v>
      </c>
    </row>
    <row r="33" spans="1:4" ht="15.6" x14ac:dyDescent="0.3">
      <c r="A33" s="558" t="s">
        <v>792</v>
      </c>
      <c r="D33" s="558" t="s">
        <v>800</v>
      </c>
    </row>
    <row r="34" spans="1:4" ht="15.6" x14ac:dyDescent="0.3">
      <c r="A34" s="558" t="s">
        <v>793</v>
      </c>
      <c r="D34" s="558" t="s">
        <v>817</v>
      </c>
    </row>
    <row r="35" spans="1:4" ht="15.6" x14ac:dyDescent="0.3">
      <c r="A35" s="558" t="s">
        <v>774</v>
      </c>
      <c r="D35" s="558" t="s">
        <v>766</v>
      </c>
    </row>
    <row r="36" spans="1:4" ht="15.6" x14ac:dyDescent="0.3">
      <c r="A36" s="558" t="s">
        <v>794</v>
      </c>
      <c r="D36" s="558" t="s">
        <v>818</v>
      </c>
    </row>
    <row r="37" spans="1:4" ht="15.6" x14ac:dyDescent="0.3">
      <c r="A37" s="558" t="s">
        <v>795</v>
      </c>
      <c r="D37" s="558" t="s">
        <v>819</v>
      </c>
    </row>
    <row r="38" spans="1:4" ht="15.6" x14ac:dyDescent="0.3">
      <c r="A38" s="558" t="s">
        <v>796</v>
      </c>
      <c r="D38" s="558" t="s">
        <v>820</v>
      </c>
    </row>
    <row r="39" spans="1:4" ht="15.6" x14ac:dyDescent="0.3">
      <c r="A39" s="558" t="s">
        <v>797</v>
      </c>
      <c r="D39" s="558" t="s">
        <v>783</v>
      </c>
    </row>
    <row r="40" spans="1:4" ht="15.6" x14ac:dyDescent="0.3">
      <c r="A40" s="558" t="s">
        <v>798</v>
      </c>
      <c r="D40" s="558" t="s">
        <v>821</v>
      </c>
    </row>
    <row r="41" spans="1:4" ht="15.6" x14ac:dyDescent="0.3">
      <c r="A41" s="558" t="s">
        <v>787</v>
      </c>
      <c r="D41" s="558" t="s">
        <v>776</v>
      </c>
    </row>
    <row r="42" spans="1:4" ht="15.6" x14ac:dyDescent="0.3">
      <c r="A42" s="558" t="s">
        <v>799</v>
      </c>
    </row>
    <row r="43" spans="1:4" ht="15.6" x14ac:dyDescent="0.3">
      <c r="A43" s="558" t="s">
        <v>800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45</vt:i4>
      </vt:variant>
    </vt:vector>
  </HeadingPairs>
  <TitlesOfParts>
    <vt:vector size="53" baseType="lpstr">
      <vt:lpstr>Database</vt:lpstr>
      <vt:lpstr>Påmelding Gaffel</vt:lpstr>
      <vt:lpstr>Speaker Skøyter</vt:lpstr>
      <vt:lpstr>Påm Bermuda</vt:lpstr>
      <vt:lpstr>Speaker Bm</vt:lpstr>
      <vt:lpstr>Skrogform</vt:lpstr>
      <vt:lpstr>Båtdata</vt:lpstr>
      <vt:lpstr>KLR</vt:lpstr>
      <vt:lpstr>Ballast</vt:lpstr>
      <vt:lpstr>BmStor</vt:lpstr>
      <vt:lpstr>Bredde</vt:lpstr>
      <vt:lpstr>Depl</vt:lpstr>
      <vt:lpstr>DeplRegatta</vt:lpstr>
      <vt:lpstr>DeplTillegg</vt:lpstr>
      <vt:lpstr>Diesel</vt:lpstr>
      <vt:lpstr>Dyp_F</vt:lpstr>
      <vt:lpstr>Dypg</vt:lpstr>
      <vt:lpstr>DypLoa</vt:lpstr>
      <vt:lpstr>ErfaringsF</vt:lpstr>
      <vt:lpstr>Kjøl</vt:lpstr>
      <vt:lpstr>LBf</vt:lpstr>
      <vt:lpstr>Lf</vt:lpstr>
      <vt:lpstr>Loa</vt:lpstr>
      <vt:lpstr>Lwl</vt:lpstr>
      <vt:lpstr>Mast</vt:lpstr>
      <vt:lpstr>PropF</vt:lpstr>
      <vt:lpstr>Rigg</vt:lpstr>
      <vt:lpstr>RiggF</vt:lpstr>
      <vt:lpstr>RS1valgt</vt:lpstr>
      <vt:lpstr>SaDeplf</vt:lpstr>
      <vt:lpstr>SAf</vt:lpstr>
      <vt:lpstr>SApRS1</vt:lpstr>
      <vt:lpstr>Seil_1</vt:lpstr>
      <vt:lpstr>Seilareal</vt:lpstr>
      <vt:lpstr>SeilBeregnet</vt:lpstr>
      <vt:lpstr>Skaleringsfaktor</vt:lpstr>
      <vt:lpstr>Skrogfaktor</vt:lpstr>
      <vt:lpstr>StH</vt:lpstr>
      <vt:lpstr>StHfaktor</vt:lpstr>
      <vt:lpstr>StorS</vt:lpstr>
      <vt:lpstr>Strikkf1</vt:lpstr>
      <vt:lpstr>Strikkf2</vt:lpstr>
      <vt:lpstr>TBF</vt:lpstr>
      <vt:lpstr>TBFavrundet</vt:lpstr>
      <vt:lpstr>Database!Utskriftsområde</vt:lpstr>
      <vt:lpstr>'Påm Bermuda'!Utskriftsområde</vt:lpstr>
      <vt:lpstr>'Påmelding Gaffel'!Utskriftsområde</vt:lpstr>
      <vt:lpstr>'Speaker Bm'!Utskriftsområde</vt:lpstr>
      <vt:lpstr>Database!Utskriftstitler</vt:lpstr>
      <vt:lpstr>Vann</vt:lpstr>
      <vt:lpstr>VektAnnet</vt:lpstr>
      <vt:lpstr>VektMotor</vt:lpstr>
      <vt:lpstr>Versjon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Jeppe Jul Nielsen</dc:creator>
  <cp:lastModifiedBy>Jeppe Jul Nielsen</cp:lastModifiedBy>
  <cp:lastPrinted>2024-08-10T08:29:01Z</cp:lastPrinted>
  <dcterms:created xsi:type="dcterms:W3CDTF">2022-07-25T21:21:27Z</dcterms:created>
  <dcterms:modified xsi:type="dcterms:W3CDTF">2024-09-09T09:17:15Z</dcterms:modified>
</cp:coreProperties>
</file>